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comments1.xml" ContentType="application/vnd.openxmlformats-officedocument.spreadsheetml.comments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thidfs\業務室\7. KRISTINA\2026\14. OTHER\KEBUTUHAN NEW SYSTEM\"/>
    </mc:Choice>
  </mc:AlternateContent>
  <xr:revisionPtr revIDLastSave="0" documentId="13_ncr:1_{267CF273-9BB6-43D4-A9B3-CF2E8869FE5D}" xr6:coauthVersionLast="47" xr6:coauthVersionMax="47" xr10:uidLastSave="{00000000-0000-0000-0000-000000000000}"/>
  <bookViews>
    <workbookView xWindow="-120" yWindow="-120" windowWidth="29040" windowHeight="15840" tabRatio="604" activeTab="4" xr2:uid="{757496AC-66D2-48B1-B67E-94D2D19EC72A}"/>
  </bookViews>
  <sheets>
    <sheet name="PROD SUEDE" sheetId="10" r:id="rId1"/>
    <sheet name="DEV SUEDE" sheetId="9" r:id="rId2"/>
    <sheet name="CLAIM SUEDE" sheetId="8" r:id="rId3"/>
    <sheet name="RETUR" sheetId="4" r:id="rId4"/>
    <sheet name="KETERANGAN" sheetId="31" r:id="rId5"/>
  </sheets>
  <externalReferences>
    <externalReference r:id="rId6"/>
  </externalReferences>
  <definedNames>
    <definedName name="_xlnm._FilterDatabase" localSheetId="2" hidden="1">'CLAIM SUEDE'!$A$3:$BF$379</definedName>
    <definedName name="_xlnm._FilterDatabase" localSheetId="1" hidden="1">'DEV SUEDE'!$A$3:$BF$123</definedName>
    <definedName name="_xlnm._FilterDatabase" localSheetId="0" hidden="1">'PROD SUEDE'!$A$3:$BO$3</definedName>
    <definedName name="_xlnm._FilterDatabase" localSheetId="3" hidden="1">RETUR!$A$2:$AC$116</definedName>
    <definedName name="ExternalData_1" localSheetId="2">'CLAIM SUEDE'!#REF!</definedName>
    <definedName name="ExternalData_1" localSheetId="0">'PROD SUEDE'!#REF!</definedName>
    <definedName name="ExternalData_10" localSheetId="0">'PROD SUEDE'!#REF!</definedName>
    <definedName name="ExternalData_11" localSheetId="0">'PROD SUEDE'!#REF!</definedName>
    <definedName name="ExternalData_12" localSheetId="0">'PROD SUEDE'!#REF!</definedName>
    <definedName name="ExternalData_13" localSheetId="0">'PROD SUEDE'!#REF!</definedName>
    <definedName name="ExternalData_14" localSheetId="0">'PROD SUEDE'!#REF!</definedName>
    <definedName name="ExternalData_15" localSheetId="0">'PROD SUEDE'!#REF!</definedName>
    <definedName name="ExternalData_2" localSheetId="2">'CLAIM SUEDE'!#REF!</definedName>
    <definedName name="ExternalData_2" localSheetId="1">'DEV SUEDE'!#REF!</definedName>
    <definedName name="ExternalData_2" localSheetId="0">'PROD SUEDE'!#REF!</definedName>
    <definedName name="ExternalData_3" localSheetId="2">'CLAIM SUEDE'!#REF!</definedName>
    <definedName name="ExternalData_3" localSheetId="1">'DEV SUEDE'!#REF!</definedName>
    <definedName name="ExternalData_3" localSheetId="0">'PROD SUEDE'!#REF!</definedName>
    <definedName name="ExternalData_4" localSheetId="1">'DEV SUEDE'!#REF!</definedName>
    <definedName name="ExternalData_4" localSheetId="0">'PROD SUEDE'!#REF!</definedName>
    <definedName name="ExternalData_482" localSheetId="2">'CLAIM SUEDE'!#REF!</definedName>
    <definedName name="ExternalData_486" localSheetId="0">'PROD SUEDE'!#REF!</definedName>
    <definedName name="ExternalData_487" localSheetId="0">'PROD SUEDE'!$A$4:$X$5</definedName>
    <definedName name="ExternalData_488" localSheetId="0">'PROD SUEDE'!$A$4:$X$5</definedName>
    <definedName name="ExternalData_489" localSheetId="0">'PROD SUEDE'!$A$6:$X$6</definedName>
    <definedName name="ExternalData_491" localSheetId="0">'PROD SUEDE'!#REF!</definedName>
    <definedName name="ExternalData_492" localSheetId="0">'PROD SUEDE'!$A$18:$X$20</definedName>
    <definedName name="ExternalData_493" localSheetId="0">'PROD SUEDE'!#REF!</definedName>
    <definedName name="ExternalData_498" localSheetId="2">'CLAIM SUEDE'!#REF!</definedName>
    <definedName name="ExternalData_499" localSheetId="2">'CLAIM SUEDE'!$A$27:$X$28</definedName>
    <definedName name="ExternalData_499" localSheetId="0">'PROD SUEDE'!$A$23:$X$23</definedName>
    <definedName name="ExternalData_5" localSheetId="1">'DEV SUEDE'!#REF!</definedName>
    <definedName name="ExternalData_5" localSheetId="0">'PROD SUEDE'!#REF!</definedName>
    <definedName name="ExternalData_500" localSheetId="2">'CLAIM SUEDE'!$A$34:$X$35</definedName>
    <definedName name="ExternalData_500" localSheetId="0">'PROD SUEDE'!$A$24:$X$29</definedName>
    <definedName name="ExternalData_501" localSheetId="2">'CLAIM SUEDE'!#REF!</definedName>
    <definedName name="ExternalData_501" localSheetId="0">'PROD SUEDE'!$A$34:$X$36</definedName>
    <definedName name="ExternalData_502" localSheetId="2">'CLAIM SUEDE'!$A$43:$X$46</definedName>
    <definedName name="ExternalData_502" localSheetId="0">'PROD SUEDE'!$A$37:$X$37</definedName>
    <definedName name="ExternalData_503" localSheetId="2">'CLAIM SUEDE'!#REF!</definedName>
    <definedName name="ExternalData_503" localSheetId="0">'PROD SUEDE'!$A$38:$X$39</definedName>
    <definedName name="ExternalData_504" localSheetId="2">'CLAIM SUEDE'!$A$54:$X$58</definedName>
    <definedName name="ExternalData_504" localSheetId="1">'DEV SUEDE'!#REF!</definedName>
    <definedName name="ExternalData_504" localSheetId="0">'PROD SUEDE'!#REF!</definedName>
    <definedName name="ExternalData_505" localSheetId="0">'PROD SUEDE'!#REF!</definedName>
    <definedName name="ExternalData_506" localSheetId="1">'DEV SUEDE'!#REF!</definedName>
    <definedName name="ExternalData_506" localSheetId="0">'PROD SUEDE'!$A$53:$W$54</definedName>
    <definedName name="ExternalData_507" localSheetId="1">'DEV SUEDE'!$A$20:$X$20</definedName>
    <definedName name="ExternalData_507" localSheetId="0">'PROD SUEDE'!$A$55:$W$55</definedName>
    <definedName name="ExternalData_508" localSheetId="1">'DEV SUEDE'!#REF!</definedName>
    <definedName name="ExternalData_508" localSheetId="0">'PROD SUEDE'!$A$57:$W$57</definedName>
    <definedName name="ExternalData_509" localSheetId="1">'DEV SUEDE'!#REF!</definedName>
    <definedName name="ExternalData_509" localSheetId="0">'PROD SUEDE'!#REF!</definedName>
    <definedName name="ExternalData_510" localSheetId="0">'PROD SUEDE'!#REF!</definedName>
    <definedName name="ExternalData_511" localSheetId="0">'PROD SUEDE'!#REF!</definedName>
    <definedName name="ExternalData_512" localSheetId="0">'PROD SUEDE'!#REF!</definedName>
    <definedName name="ExternalData_513" localSheetId="0">'PROD SUEDE'!#REF!</definedName>
    <definedName name="ExternalData_514" localSheetId="0">'PROD SUEDE'!#REF!</definedName>
    <definedName name="ExternalData_515" localSheetId="0">'PROD SUEDE'!#REF!</definedName>
    <definedName name="ExternalData_516" localSheetId="0">'PROD SUEDE'!#REF!</definedName>
    <definedName name="ExternalData_517" localSheetId="0">'PROD SUEDE'!#REF!</definedName>
    <definedName name="ExternalData_518" localSheetId="0">'PROD SUEDE'!#REF!</definedName>
    <definedName name="ExternalData_519" localSheetId="0">'PROD SUEDE'!#REF!</definedName>
    <definedName name="ExternalData_520" localSheetId="0">'PROD SUEDE'!#REF!</definedName>
    <definedName name="ExternalData_521" localSheetId="0">'PROD SUEDE'!$A$100:$W$102</definedName>
    <definedName name="ExternalData_522" localSheetId="0">'PROD SUEDE'!$A$126:$W$127</definedName>
    <definedName name="ExternalData_523" localSheetId="0">'PROD SUEDE'!#REF!</definedName>
    <definedName name="ExternalData_524" localSheetId="0">'PROD SUEDE'!#REF!</definedName>
    <definedName name="ExternalData_525" localSheetId="0">'PROD SUEDE'!$A$111:$W$111</definedName>
    <definedName name="ExternalData_526" localSheetId="0">'PROD SUEDE'!$A$113:$W$113</definedName>
    <definedName name="ExternalData_527" localSheetId="0">'PROD SUEDE'!#REF!</definedName>
    <definedName name="ExternalData_528" localSheetId="0">'PROD SUEDE'!#REF!</definedName>
    <definedName name="ExternalData_529" localSheetId="0">'PROD SUEDE'!#REF!</definedName>
    <definedName name="ExternalData_530" localSheetId="0">'PROD SUEDE'!$A$128:$W$133</definedName>
    <definedName name="ExternalData_531" localSheetId="0">'PROD SUEDE'!$A$114:$W$114</definedName>
    <definedName name="ExternalData_532" localSheetId="0">'PROD SUEDE'!#REF!</definedName>
    <definedName name="ExternalData_533" localSheetId="0">'PROD SUEDE'!#REF!</definedName>
    <definedName name="ExternalData_534" localSheetId="0">'PROD SUEDE'!$A$347:$W$355</definedName>
    <definedName name="ExternalData_6" localSheetId="0">'PROD SUEDE'!#REF!</definedName>
    <definedName name="ExternalData_7" localSheetId="0">'PROD SUEDE'!#REF!</definedName>
    <definedName name="ExternalData_8" localSheetId="2">'CLAIM SUEDE'!#REF!</definedName>
    <definedName name="ExternalData_8" localSheetId="0">'PROD SUEDE'!#REF!</definedName>
    <definedName name="ExternalData_9" localSheetId="0">'PROD SUEDE'!#REF!</definedName>
    <definedName name="new_delivery_termLotInformation">[1]validationInfo!$A$1:$A$7</definedName>
    <definedName name="_xlnm.Print_Area" localSheetId="2">'CLAIM SUEDE'!$F$2:$W$152</definedName>
    <definedName name="_xlnm.Print_Area" localSheetId="0">'PROD SUEDE'!$F$2:$M$1050</definedName>
    <definedName name="_xlnm.Print_Area" localSheetId="3">RETUR!$C$2:$T$87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72" i="10" l="1"/>
  <c r="V1273" i="10"/>
  <c r="V1274" i="10"/>
  <c r="V1275" i="10"/>
  <c r="V1276" i="10"/>
  <c r="V1277" i="10"/>
  <c r="V1278" i="10"/>
  <c r="V1279" i="10"/>
  <c r="V1280" i="10"/>
  <c r="V1281" i="10"/>
  <c r="V1282" i="10"/>
  <c r="V1283" i="10"/>
  <c r="V1284" i="10"/>
  <c r="V1285" i="10"/>
  <c r="V1286" i="10"/>
  <c r="V1287" i="10"/>
  <c r="V1288" i="10"/>
  <c r="V1289" i="10"/>
  <c r="V1290" i="10"/>
  <c r="V1291" i="10"/>
  <c r="V1292" i="10"/>
  <c r="V1293" i="10"/>
  <c r="V1294" i="10"/>
  <c r="V1295" i="10"/>
  <c r="V1296" i="10"/>
  <c r="V1297" i="10"/>
  <c r="V1298" i="10"/>
  <c r="V1299" i="10"/>
  <c r="V1300" i="10"/>
  <c r="V1301" i="10"/>
  <c r="V1302" i="10"/>
  <c r="V1303" i="10"/>
  <c r="V1304" i="10"/>
  <c r="V1305" i="10"/>
  <c r="V1306" i="10"/>
  <c r="V1307" i="10"/>
  <c r="V1308" i="10"/>
  <c r="V1309" i="10"/>
  <c r="V1310" i="10"/>
  <c r="V1311" i="10"/>
  <c r="V1312" i="10"/>
  <c r="V1271" i="10"/>
  <c r="V1270" i="10"/>
  <c r="V1269" i="10"/>
  <c r="V1268" i="10"/>
  <c r="U349" i="8"/>
  <c r="V379" i="8"/>
  <c r="V1263" i="10"/>
  <c r="V1264" i="10"/>
  <c r="V1265" i="10"/>
  <c r="V1266" i="10"/>
  <c r="V1267" i="10"/>
  <c r="S116" i="4"/>
  <c r="S115" i="4"/>
  <c r="U1259" i="10"/>
  <c r="V1259" i="10" s="1"/>
  <c r="V1196" i="10"/>
  <c r="S110" i="4"/>
  <c r="S111" i="4"/>
  <c r="S112" i="4"/>
  <c r="S113" i="4"/>
  <c r="S114" i="4"/>
  <c r="V378" i="8"/>
  <c r="V377" i="8"/>
  <c r="V376" i="8"/>
  <c r="V375" i="8"/>
  <c r="V374" i="8"/>
  <c r="V373" i="8"/>
  <c r="Z1227" i="10"/>
  <c r="Z1209" i="10"/>
  <c r="AB1195" i="10"/>
  <c r="V1262" i="10"/>
  <c r="V1261" i="10"/>
  <c r="Z1207" i="10"/>
  <c r="Z1206" i="10"/>
  <c r="Z1203" i="10"/>
  <c r="Z1199" i="10"/>
  <c r="Z1195" i="10"/>
  <c r="Z1194" i="10"/>
  <c r="V1260" i="10"/>
  <c r="V123" i="9"/>
  <c r="V122" i="9"/>
  <c r="Z1171" i="10"/>
  <c r="V372" i="8"/>
  <c r="V371" i="8"/>
  <c r="V370" i="8"/>
  <c r="V369" i="8"/>
  <c r="V368" i="8"/>
  <c r="V1258" i="10"/>
  <c r="S109" i="4"/>
  <c r="S108" i="4"/>
  <c r="V121" i="9"/>
  <c r="V1257" i="10"/>
  <c r="V1256" i="10"/>
  <c r="V1255" i="10"/>
  <c r="Z1187" i="10"/>
  <c r="AB1169" i="10"/>
  <c r="Z1221" i="10"/>
  <c r="Z1220" i="10"/>
  <c r="Z1193" i="10"/>
  <c r="Z1216" i="10"/>
  <c r="Z1215" i="10"/>
  <c r="Z1214" i="10"/>
  <c r="AB1183" i="10"/>
  <c r="V367" i="8"/>
  <c r="V366" i="8"/>
  <c r="V365" i="8"/>
  <c r="V364" i="8"/>
  <c r="V363" i="8"/>
  <c r="V1254" i="10"/>
  <c r="Z1182" i="10"/>
  <c r="Z1177" i="10"/>
  <c r="V362" i="8"/>
  <c r="V361" i="8"/>
  <c r="V360" i="8"/>
  <c r="V359" i="8"/>
  <c r="V358" i="8"/>
  <c r="V357" i="8"/>
  <c r="V356" i="8"/>
  <c r="V355" i="8"/>
  <c r="V354" i="8"/>
  <c r="V353" i="8"/>
  <c r="V352" i="8"/>
  <c r="V1253" i="10"/>
  <c r="V1252" i="10"/>
  <c r="U1186" i="10"/>
  <c r="V351" i="8"/>
  <c r="V1251" i="10"/>
  <c r="V1250" i="10"/>
  <c r="V1249" i="10"/>
  <c r="V1248" i="10"/>
  <c r="V1247" i="10"/>
  <c r="V350" i="8" l="1"/>
  <c r="V1246" i="10"/>
  <c r="Z1183" i="10"/>
  <c r="Y341" i="8" l="1"/>
  <c r="Z1228" i="10"/>
  <c r="Z1217" i="10"/>
  <c r="Z1173" i="10"/>
  <c r="Z1172" i="10"/>
  <c r="Z1170" i="10"/>
  <c r="Z1169" i="10"/>
  <c r="Z1168" i="10"/>
  <c r="V349" i="8" l="1"/>
  <c r="V348" i="8"/>
  <c r="Z1167" i="10" l="1"/>
  <c r="Z1145" i="10"/>
  <c r="S107" i="4" l="1"/>
  <c r="V1245" i="10"/>
  <c r="V1244" i="10"/>
  <c r="V1243" i="10"/>
  <c r="V1242" i="10"/>
  <c r="V1241" i="10"/>
  <c r="V1240" i="10"/>
  <c r="V1239" i="10"/>
  <c r="V1238" i="10"/>
  <c r="V1237" i="10"/>
  <c r="V1236" i="10"/>
  <c r="V1235" i="10"/>
  <c r="V1234" i="10"/>
  <c r="V347" i="8" l="1"/>
  <c r="V346" i="8"/>
  <c r="Z1158" i="10" l="1"/>
  <c r="Y338" i="8" l="1"/>
  <c r="AA329" i="8"/>
  <c r="AB1155" i="10"/>
  <c r="V1233" i="10" l="1"/>
  <c r="V1232" i="10"/>
  <c r="V1231" i="10"/>
  <c r="Z1148" i="10" l="1"/>
  <c r="V1230" i="10" l="1"/>
  <c r="V1229" i="10"/>
  <c r="Z1142" i="10" l="1"/>
  <c r="AB1120" i="10"/>
  <c r="V1228" i="10" l="1"/>
  <c r="V1227" i="10"/>
  <c r="V1226" i="10"/>
  <c r="V1225" i="10"/>
  <c r="V1224" i="10"/>
  <c r="M310" i="8"/>
  <c r="Z1164" i="10" l="1"/>
  <c r="V1223" i="10" l="1"/>
  <c r="V1222" i="10"/>
  <c r="V1221" i="10"/>
  <c r="V1220" i="10"/>
  <c r="V1219" i="10" l="1"/>
  <c r="V1218" i="10"/>
  <c r="V1217" i="10"/>
  <c r="V1216" i="10"/>
  <c r="V1215" i="10"/>
  <c r="V1214" i="10"/>
  <c r="V1213" i="10"/>
  <c r="V1212" i="10"/>
  <c r="V1211" i="10"/>
  <c r="S106" i="4" l="1"/>
  <c r="S105" i="4"/>
  <c r="AV946" i="10" l="1"/>
  <c r="V120" i="9" l="1"/>
  <c r="V345" i="8"/>
  <c r="V1194" i="10"/>
  <c r="V1195" i="10"/>
  <c r="V1197" i="10"/>
  <c r="V1198" i="10"/>
  <c r="V1199" i="10"/>
  <c r="V1200" i="10"/>
  <c r="V1201" i="10"/>
  <c r="V1202" i="10"/>
  <c r="V1203" i="10"/>
  <c r="V1204" i="10"/>
  <c r="V1205" i="10"/>
  <c r="V1206" i="10"/>
  <c r="V1207" i="10"/>
  <c r="V1208" i="10"/>
  <c r="V1209" i="10"/>
  <c r="V1210" i="10"/>
  <c r="S104" i="4" l="1"/>
  <c r="S103" i="4"/>
  <c r="V1186" i="10" l="1"/>
  <c r="V1187" i="10"/>
  <c r="V1188" i="10"/>
  <c r="V1189" i="10"/>
  <c r="V1190" i="10"/>
  <c r="V1191" i="10"/>
  <c r="V1192" i="10"/>
  <c r="V1193" i="10"/>
  <c r="Z1110" i="10"/>
  <c r="AB1025" i="10"/>
  <c r="Z1139" i="10" l="1"/>
  <c r="Z1116" i="10"/>
  <c r="V344" i="8" l="1"/>
  <c r="V343" i="8"/>
  <c r="V342" i="8"/>
  <c r="V1185" i="10"/>
  <c r="V1184" i="10"/>
  <c r="V1183" i="10"/>
  <c r="V341" i="8" l="1"/>
  <c r="V340" i="8"/>
  <c r="V339" i="8"/>
  <c r="V338" i="8"/>
  <c r="V337" i="8"/>
  <c r="V336" i="8"/>
  <c r="V333" i="8"/>
  <c r="V1149" i="10"/>
  <c r="V1150" i="10"/>
  <c r="V1151" i="10"/>
  <c r="V1152" i="10"/>
  <c r="V1153" i="10"/>
  <c r="V1154" i="10"/>
  <c r="V1155" i="10"/>
  <c r="V1156" i="10"/>
  <c r="V1157" i="10"/>
  <c r="V1158" i="10"/>
  <c r="V1159" i="10"/>
  <c r="V1160" i="10"/>
  <c r="V1161" i="10"/>
  <c r="V1162" i="10"/>
  <c r="V1163" i="10"/>
  <c r="V1164" i="10"/>
  <c r="V1165" i="10"/>
  <c r="V1166" i="10"/>
  <c r="V1167" i="10"/>
  <c r="V1168" i="10"/>
  <c r="V1169" i="10"/>
  <c r="V1170" i="10"/>
  <c r="V1171" i="10"/>
  <c r="V1172" i="10"/>
  <c r="V1173" i="10"/>
  <c r="V1174" i="10"/>
  <c r="V1175" i="10"/>
  <c r="V1176" i="10"/>
  <c r="V1177" i="10"/>
  <c r="V1178" i="10"/>
  <c r="V1179" i="10"/>
  <c r="V1180" i="10"/>
  <c r="V1181" i="10"/>
  <c r="V1182" i="10"/>
  <c r="Y329" i="8" l="1"/>
  <c r="AD1020" i="10"/>
  <c r="AB1093" i="10" l="1"/>
  <c r="Z989" i="10"/>
  <c r="V1148" i="10" l="1"/>
  <c r="V1147" i="10"/>
  <c r="V1146" i="10" l="1"/>
  <c r="V1145" i="10"/>
  <c r="V1144" i="10"/>
  <c r="V1143" i="10"/>
  <c r="M332" i="8"/>
  <c r="V119" i="9" l="1"/>
  <c r="V118" i="9"/>
  <c r="V117" i="9"/>
  <c r="V1142" i="10"/>
  <c r="V335" i="8" l="1"/>
  <c r="V1141" i="10"/>
  <c r="V1140" i="10"/>
  <c r="V1139" i="10"/>
  <c r="Z1093" i="10"/>
  <c r="AJ990" i="10" l="1"/>
  <c r="V334" i="8" l="1"/>
  <c r="V1138" i="10"/>
  <c r="AB1020" i="10"/>
  <c r="S102" i="4"/>
  <c r="S101" i="4"/>
  <c r="S100" i="4" l="1"/>
  <c r="S99" i="4"/>
  <c r="V332" i="8" l="1"/>
  <c r="V331" i="8"/>
  <c r="V330" i="8"/>
  <c r="V329" i="8"/>
  <c r="V1137" i="10"/>
  <c r="V1136" i="10"/>
  <c r="V1135" i="10"/>
  <c r="V1134" i="10"/>
  <c r="V1133" i="10"/>
  <c r="AB1009" i="10"/>
  <c r="Z1055" i="10" l="1"/>
  <c r="Z1054" i="10"/>
  <c r="Z1072" i="10"/>
  <c r="Y317" i="8" l="1"/>
  <c r="Z1084" i="10"/>
  <c r="S98" i="4" l="1"/>
  <c r="S97" i="4"/>
  <c r="S96" i="4"/>
  <c r="V328" i="8" l="1"/>
  <c r="V327" i="8"/>
  <c r="V1132" i="10"/>
  <c r="V1131" i="10"/>
  <c r="Z1052" i="10"/>
  <c r="V326" i="8" l="1"/>
  <c r="V325" i="8"/>
  <c r="V324" i="8"/>
  <c r="V1130" i="10"/>
  <c r="AF990" i="10" l="1"/>
  <c r="V1129" i="10" l="1"/>
  <c r="V1128" i="10"/>
  <c r="V1127" i="10"/>
  <c r="AB1033" i="10"/>
  <c r="Z1009" i="10"/>
  <c r="S95" i="4"/>
  <c r="S94" i="4"/>
  <c r="S93" i="4"/>
  <c r="S92" i="4"/>
  <c r="S91" i="4"/>
  <c r="S90" i="4"/>
  <c r="V323" i="8" l="1"/>
  <c r="V322" i="8"/>
  <c r="V1126" i="10"/>
  <c r="V1125" i="10"/>
  <c r="AN946" i="10" l="1"/>
  <c r="Z1069" i="10" l="1"/>
  <c r="Z1036" i="10"/>
  <c r="V321" i="8" l="1"/>
  <c r="V320" i="8"/>
  <c r="V1124" i="10"/>
  <c r="V1123" i="10"/>
  <c r="V1036" i="10"/>
  <c r="AB1007" i="10"/>
  <c r="AA300" i="8" l="1"/>
  <c r="Z1044" i="10"/>
  <c r="V1122" i="10" l="1"/>
  <c r="V1121" i="10"/>
  <c r="V1120" i="10"/>
  <c r="V1119" i="10"/>
  <c r="V1118" i="10"/>
  <c r="S89" i="4" l="1"/>
  <c r="V1117" i="10" l="1"/>
  <c r="V1116" i="10"/>
  <c r="V1115" i="10"/>
  <c r="V1114" i="10"/>
  <c r="V1113" i="10"/>
  <c r="S88" i="4" l="1"/>
  <c r="V319" i="8" l="1"/>
  <c r="V318" i="8"/>
  <c r="V317" i="8"/>
  <c r="V1112" i="10"/>
  <c r="V1111" i="10"/>
  <c r="AD1013" i="10" l="1"/>
  <c r="Z1011" i="10"/>
  <c r="Y314" i="8" l="1"/>
  <c r="V316" i="8" l="1"/>
  <c r="V315" i="8"/>
  <c r="V314" i="8"/>
  <c r="V313" i="8"/>
  <c r="V312" i="8"/>
  <c r="V311" i="8"/>
  <c r="V310" i="8"/>
  <c r="V309" i="8"/>
  <c r="V308" i="8"/>
  <c r="V1110" i="10"/>
  <c r="V1109" i="10"/>
  <c r="V1108" i="10"/>
  <c r="V1107" i="10"/>
  <c r="V1106" i="10"/>
  <c r="V1105" i="10"/>
  <c r="Z1040" i="10" l="1"/>
  <c r="V116" i="9" l="1"/>
  <c r="V115" i="9"/>
  <c r="V307" i="8"/>
  <c r="V306" i="8"/>
  <c r="V305" i="8"/>
  <c r="V304" i="8"/>
  <c r="V303" i="8"/>
  <c r="V302" i="8"/>
  <c r="V1104" i="10"/>
  <c r="V1103" i="10"/>
  <c r="V1102" i="10"/>
  <c r="Z1064" i="10" l="1"/>
  <c r="V301" i="8" l="1"/>
  <c r="V300" i="8"/>
  <c r="V1101" i="10"/>
  <c r="V1100" i="10"/>
  <c r="V1099" i="10"/>
  <c r="V1098" i="10"/>
  <c r="V1097" i="10"/>
  <c r="V1096" i="10"/>
  <c r="V1095" i="10"/>
  <c r="Z1016" i="10"/>
  <c r="AH1006" i="10" l="1"/>
  <c r="V114" i="9" l="1"/>
  <c r="V1094" i="10"/>
  <c r="V1093" i="10"/>
  <c r="V1092" i="10"/>
  <c r="V1091" i="10"/>
  <c r="V113" i="9" l="1"/>
  <c r="Z1021" i="10"/>
  <c r="AF977" i="10"/>
  <c r="Z1033" i="10"/>
  <c r="AB990" i="10" l="1"/>
  <c r="V1090" i="10" l="1"/>
  <c r="V1089" i="10"/>
  <c r="V1088" i="10"/>
  <c r="V1087" i="10"/>
  <c r="V1086" i="10"/>
  <c r="V1085" i="10"/>
  <c r="V1084" i="10"/>
  <c r="V1083" i="10"/>
  <c r="V1082" i="10"/>
  <c r="V1081" i="10"/>
  <c r="AJ945" i="10" l="1"/>
  <c r="AD1006" i="10" l="1"/>
  <c r="AB944" i="10"/>
  <c r="V299" i="8" l="1"/>
  <c r="V298" i="8"/>
  <c r="V297" i="8"/>
  <c r="V1080" i="10"/>
  <c r="V1079" i="10"/>
  <c r="M1062" i="10"/>
  <c r="V1078" i="10" l="1"/>
  <c r="V1077" i="10"/>
  <c r="V1076" i="10"/>
  <c r="V1075" i="10"/>
  <c r="V1074" i="10"/>
  <c r="V1073" i="10"/>
  <c r="V1072" i="10"/>
  <c r="V1071" i="10"/>
  <c r="AH993" i="10"/>
  <c r="AB987" i="10" l="1"/>
  <c r="AB975" i="10"/>
  <c r="AD928" i="10"/>
  <c r="M999" i="10" l="1"/>
  <c r="M976" i="10"/>
  <c r="V1070" i="10" l="1"/>
  <c r="V1069" i="10"/>
  <c r="AB928" i="10"/>
  <c r="V928" i="10" s="1"/>
  <c r="V296" i="8"/>
  <c r="V1068" i="10"/>
  <c r="V1067" i="10"/>
  <c r="AF994" i="10"/>
  <c r="AF993" i="10"/>
  <c r="AF986" i="10"/>
  <c r="AH945" i="10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V55" i="4"/>
  <c r="S55" i="4" s="1"/>
  <c r="S54" i="4"/>
  <c r="S53" i="4"/>
  <c r="S52" i="4"/>
  <c r="S51" i="4"/>
  <c r="X50" i="4"/>
  <c r="S50" i="4" s="1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V33" i="4"/>
  <c r="S33" i="4" s="1"/>
  <c r="U32" i="4"/>
  <c r="S32" i="4"/>
  <c r="S31" i="4"/>
  <c r="V30" i="4"/>
  <c r="S30" i="4" s="1"/>
  <c r="V29" i="4"/>
  <c r="S29" i="4" s="1"/>
  <c r="S28" i="4"/>
  <c r="V27" i="4"/>
  <c r="S27" i="4" s="1"/>
  <c r="S26" i="4"/>
  <c r="S25" i="4"/>
  <c r="S24" i="4"/>
  <c r="V23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U9" i="4"/>
  <c r="S9" i="4"/>
  <c r="V8" i="4"/>
  <c r="S8" i="4" s="1"/>
  <c r="S7" i="4"/>
  <c r="V6" i="4"/>
  <c r="S6" i="4" s="1"/>
  <c r="S5" i="4"/>
  <c r="V4" i="4"/>
  <c r="S4" i="4" s="1"/>
  <c r="S3" i="4"/>
  <c r="R1" i="4"/>
  <c r="V295" i="8"/>
  <c r="V294" i="8"/>
  <c r="V293" i="8"/>
  <c r="V292" i="8"/>
  <c r="V291" i="8"/>
  <c r="V290" i="8"/>
  <c r="V289" i="8"/>
  <c r="V288" i="8"/>
  <c r="V287" i="8"/>
  <c r="V286" i="8"/>
  <c r="V285" i="8"/>
  <c r="V284" i="8"/>
  <c r="V283" i="8"/>
  <c r="V282" i="8"/>
  <c r="V281" i="8"/>
  <c r="V280" i="8"/>
  <c r="V279" i="8"/>
  <c r="V278" i="8"/>
  <c r="V277" i="8"/>
  <c r="V276" i="8"/>
  <c r="V275" i="8"/>
  <c r="M274" i="8"/>
  <c r="V274" i="8" s="1"/>
  <c r="V273" i="8"/>
  <c r="V272" i="8"/>
  <c r="V271" i="8"/>
  <c r="V270" i="8"/>
  <c r="V269" i="8"/>
  <c r="V268" i="8"/>
  <c r="V267" i="8"/>
  <c r="V266" i="8"/>
  <c r="V265" i="8"/>
  <c r="V264" i="8"/>
  <c r="V263" i="8"/>
  <c r="V262" i="8"/>
  <c r="V261" i="8"/>
  <c r="V260" i="8"/>
  <c r="V259" i="8"/>
  <c r="V258" i="8"/>
  <c r="V257" i="8"/>
  <c r="V256" i="8"/>
  <c r="V255" i="8"/>
  <c r="Y254" i="8"/>
  <c r="V254" i="8" s="1"/>
  <c r="V253" i="8"/>
  <c r="V252" i="8"/>
  <c r="V251" i="8"/>
  <c r="V250" i="8"/>
  <c r="V249" i="8"/>
  <c r="V248" i="8"/>
  <c r="V247" i="8"/>
  <c r="Y246" i="8"/>
  <c r="V246" i="8" s="1"/>
  <c r="V245" i="8"/>
  <c r="V244" i="8"/>
  <c r="V243" i="8"/>
  <c r="V242" i="8"/>
  <c r="V241" i="8"/>
  <c r="V240" i="8"/>
  <c r="V239" i="8"/>
  <c r="V238" i="8"/>
  <c r="V237" i="8"/>
  <c r="V236" i="8"/>
  <c r="V235" i="8"/>
  <c r="V234" i="8"/>
  <c r="V233" i="8"/>
  <c r="V232" i="8"/>
  <c r="V231" i="8"/>
  <c r="V230" i="8"/>
  <c r="Y229" i="8"/>
  <c r="V229" i="8" s="1"/>
  <c r="V228" i="8"/>
  <c r="V227" i="8"/>
  <c r="V226" i="8"/>
  <c r="V225" i="8"/>
  <c r="V224" i="8"/>
  <c r="V223" i="8"/>
  <c r="V222" i="8"/>
  <c r="V221" i="8"/>
  <c r="V220" i="8"/>
  <c r="V219" i="8"/>
  <c r="V218" i="8"/>
  <c r="V217" i="8"/>
  <c r="V216" i="8"/>
  <c r="V215" i="8"/>
  <c r="V214" i="8"/>
  <c r="V213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Y167" i="8"/>
  <c r="V167" i="8" s="1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Y148" i="8"/>
  <c r="V148" i="8" s="1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Y131" i="8"/>
  <c r="V131" i="8" s="1"/>
  <c r="V130" i="8"/>
  <c r="V129" i="8"/>
  <c r="V128" i="8"/>
  <c r="V127" i="8"/>
  <c r="V126" i="8"/>
  <c r="V125" i="8"/>
  <c r="V124" i="8"/>
  <c r="Y123" i="8"/>
  <c r="V123" i="8" s="1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Y107" i="8"/>
  <c r="V107" i="8" s="1"/>
  <c r="V106" i="8"/>
  <c r="V105" i="8"/>
  <c r="V104" i="8"/>
  <c r="V103" i="8"/>
  <c r="V102" i="8"/>
  <c r="Y101" i="8"/>
  <c r="V101" i="8" s="1"/>
  <c r="V100" i="8"/>
  <c r="Y99" i="8"/>
  <c r="V99" i="8" s="1"/>
  <c r="V98" i="8"/>
  <c r="V97" i="8"/>
  <c r="V96" i="8"/>
  <c r="V95" i="8"/>
  <c r="V94" i="8"/>
  <c r="V93" i="8"/>
  <c r="V92" i="8"/>
  <c r="V91" i="8"/>
  <c r="V90" i="8"/>
  <c r="V89" i="8"/>
  <c r="V88" i="8"/>
  <c r="Y87" i="8"/>
  <c r="V87" i="8" s="1"/>
  <c r="V86" i="8"/>
  <c r="V85" i="8"/>
  <c r="V84" i="8"/>
  <c r="V83" i="8"/>
  <c r="V82" i="8"/>
  <c r="V81" i="8"/>
  <c r="V80" i="8"/>
  <c r="V79" i="8"/>
  <c r="Y78" i="8"/>
  <c r="V78" i="8" s="1"/>
  <c r="V77" i="8"/>
  <c r="V76" i="8"/>
  <c r="Y75" i="8"/>
  <c r="V75" i="8" s="1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AA50" i="8"/>
  <c r="V50" i="8" s="1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Y36" i="8"/>
  <c r="V36" i="8" s="1"/>
  <c r="Y35" i="8"/>
  <c r="V35" i="8" s="1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Y16" i="8"/>
  <c r="V16" i="8" s="1"/>
  <c r="V15" i="8"/>
  <c r="V14" i="8"/>
  <c r="Y13" i="8"/>
  <c r="V13" i="8" s="1"/>
  <c r="AA12" i="8"/>
  <c r="V12" i="8" s="1"/>
  <c r="V11" i="8"/>
  <c r="V10" i="8"/>
  <c r="V9" i="8"/>
  <c r="V8" i="8"/>
  <c r="V7" i="8"/>
  <c r="V6" i="8"/>
  <c r="V5" i="8"/>
  <c r="V4" i="8"/>
  <c r="U1" i="8"/>
  <c r="M1" i="8"/>
  <c r="V112" i="9"/>
  <c r="V111" i="9"/>
  <c r="V110" i="9"/>
  <c r="V109" i="9"/>
  <c r="V108" i="9"/>
  <c r="V107" i="9"/>
  <c r="V106" i="9"/>
  <c r="V105" i="9"/>
  <c r="V104" i="9"/>
  <c r="V103" i="9"/>
  <c r="N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7" i="9"/>
  <c r="V86" i="9"/>
  <c r="V85" i="9"/>
  <c r="AA84" i="9"/>
  <c r="V84" i="9" s="1"/>
  <c r="V83" i="9"/>
  <c r="V82" i="9"/>
  <c r="V81" i="9"/>
  <c r="V80" i="9"/>
  <c r="V79" i="9"/>
  <c r="V78" i="9"/>
  <c r="V77" i="9"/>
  <c r="V76" i="9"/>
  <c r="Y75" i="9"/>
  <c r="V75" i="9" s="1"/>
  <c r="V74" i="9"/>
  <c r="V73" i="9"/>
  <c r="V72" i="9"/>
  <c r="V71" i="9"/>
  <c r="V70" i="9"/>
  <c r="V69" i="9"/>
  <c r="V68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Y43" i="9"/>
  <c r="V43" i="9" s="1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8" i="9"/>
  <c r="V27" i="9"/>
  <c r="V26" i="9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5" i="9"/>
  <c r="V4" i="9"/>
  <c r="U1" i="9"/>
  <c r="M1" i="9"/>
  <c r="V1066" i="10"/>
  <c r="V1065" i="10"/>
  <c r="V1064" i="10"/>
  <c r="V1063" i="10"/>
  <c r="V1062" i="10"/>
  <c r="V1061" i="10"/>
  <c r="V1060" i="10"/>
  <c r="V1059" i="10"/>
  <c r="V1058" i="10"/>
  <c r="V1057" i="10"/>
  <c r="V1056" i="10"/>
  <c r="V1055" i="10"/>
  <c r="V1054" i="10"/>
  <c r="V1053" i="10"/>
  <c r="V1052" i="10"/>
  <c r="V1051" i="10"/>
  <c r="V1050" i="10"/>
  <c r="V1049" i="10"/>
  <c r="V1048" i="10"/>
  <c r="V1047" i="10"/>
  <c r="V1046" i="10"/>
  <c r="V1045" i="10"/>
  <c r="V1044" i="10"/>
  <c r="V1043" i="10"/>
  <c r="V1042" i="10"/>
  <c r="V1041" i="10"/>
  <c r="V1040" i="10"/>
  <c r="V1039" i="10"/>
  <c r="V1038" i="10"/>
  <c r="V1037" i="10"/>
  <c r="V1035" i="10"/>
  <c r="V1034" i="10"/>
  <c r="V1033" i="10"/>
  <c r="V1032" i="10"/>
  <c r="V1031" i="10"/>
  <c r="V1030" i="10"/>
  <c r="V1029" i="10"/>
  <c r="V1028" i="10"/>
  <c r="V1027" i="10"/>
  <c r="V1026" i="10"/>
  <c r="V1025" i="10"/>
  <c r="V1024" i="10"/>
  <c r="V1023" i="10"/>
  <c r="V1022" i="10"/>
  <c r="V1021" i="10"/>
  <c r="V1020" i="10"/>
  <c r="V1019" i="10"/>
  <c r="V1018" i="10"/>
  <c r="V1017" i="10"/>
  <c r="V1016" i="10"/>
  <c r="V1015" i="10"/>
  <c r="V1014" i="10"/>
  <c r="V1013" i="10"/>
  <c r="V1012" i="10"/>
  <c r="V1011" i="10"/>
  <c r="V1010" i="10"/>
  <c r="V1009" i="10"/>
  <c r="V1008" i="10"/>
  <c r="V1007" i="10"/>
  <c r="V1006" i="10"/>
  <c r="V1005" i="10"/>
  <c r="V1004" i="10"/>
  <c r="V1003" i="10"/>
  <c r="Z1002" i="10"/>
  <c r="V1002" i="10" s="1"/>
  <c r="V1001" i="10"/>
  <c r="V1000" i="10"/>
  <c r="V999" i="10"/>
  <c r="V998" i="10"/>
  <c r="V997" i="10"/>
  <c r="V996" i="10"/>
  <c r="V995" i="10"/>
  <c r="AD994" i="10"/>
  <c r="AB994" i="10"/>
  <c r="AB993" i="10"/>
  <c r="Z992" i="10"/>
  <c r="V992" i="10" s="1"/>
  <c r="V991" i="10"/>
  <c r="V990" i="10"/>
  <c r="V989" i="10"/>
  <c r="V988" i="10"/>
  <c r="V987" i="10"/>
  <c r="AB986" i="10"/>
  <c r="V985" i="10"/>
  <c r="V984" i="10"/>
  <c r="V983" i="10"/>
  <c r="V982" i="10"/>
  <c r="V981" i="10"/>
  <c r="V980" i="10"/>
  <c r="Z979" i="10"/>
  <c r="V979" i="10" s="1"/>
  <c r="Z978" i="10"/>
  <c r="V978" i="10" s="1"/>
  <c r="V977" i="10"/>
  <c r="Z976" i="10"/>
  <c r="V976" i="10" s="1"/>
  <c r="V975" i="10"/>
  <c r="V974" i="10"/>
  <c r="Z973" i="10"/>
  <c r="V973" i="10" s="1"/>
  <c r="V972" i="10"/>
  <c r="V971" i="10"/>
  <c r="V970" i="10"/>
  <c r="V969" i="10"/>
  <c r="V968" i="10"/>
  <c r="V967" i="10"/>
  <c r="Z966" i="10"/>
  <c r="V966" i="10" s="1"/>
  <c r="AB965" i="10"/>
  <c r="V965" i="10" s="1"/>
  <c r="V964" i="10"/>
  <c r="AB963" i="10"/>
  <c r="Z963" i="10"/>
  <c r="V962" i="10"/>
  <c r="V961" i="10"/>
  <c r="Z960" i="10"/>
  <c r="V960" i="10" s="1"/>
  <c r="Z959" i="10"/>
  <c r="V959" i="10" s="1"/>
  <c r="V958" i="10"/>
  <c r="V957" i="10"/>
  <c r="V956" i="10"/>
  <c r="V955" i="10"/>
  <c r="V954" i="10"/>
  <c r="V953" i="10"/>
  <c r="V952" i="10"/>
  <c r="V951" i="10"/>
  <c r="Z950" i="10"/>
  <c r="V950" i="10" s="1"/>
  <c r="Z949" i="10"/>
  <c r="V949" i="10" s="1"/>
  <c r="V948" i="10"/>
  <c r="V947" i="10"/>
  <c r="AB946" i="10"/>
  <c r="V946" i="10" s="1"/>
  <c r="AF945" i="10"/>
  <c r="AD945" i="10"/>
  <c r="AB945" i="10"/>
  <c r="Z945" i="10"/>
  <c r="Z944" i="10"/>
  <c r="V944" i="10" s="1"/>
  <c r="V943" i="10"/>
  <c r="V942" i="10"/>
  <c r="V941" i="10"/>
  <c r="V940" i="10"/>
  <c r="V939" i="10"/>
  <c r="Z938" i="10"/>
  <c r="V938" i="10" s="1"/>
  <c r="V937" i="10"/>
  <c r="Z936" i="10"/>
  <c r="V936" i="10" s="1"/>
  <c r="V935" i="10"/>
  <c r="V934" i="10"/>
  <c r="AB933" i="10"/>
  <c r="V933" i="10" s="1"/>
  <c r="V932" i="10"/>
  <c r="Z931" i="10"/>
  <c r="V931" i="10" s="1"/>
  <c r="AB930" i="10"/>
  <c r="Z930" i="10"/>
  <c r="V929" i="10"/>
  <c r="AD927" i="10"/>
  <c r="AB927" i="10"/>
  <c r="V926" i="10"/>
  <c r="V925" i="10"/>
  <c r="V924" i="10"/>
  <c r="V923" i="10"/>
  <c r="V922" i="10"/>
  <c r="V921" i="10"/>
  <c r="V920" i="10"/>
  <c r="V919" i="10"/>
  <c r="V918" i="10"/>
  <c r="AF917" i="10"/>
  <c r="AD917" i="10"/>
  <c r="Z917" i="10"/>
  <c r="AB916" i="10"/>
  <c r="Z916" i="10"/>
  <c r="V915" i="10"/>
  <c r="V914" i="10"/>
  <c r="V913" i="10"/>
  <c r="V912" i="10"/>
  <c r="V911" i="10"/>
  <c r="AB910" i="10"/>
  <c r="Z910" i="10"/>
  <c r="V909" i="10"/>
  <c r="AB908" i="10"/>
  <c r="V908" i="10" s="1"/>
  <c r="V907" i="10"/>
  <c r="V906" i="10"/>
  <c r="V905" i="10"/>
  <c r="V904" i="10"/>
  <c r="Z903" i="10"/>
  <c r="M903" i="10"/>
  <c r="M1" i="10" s="1"/>
  <c r="V902" i="10"/>
  <c r="AD901" i="10"/>
  <c r="AB901" i="10"/>
  <c r="Z900" i="10"/>
  <c r="V900" i="10" s="1"/>
  <c r="V899" i="10"/>
  <c r="V898" i="10"/>
  <c r="V897" i="10"/>
  <c r="V896" i="10"/>
  <c r="V895" i="10"/>
  <c r="V894" i="10"/>
  <c r="V893" i="10"/>
  <c r="V892" i="10"/>
  <c r="AD891" i="10"/>
  <c r="V891" i="10" s="1"/>
  <c r="Z890" i="10"/>
  <c r="V890" i="10" s="1"/>
  <c r="Z889" i="10"/>
  <c r="V889" i="10" s="1"/>
  <c r="V888" i="10"/>
  <c r="V887" i="10"/>
  <c r="V886" i="10"/>
  <c r="V885" i="10"/>
  <c r="V884" i="10"/>
  <c r="V883" i="10"/>
  <c r="V882" i="10"/>
  <c r="Z881" i="10"/>
  <c r="V881" i="10" s="1"/>
  <c r="Z880" i="10"/>
  <c r="V880" i="10" s="1"/>
  <c r="V879" i="10"/>
  <c r="V878" i="10"/>
  <c r="V877" i="10"/>
  <c r="V876" i="10"/>
  <c r="V875" i="10"/>
  <c r="V874" i="10"/>
  <c r="V873" i="10"/>
  <c r="Z872" i="10"/>
  <c r="V872" i="10" s="1"/>
  <c r="V871" i="10"/>
  <c r="V870" i="10"/>
  <c r="V869" i="10"/>
  <c r="V868" i="10"/>
  <c r="V867" i="10"/>
  <c r="V866" i="10"/>
  <c r="V865" i="10"/>
  <c r="V864" i="10"/>
  <c r="V863" i="10"/>
  <c r="V862" i="10"/>
  <c r="AF861" i="10"/>
  <c r="AD861" i="10"/>
  <c r="AB861" i="10"/>
  <c r="Z861" i="10"/>
  <c r="V860" i="10"/>
  <c r="Z859" i="10"/>
  <c r="V859" i="10" s="1"/>
  <c r="V858" i="10"/>
  <c r="Z857" i="10"/>
  <c r="V857" i="10" s="1"/>
  <c r="Z856" i="10"/>
  <c r="V856" i="10" s="1"/>
  <c r="V855" i="10"/>
  <c r="V854" i="10"/>
  <c r="V853" i="10"/>
  <c r="V852" i="10"/>
  <c r="V851" i="10"/>
  <c r="Z850" i="10"/>
  <c r="V850" i="10" s="1"/>
  <c r="V849" i="10"/>
  <c r="AB848" i="10"/>
  <c r="V848" i="10" s="1"/>
  <c r="V847" i="10"/>
  <c r="V846" i="10"/>
  <c r="V845" i="10"/>
  <c r="Z844" i="10"/>
  <c r="V844" i="10" s="1"/>
  <c r="AB843" i="10"/>
  <c r="Z843" i="10"/>
  <c r="V842" i="10"/>
  <c r="AF841" i="10"/>
  <c r="AD841" i="10"/>
  <c r="AB841" i="10"/>
  <c r="Z841" i="10"/>
  <c r="AB840" i="10"/>
  <c r="V840" i="10" s="1"/>
  <c r="AF839" i="10"/>
  <c r="AD839" i="10"/>
  <c r="AB839" i="10"/>
  <c r="Z839" i="10"/>
  <c r="V838" i="10"/>
  <c r="V837" i="10"/>
  <c r="V836" i="10"/>
  <c r="V835" i="10"/>
  <c r="Z834" i="10"/>
  <c r="V834" i="10" s="1"/>
  <c r="V833" i="10"/>
  <c r="V832" i="10"/>
  <c r="V831" i="10"/>
  <c r="V830" i="10"/>
  <c r="Z829" i="10"/>
  <c r="V829" i="10" s="1"/>
  <c r="V828" i="10"/>
  <c r="AB827" i="10"/>
  <c r="Z827" i="10"/>
  <c r="Z826" i="10"/>
  <c r="V826" i="10" s="1"/>
  <c r="V825" i="10"/>
  <c r="Z824" i="10"/>
  <c r="V824" i="10" s="1"/>
  <c r="V823" i="10"/>
  <c r="Z822" i="10"/>
  <c r="V822" i="10" s="1"/>
  <c r="V821" i="10"/>
  <c r="V820" i="10"/>
  <c r="Z819" i="10"/>
  <c r="V819" i="10" s="1"/>
  <c r="V818" i="10"/>
  <c r="V817" i="10"/>
  <c r="AB816" i="10"/>
  <c r="V816" i="10" s="1"/>
  <c r="Z815" i="10"/>
  <c r="V815" i="10" s="1"/>
  <c r="V814" i="10"/>
  <c r="V813" i="10"/>
  <c r="V812" i="10"/>
  <c r="V811" i="10"/>
  <c r="Z810" i="10"/>
  <c r="V810" i="10" s="1"/>
  <c r="V809" i="10"/>
  <c r="V808" i="10"/>
  <c r="V807" i="10"/>
  <c r="V806" i="10"/>
  <c r="V805" i="10"/>
  <c r="V804" i="10"/>
  <c r="V803" i="10"/>
  <c r="V802" i="10"/>
  <c r="V801" i="10"/>
  <c r="V800" i="10"/>
  <c r="V799" i="10"/>
  <c r="V798" i="10"/>
  <c r="Z797" i="10"/>
  <c r="V797" i="10" s="1"/>
  <c r="V796" i="10"/>
  <c r="V795" i="10"/>
  <c r="Z794" i="10"/>
  <c r="V794" i="10" s="1"/>
  <c r="V793" i="10"/>
  <c r="V792" i="10"/>
  <c r="V791" i="10"/>
  <c r="Z790" i="10"/>
  <c r="V790" i="10" s="1"/>
  <c r="V789" i="10"/>
  <c r="V788" i="10"/>
  <c r="V787" i="10"/>
  <c r="V786" i="10"/>
  <c r="V785" i="10"/>
  <c r="V784" i="10"/>
  <c r="V783" i="10"/>
  <c r="V782" i="10"/>
  <c r="V781" i="10"/>
  <c r="Z780" i="10"/>
  <c r="V780" i="10" s="1"/>
  <c r="V779" i="10"/>
  <c r="V778" i="10"/>
  <c r="V777" i="10"/>
  <c r="Z776" i="10"/>
  <c r="V776" i="10" s="1"/>
  <c r="V775" i="10"/>
  <c r="V774" i="10"/>
  <c r="V773" i="10"/>
  <c r="V772" i="10"/>
  <c r="V771" i="10"/>
  <c r="V770" i="10"/>
  <c r="V769" i="10"/>
  <c r="Z768" i="10"/>
  <c r="V768" i="10" s="1"/>
  <c r="AB767" i="10"/>
  <c r="Z767" i="10"/>
  <c r="Z766" i="10"/>
  <c r="V766" i="10" s="1"/>
  <c r="V765" i="10"/>
  <c r="Z764" i="10"/>
  <c r="V764" i="10" s="1"/>
  <c r="Z763" i="10"/>
  <c r="V763" i="10" s="1"/>
  <c r="V762" i="10"/>
  <c r="V761" i="10"/>
  <c r="V760" i="10"/>
  <c r="V759" i="10"/>
  <c r="V758" i="10"/>
  <c r="V757" i="10"/>
  <c r="V756" i="10"/>
  <c r="Z755" i="10"/>
  <c r="V755" i="10" s="1"/>
  <c r="V754" i="10"/>
  <c r="V753" i="10"/>
  <c r="V752" i="10"/>
  <c r="V751" i="10"/>
  <c r="AB750" i="10"/>
  <c r="V750" i="10" s="1"/>
  <c r="V749" i="10"/>
  <c r="V748" i="10"/>
  <c r="V747" i="10"/>
  <c r="V746" i="10"/>
  <c r="V745" i="10"/>
  <c r="Z744" i="10"/>
  <c r="V744" i="10" s="1"/>
  <c r="V743" i="10"/>
  <c r="AD742" i="10"/>
  <c r="AB742" i="10"/>
  <c r="Z741" i="10"/>
  <c r="V741" i="10" s="1"/>
  <c r="V740" i="10"/>
  <c r="V739" i="10"/>
  <c r="AB738" i="10"/>
  <c r="V738" i="10" s="1"/>
  <c r="V737" i="10"/>
  <c r="V736" i="10"/>
  <c r="V735" i="10"/>
  <c r="AD734" i="10"/>
  <c r="V734" i="10" s="1"/>
  <c r="V733" i="10"/>
  <c r="Z732" i="10"/>
  <c r="V732" i="10" s="1"/>
  <c r="Z731" i="10"/>
  <c r="V731" i="10" s="1"/>
  <c r="Z730" i="10"/>
  <c r="V730" i="10" s="1"/>
  <c r="V729" i="10"/>
  <c r="V728" i="10"/>
  <c r="V727" i="10"/>
  <c r="V726" i="10"/>
  <c r="V725" i="10"/>
  <c r="V724" i="10"/>
  <c r="V723" i="10"/>
  <c r="V722" i="10"/>
  <c r="V721" i="10"/>
  <c r="Z720" i="10"/>
  <c r="V720" i="10" s="1"/>
  <c r="Z719" i="10"/>
  <c r="V719" i="10" s="1"/>
  <c r="V718" i="10"/>
  <c r="V717" i="10"/>
  <c r="V716" i="10"/>
  <c r="V715" i="10"/>
  <c r="V714" i="10"/>
  <c r="V713" i="10"/>
  <c r="V712" i="10"/>
  <c r="V711" i="10"/>
  <c r="V710" i="10"/>
  <c r="V709" i="10"/>
  <c r="V708" i="10"/>
  <c r="Z707" i="10"/>
  <c r="V707" i="10" s="1"/>
  <c r="Z706" i="10"/>
  <c r="V706" i="10" s="1"/>
  <c r="Z705" i="10"/>
  <c r="V705" i="10" s="1"/>
  <c r="V704" i="10"/>
  <c r="V703" i="10"/>
  <c r="V702" i="10"/>
  <c r="V701" i="10"/>
  <c r="V700" i="10"/>
  <c r="V699" i="10"/>
  <c r="V698" i="10"/>
  <c r="Z697" i="10"/>
  <c r="V697" i="10" s="1"/>
  <c r="V696" i="10"/>
  <c r="V695" i="10"/>
  <c r="Z694" i="10"/>
  <c r="V694" i="10" s="1"/>
  <c r="V693" i="10"/>
  <c r="V692" i="10"/>
  <c r="Z691" i="10"/>
  <c r="V691" i="10" s="1"/>
  <c r="V690" i="10"/>
  <c r="V689" i="10"/>
  <c r="V688" i="10"/>
  <c r="V687" i="10"/>
  <c r="V686" i="10"/>
  <c r="V685" i="10"/>
  <c r="V684" i="10"/>
  <c r="Z683" i="10"/>
  <c r="V683" i="10" s="1"/>
  <c r="V682" i="10"/>
  <c r="V681" i="10"/>
  <c r="V680" i="10"/>
  <c r="V679" i="10"/>
  <c r="V678" i="10"/>
  <c r="V677" i="10"/>
  <c r="Z676" i="10"/>
  <c r="V676" i="10" s="1"/>
  <c r="V675" i="10"/>
  <c r="V674" i="10"/>
  <c r="V673" i="10"/>
  <c r="V672" i="10"/>
  <c r="V671" i="10"/>
  <c r="Z670" i="10"/>
  <c r="V670" i="10" s="1"/>
  <c r="V669" i="10"/>
  <c r="V668" i="10"/>
  <c r="V667" i="10"/>
  <c r="V666" i="10"/>
  <c r="V665" i="10"/>
  <c r="V664" i="10"/>
  <c r="V663" i="10"/>
  <c r="AD662" i="10"/>
  <c r="V662" i="10" s="1"/>
  <c r="V661" i="10"/>
  <c r="V660" i="10"/>
  <c r="V659" i="10"/>
  <c r="V658" i="10"/>
  <c r="V657" i="10"/>
  <c r="V656" i="10"/>
  <c r="V655" i="10"/>
  <c r="V654" i="10"/>
  <c r="V653" i="10"/>
  <c r="V652" i="10"/>
  <c r="V651" i="10"/>
  <c r="V650" i="10"/>
  <c r="V649" i="10"/>
  <c r="V648" i="10"/>
  <c r="V647" i="10"/>
  <c r="V646" i="10"/>
  <c r="V645" i="10"/>
  <c r="V644" i="10"/>
  <c r="V643" i="10"/>
  <c r="V642" i="10"/>
  <c r="V641" i="10"/>
  <c r="V640" i="10"/>
  <c r="V639" i="10"/>
  <c r="V638" i="10"/>
  <c r="Z637" i="10"/>
  <c r="V637" i="10" s="1"/>
  <c r="V636" i="10"/>
  <c r="V635" i="10"/>
  <c r="V634" i="10"/>
  <c r="Z633" i="10"/>
  <c r="V633" i="10" s="1"/>
  <c r="V632" i="10"/>
  <c r="V631" i="10"/>
  <c r="V630" i="10"/>
  <c r="V629" i="10"/>
  <c r="V628" i="10"/>
  <c r="V627" i="10"/>
  <c r="V626" i="10"/>
  <c r="V625" i="10"/>
  <c r="V624" i="10"/>
  <c r="V623" i="10"/>
  <c r="V622" i="10"/>
  <c r="AB621" i="10"/>
  <c r="Z621" i="10"/>
  <c r="M621" i="10"/>
  <c r="AB620" i="10"/>
  <c r="V620" i="10" s="1"/>
  <c r="Z619" i="10"/>
  <c r="V619" i="10" s="1"/>
  <c r="V618" i="10"/>
  <c r="V617" i="10"/>
  <c r="V616" i="10"/>
  <c r="V615" i="10"/>
  <c r="Z614" i="10"/>
  <c r="V614" i="10" s="1"/>
  <c r="AB613" i="10"/>
  <c r="V613" i="10" s="1"/>
  <c r="V612" i="10"/>
  <c r="V611" i="10"/>
  <c r="V610" i="10"/>
  <c r="Z609" i="10"/>
  <c r="V609" i="10" s="1"/>
  <c r="V608" i="10"/>
  <c r="V607" i="10"/>
  <c r="Z606" i="10"/>
  <c r="V606" i="10" s="1"/>
  <c r="V605" i="10"/>
  <c r="Z604" i="10"/>
  <c r="V604" i="10" s="1"/>
  <c r="V603" i="10"/>
  <c r="AB602" i="10"/>
  <c r="V602" i="10" s="1"/>
  <c r="AB601" i="10"/>
  <c r="V601" i="10" s="1"/>
  <c r="V600" i="10"/>
  <c r="AD599" i="10"/>
  <c r="V599" i="10" s="1"/>
  <c r="V598" i="10"/>
  <c r="AB597" i="10"/>
  <c r="V597" i="10" s="1"/>
  <c r="V596" i="10"/>
  <c r="V595" i="10"/>
  <c r="V594" i="10"/>
  <c r="V593" i="10"/>
  <c r="V592" i="10"/>
  <c r="V591" i="10"/>
  <c r="Z590" i="10"/>
  <c r="V590" i="10" s="1"/>
  <c r="V589" i="10"/>
  <c r="V588" i="10"/>
  <c r="V587" i="10"/>
  <c r="V586" i="10"/>
  <c r="V585" i="10"/>
  <c r="V584" i="10"/>
  <c r="V583" i="10"/>
  <c r="V582" i="10"/>
  <c r="V581" i="10"/>
  <c r="V580" i="10"/>
  <c r="AD579" i="10"/>
  <c r="AB579" i="10"/>
  <c r="V578" i="10"/>
  <c r="V577" i="10"/>
  <c r="Z576" i="10"/>
  <c r="V576" i="10" s="1"/>
  <c r="V575" i="10"/>
  <c r="V574" i="10"/>
  <c r="V573" i="10"/>
  <c r="V572" i="10"/>
  <c r="V571" i="10"/>
  <c r="V570" i="10"/>
  <c r="V569" i="10"/>
  <c r="Z568" i="10"/>
  <c r="V568" i="10" s="1"/>
  <c r="V567" i="10"/>
  <c r="V566" i="10"/>
  <c r="V565" i="10"/>
  <c r="Z564" i="10"/>
  <c r="V564" i="10" s="1"/>
  <c r="V563" i="10"/>
  <c r="Z562" i="10"/>
  <c r="V562" i="10" s="1"/>
  <c r="V561" i="10"/>
  <c r="V560" i="10"/>
  <c r="V559" i="10"/>
  <c r="V558" i="10"/>
  <c r="V557" i="10"/>
  <c r="V556" i="10"/>
  <c r="V555" i="10"/>
  <c r="V554" i="10"/>
  <c r="V553" i="10"/>
  <c r="V552" i="10"/>
  <c r="V551" i="10"/>
  <c r="V550" i="10"/>
  <c r="V549" i="10"/>
  <c r="Z548" i="10"/>
  <c r="V548" i="10" s="1"/>
  <c r="V547" i="10"/>
  <c r="V546" i="10"/>
  <c r="V545" i="10"/>
  <c r="V544" i="10"/>
  <c r="V543" i="10"/>
  <c r="V542" i="10"/>
  <c r="Z541" i="10"/>
  <c r="V541" i="10" s="1"/>
  <c r="V540" i="10"/>
  <c r="V539" i="10"/>
  <c r="V538" i="10"/>
  <c r="V537" i="10"/>
  <c r="V536" i="10"/>
  <c r="V535" i="10"/>
  <c r="V534" i="10"/>
  <c r="V533" i="10"/>
  <c r="V532" i="10"/>
  <c r="V531" i="10"/>
  <c r="Z530" i="10"/>
  <c r="V530" i="10" s="1"/>
  <c r="AB529" i="10"/>
  <c r="Z529" i="10"/>
  <c r="V528" i="10"/>
  <c r="Z527" i="10"/>
  <c r="V527" i="10" s="1"/>
  <c r="V526" i="10"/>
  <c r="V525" i="10"/>
  <c r="V524" i="10"/>
  <c r="V523" i="10"/>
  <c r="V522" i="10"/>
  <c r="V521" i="10"/>
  <c r="V520" i="10"/>
  <c r="V519" i="10"/>
  <c r="V518" i="10"/>
  <c r="Z517" i="10"/>
  <c r="V517" i="10" s="1"/>
  <c r="AB516" i="10"/>
  <c r="Z516" i="10"/>
  <c r="V515" i="10"/>
  <c r="V514" i="10"/>
  <c r="V513" i="10"/>
  <c r="V512" i="10"/>
  <c r="V511" i="10"/>
  <c r="V510" i="10"/>
  <c r="V509" i="10"/>
  <c r="V508" i="10"/>
  <c r="V507" i="10"/>
  <c r="Z506" i="10"/>
  <c r="V506" i="10" s="1"/>
  <c r="V505" i="10"/>
  <c r="V504" i="10"/>
  <c r="V503" i="10"/>
  <c r="V502" i="10"/>
  <c r="V501" i="10"/>
  <c r="V500" i="10"/>
  <c r="V499" i="10"/>
  <c r="V498" i="10"/>
  <c r="V497" i="10"/>
  <c r="Z496" i="10"/>
  <c r="V496" i="10" s="1"/>
  <c r="V495" i="10"/>
  <c r="V494" i="10"/>
  <c r="V493" i="10"/>
  <c r="V492" i="10"/>
  <c r="V491" i="10"/>
  <c r="Z490" i="10"/>
  <c r="V490" i="10" s="1"/>
  <c r="Z489" i="10"/>
  <c r="V489" i="10" s="1"/>
  <c r="Z488" i="10"/>
  <c r="V488" i="10" s="1"/>
  <c r="V487" i="10"/>
  <c r="AB486" i="10"/>
  <c r="Z486" i="10"/>
  <c r="V485" i="10"/>
  <c r="V484" i="10"/>
  <c r="V483" i="10"/>
  <c r="V482" i="10"/>
  <c r="V481" i="10"/>
  <c r="Z480" i="10"/>
  <c r="V480" i="10" s="1"/>
  <c r="V479" i="10"/>
  <c r="V478" i="10"/>
  <c r="V477" i="10"/>
  <c r="V476" i="10"/>
  <c r="Z475" i="10"/>
  <c r="V475" i="10" s="1"/>
  <c r="V474" i="10"/>
  <c r="V473" i="10"/>
  <c r="V472" i="10"/>
  <c r="Z471" i="10"/>
  <c r="V471" i="10" s="1"/>
  <c r="V470" i="10"/>
  <c r="V469" i="10"/>
  <c r="V468" i="10"/>
  <c r="V467" i="10"/>
  <c r="V466" i="10"/>
  <c r="V465" i="10"/>
  <c r="V464" i="10"/>
  <c r="V463" i="10"/>
  <c r="V462" i="10"/>
  <c r="V461" i="10"/>
  <c r="V460" i="10"/>
  <c r="V459" i="10"/>
  <c r="V458" i="10"/>
  <c r="V457" i="10"/>
  <c r="V456" i="10"/>
  <c r="V455" i="10"/>
  <c r="V454" i="10"/>
  <c r="Z453" i="10"/>
  <c r="V453" i="10" s="1"/>
  <c r="Z452" i="10"/>
  <c r="V452" i="10" s="1"/>
  <c r="V451" i="10"/>
  <c r="V450" i="10"/>
  <c r="Z449" i="10"/>
  <c r="V449" i="10" s="1"/>
  <c r="Z448" i="10"/>
  <c r="V448" i="10" s="1"/>
  <c r="V447" i="10"/>
  <c r="V446" i="10"/>
  <c r="V445" i="10"/>
  <c r="V444" i="10"/>
  <c r="V443" i="10"/>
  <c r="V442" i="10"/>
  <c r="V441" i="10"/>
  <c r="V440" i="10"/>
  <c r="V439" i="10"/>
  <c r="V438" i="10"/>
  <c r="V437" i="10"/>
  <c r="V436" i="10"/>
  <c r="V435" i="10"/>
  <c r="V434" i="10"/>
  <c r="V433" i="10"/>
  <c r="V432" i="10"/>
  <c r="V431" i="10"/>
  <c r="V430" i="10"/>
  <c r="V429" i="10"/>
  <c r="V428" i="10"/>
  <c r="Z427" i="10"/>
  <c r="V427" i="10" s="1"/>
  <c r="V426" i="10"/>
  <c r="V425" i="10"/>
  <c r="U424" i="10"/>
  <c r="Z423" i="10"/>
  <c r="V423" i="10" s="1"/>
  <c r="V422" i="10"/>
  <c r="V421" i="10"/>
  <c r="V420" i="10"/>
  <c r="AB419" i="10"/>
  <c r="V419" i="10" s="1"/>
  <c r="Z418" i="10"/>
  <c r="V418" i="10" s="1"/>
  <c r="V417" i="10"/>
  <c r="V416" i="10"/>
  <c r="AD415" i="10"/>
  <c r="AB415" i="10"/>
  <c r="Z414" i="10"/>
  <c r="V414" i="10" s="1"/>
  <c r="V413" i="10"/>
  <c r="V412" i="10"/>
  <c r="V411" i="10"/>
  <c r="V410" i="10"/>
  <c r="V409" i="10"/>
  <c r="V408" i="10"/>
  <c r="Z407" i="10"/>
  <c r="V407" i="10" s="1"/>
  <c r="V406" i="10"/>
  <c r="V405" i="10"/>
  <c r="V404" i="10"/>
  <c r="V403" i="10"/>
  <c r="V402" i="10"/>
  <c r="V401" i="10"/>
  <c r="AD400" i="10"/>
  <c r="AB400" i="10"/>
  <c r="Z400" i="10"/>
  <c r="V399" i="10"/>
  <c r="V398" i="10"/>
  <c r="V397" i="10"/>
  <c r="V396" i="10"/>
  <c r="Z395" i="10"/>
  <c r="V395" i="10" s="1"/>
  <c r="V394" i="10"/>
  <c r="V393" i="10"/>
  <c r="V392" i="10"/>
  <c r="Z391" i="10"/>
  <c r="V391" i="10" s="1"/>
  <c r="V390" i="10"/>
  <c r="V389" i="10"/>
  <c r="V388" i="10"/>
  <c r="V387" i="10"/>
  <c r="V386" i="10"/>
  <c r="V385" i="10"/>
  <c r="V384" i="10"/>
  <c r="V383" i="10"/>
  <c r="V382" i="10"/>
  <c r="V381" i="10"/>
  <c r="AB380" i="10"/>
  <c r="Z380" i="10"/>
  <c r="AB379" i="10"/>
  <c r="Z379" i="10"/>
  <c r="Z378" i="10"/>
  <c r="V378" i="10" s="1"/>
  <c r="AH377" i="10"/>
  <c r="AD377" i="10"/>
  <c r="AB377" i="10"/>
  <c r="V376" i="10"/>
  <c r="V375" i="10"/>
  <c r="V374" i="10"/>
  <c r="Z373" i="10"/>
  <c r="V373" i="10" s="1"/>
  <c r="V372" i="10"/>
  <c r="V371" i="10"/>
  <c r="V370" i="10"/>
  <c r="V369" i="10"/>
  <c r="Z368" i="10"/>
  <c r="V368" i="10" s="1"/>
  <c r="V367" i="10"/>
  <c r="V366" i="10"/>
  <c r="V365" i="10"/>
  <c r="V364" i="10"/>
  <c r="V363" i="10"/>
  <c r="V362" i="10"/>
  <c r="V361" i="10"/>
  <c r="V360" i="10"/>
  <c r="V359" i="10"/>
  <c r="V358" i="10"/>
  <c r="V357" i="10"/>
  <c r="V356" i="10"/>
  <c r="V355" i="10"/>
  <c r="V354" i="10"/>
  <c r="AJ353" i="10"/>
  <c r="AF353" i="10"/>
  <c r="AD353" i="10"/>
  <c r="AB353" i="10"/>
  <c r="V352" i="10"/>
  <c r="V351" i="10"/>
  <c r="V350" i="10"/>
  <c r="V349" i="10"/>
  <c r="V348" i="10"/>
  <c r="V347" i="10"/>
  <c r="V346" i="10"/>
  <c r="AF345" i="10"/>
  <c r="Z345" i="10"/>
  <c r="Z344" i="10"/>
  <c r="V344" i="10" s="1"/>
  <c r="V343" i="10"/>
  <c r="V342" i="10"/>
  <c r="V341" i="10"/>
  <c r="V340" i="10"/>
  <c r="Z339" i="10"/>
  <c r="V339" i="10" s="1"/>
  <c r="V338" i="10"/>
  <c r="V337" i="10"/>
  <c r="V336" i="10"/>
  <c r="V335" i="10"/>
  <c r="Z334" i="10"/>
  <c r="V334" i="10" s="1"/>
  <c r="V333" i="10"/>
  <c r="V332" i="10"/>
  <c r="V331" i="10"/>
  <c r="AB330" i="10"/>
  <c r="Z330" i="10"/>
  <c r="V329" i="10"/>
  <c r="V328" i="10"/>
  <c r="V327" i="10"/>
  <c r="V326" i="10"/>
  <c r="Z325" i="10"/>
  <c r="V325" i="10" s="1"/>
  <c r="AB324" i="10"/>
  <c r="V324" i="10" s="1"/>
  <c r="AH323" i="10"/>
  <c r="AF323" i="10"/>
  <c r="AD323" i="10"/>
  <c r="AB322" i="10"/>
  <c r="V322" i="10" s="1"/>
  <c r="Z321" i="10"/>
  <c r="V321" i="10" s="1"/>
  <c r="Z320" i="10"/>
  <c r="V320" i="10" s="1"/>
  <c r="V319" i="10"/>
  <c r="AH318" i="10"/>
  <c r="AD318" i="10"/>
  <c r="AB318" i="10"/>
  <c r="AL317" i="10"/>
  <c r="AD317" i="10"/>
  <c r="V316" i="10"/>
  <c r="V315" i="10"/>
  <c r="V314" i="10"/>
  <c r="V313" i="10"/>
  <c r="Z312" i="10"/>
  <c r="V312" i="10" s="1"/>
  <c r="AB311" i="10"/>
  <c r="V311" i="10" s="1"/>
  <c r="V310" i="10"/>
  <c r="V309" i="10"/>
  <c r="Z308" i="10"/>
  <c r="V308" i="10" s="1"/>
  <c r="V307" i="10"/>
  <c r="Z306" i="10"/>
  <c r="V306" i="10" s="1"/>
  <c r="Z305" i="10"/>
  <c r="V305" i="10" s="1"/>
  <c r="V304" i="10"/>
  <c r="V303" i="10"/>
  <c r="V302" i="10"/>
  <c r="Z301" i="10"/>
  <c r="V301" i="10" s="1"/>
  <c r="V300" i="10"/>
  <c r="V299" i="10"/>
  <c r="AB298" i="10"/>
  <c r="V298" i="10" s="1"/>
  <c r="V297" i="10"/>
  <c r="AD296" i="10"/>
  <c r="AB296" i="10"/>
  <c r="V295" i="10"/>
  <c r="V294" i="10"/>
  <c r="V293" i="10"/>
  <c r="AJ292" i="10"/>
  <c r="AH292" i="10"/>
  <c r="Z292" i="10"/>
  <c r="AP291" i="10"/>
  <c r="AN291" i="10"/>
  <c r="AL291" i="10"/>
  <c r="AD291" i="10"/>
  <c r="AB291" i="10"/>
  <c r="Z290" i="10"/>
  <c r="V290" i="10" s="1"/>
  <c r="AB289" i="10"/>
  <c r="V289" i="10" s="1"/>
  <c r="V288" i="10"/>
  <c r="V287" i="10"/>
  <c r="V286" i="10"/>
  <c r="Z285" i="10"/>
  <c r="V285" i="10" s="1"/>
  <c r="V283" i="10"/>
  <c r="V282" i="10"/>
  <c r="V281" i="10"/>
  <c r="V280" i="10"/>
  <c r="V279" i="10"/>
  <c r="V278" i="10"/>
  <c r="Z277" i="10"/>
  <c r="V277" i="10" s="1"/>
  <c r="V276" i="10"/>
  <c r="Z275" i="10"/>
  <c r="V275" i="10" s="1"/>
  <c r="V274" i="10"/>
  <c r="V273" i="10"/>
  <c r="V272" i="10"/>
  <c r="V271" i="10"/>
  <c r="V270" i="10"/>
  <c r="Z269" i="10"/>
  <c r="V269" i="10" s="1"/>
  <c r="V268" i="10"/>
  <c r="V267" i="10"/>
  <c r="V266" i="10"/>
  <c r="V265" i="10"/>
  <c r="Z264" i="10"/>
  <c r="V264" i="10" s="1"/>
  <c r="Z263" i="10"/>
  <c r="V263" i="10" s="1"/>
  <c r="Z262" i="10"/>
  <c r="V262" i="10" s="1"/>
  <c r="AB261" i="10"/>
  <c r="V261" i="10" s="1"/>
  <c r="V260" i="10"/>
  <c r="V259" i="10"/>
  <c r="Z258" i="10"/>
  <c r="V258" i="10" s="1"/>
  <c r="V257" i="10"/>
  <c r="V256" i="10"/>
  <c r="V255" i="10"/>
  <c r="V254" i="10"/>
  <c r="V253" i="10"/>
  <c r="V252" i="10"/>
  <c r="Z251" i="10"/>
  <c r="V251" i="10" s="1"/>
  <c r="AD250" i="10"/>
  <c r="V250" i="10" s="1"/>
  <c r="AB249" i="10"/>
  <c r="V249" i="10" s="1"/>
  <c r="Z248" i="10"/>
  <c r="V248" i="10" s="1"/>
  <c r="V247" i="10"/>
  <c r="Z246" i="10"/>
  <c r="V246" i="10" s="1"/>
  <c r="V245" i="10"/>
  <c r="V244" i="10"/>
  <c r="V243" i="10"/>
  <c r="Z242" i="10"/>
  <c r="V242" i="10" s="1"/>
  <c r="V241" i="10"/>
  <c r="V240" i="10"/>
  <c r="V239" i="10"/>
  <c r="Z238" i="10"/>
  <c r="V238" i="10" s="1"/>
  <c r="V237" i="10"/>
  <c r="V236" i="10"/>
  <c r="AB235" i="10"/>
  <c r="Z235" i="10"/>
  <c r="V234" i="10"/>
  <c r="BN233" i="10"/>
  <c r="BL233" i="10"/>
  <c r="BJ233" i="10"/>
  <c r="AX233" i="10"/>
  <c r="AT233" i="10"/>
  <c r="AP233" i="10"/>
  <c r="AN233" i="10"/>
  <c r="AL233" i="10"/>
  <c r="AJ233" i="10"/>
  <c r="AH233" i="10"/>
  <c r="AF233" i="10"/>
  <c r="AB233" i="10"/>
  <c r="Z233" i="10"/>
  <c r="AB232" i="10"/>
  <c r="Z232" i="10"/>
  <c r="V231" i="10"/>
  <c r="Z230" i="10"/>
  <c r="V230" i="10" s="1"/>
  <c r="V229" i="10"/>
  <c r="Z228" i="10"/>
  <c r="V228" i="10" s="1"/>
  <c r="V227" i="10"/>
  <c r="AB226" i="10"/>
  <c r="Z226" i="10"/>
  <c r="V225" i="10"/>
  <c r="V224" i="10"/>
  <c r="V223" i="10"/>
  <c r="V222" i="10"/>
  <c r="V221" i="10"/>
  <c r="Z220" i="10"/>
  <c r="V220" i="10" s="1"/>
  <c r="Z219" i="10"/>
  <c r="V219" i="10" s="1"/>
  <c r="V218" i="10"/>
  <c r="V217" i="10"/>
  <c r="V216" i="10"/>
  <c r="V215" i="10"/>
  <c r="V214" i="10"/>
  <c r="V213" i="10"/>
  <c r="V212" i="10"/>
  <c r="V211" i="10"/>
  <c r="V210" i="10"/>
  <c r="V209" i="10"/>
  <c r="V208" i="10"/>
  <c r="V207" i="10"/>
  <c r="V206" i="10"/>
  <c r="V205" i="10"/>
  <c r="V204" i="10"/>
  <c r="AD203" i="10"/>
  <c r="AB203" i="10"/>
  <c r="Z203" i="10"/>
  <c r="V202" i="10"/>
  <c r="V201" i="10"/>
  <c r="V200" i="10"/>
  <c r="V199" i="10"/>
  <c r="V198" i="10"/>
  <c r="V197" i="10"/>
  <c r="V196" i="10"/>
  <c r="V195" i="10"/>
  <c r="V194" i="10"/>
  <c r="V193" i="10"/>
  <c r="V192" i="10"/>
  <c r="Z191" i="10"/>
  <c r="V191" i="10" s="1"/>
  <c r="Z190" i="10"/>
  <c r="V190" i="10" s="1"/>
  <c r="V189" i="10"/>
  <c r="V188" i="10"/>
  <c r="V187" i="10"/>
  <c r="V186" i="10"/>
  <c r="AB185" i="10"/>
  <c r="Z185" i="10"/>
  <c r="V184" i="10"/>
  <c r="V183" i="10"/>
  <c r="V182" i="10"/>
  <c r="V181" i="10"/>
  <c r="V180" i="10"/>
  <c r="V179" i="10"/>
  <c r="AF176" i="10"/>
  <c r="V176" i="10" s="1"/>
  <c r="Z175" i="10"/>
  <c r="V175" i="10" s="1"/>
  <c r="Z174" i="10"/>
  <c r="V174" i="10" s="1"/>
  <c r="V173" i="10"/>
  <c r="Z172" i="10"/>
  <c r="V172" i="10" s="1"/>
  <c r="V171" i="10"/>
  <c r="V170" i="10"/>
  <c r="Z169" i="10"/>
  <c r="V169" i="10" s="1"/>
  <c r="V168" i="10"/>
  <c r="V167" i="10"/>
  <c r="V166" i="10"/>
  <c r="V165" i="10"/>
  <c r="V164" i="10"/>
  <c r="AB163" i="10"/>
  <c r="V163" i="10" s="1"/>
  <c r="Z162" i="10"/>
  <c r="V162" i="10" s="1"/>
  <c r="V161" i="10"/>
  <c r="Z160" i="10"/>
  <c r="V160" i="10" s="1"/>
  <c r="V159" i="10"/>
  <c r="Z158" i="10"/>
  <c r="V158" i="10" s="1"/>
  <c r="V157" i="10"/>
  <c r="V156" i="10"/>
  <c r="Z155" i="10"/>
  <c r="V155" i="10" s="1"/>
  <c r="V154" i="10"/>
  <c r="V153" i="10"/>
  <c r="AJ148" i="10"/>
  <c r="AH148" i="10"/>
  <c r="AD148" i="10"/>
  <c r="V146" i="10"/>
  <c r="V145" i="10"/>
  <c r="V144" i="10"/>
  <c r="AB130" i="10"/>
  <c r="V130" i="10" s="1"/>
  <c r="Z122" i="10"/>
  <c r="V122" i="10" s="1"/>
  <c r="V111" i="10"/>
  <c r="V104" i="10"/>
  <c r="V103" i="10"/>
  <c r="Z102" i="10"/>
  <c r="V102" i="10" s="1"/>
  <c r="V101" i="10"/>
  <c r="Z95" i="10"/>
  <c r="V95" i="10" s="1"/>
  <c r="AB92" i="10"/>
  <c r="V92" i="10" s="1"/>
  <c r="AB84" i="10"/>
  <c r="V84" i="10" s="1"/>
  <c r="V83" i="10"/>
  <c r="Z77" i="10"/>
  <c r="V77" i="10" s="1"/>
  <c r="AD72" i="10"/>
  <c r="AB72" i="10"/>
  <c r="Z72" i="10"/>
  <c r="V70" i="10"/>
  <c r="Z69" i="10"/>
  <c r="V69" i="10" s="1"/>
  <c r="V68" i="10"/>
  <c r="V67" i="10"/>
  <c r="V66" i="10"/>
  <c r="Z65" i="10"/>
  <c r="V65" i="10" s="1"/>
  <c r="AD64" i="10"/>
  <c r="AB64" i="10"/>
  <c r="Z64" i="10"/>
  <c r="Z63" i="10"/>
  <c r="V63" i="10" s="1"/>
  <c r="V62" i="10"/>
  <c r="Z61" i="10"/>
  <c r="V61" i="10" s="1"/>
  <c r="AB60" i="10"/>
  <c r="V60" i="10" s="1"/>
  <c r="V59" i="10"/>
  <c r="V57" i="10"/>
  <c r="AB56" i="10"/>
  <c r="Z56" i="10"/>
  <c r="V55" i="10"/>
  <c r="V54" i="10"/>
  <c r="AB53" i="10"/>
  <c r="V53" i="10" s="1"/>
  <c r="V52" i="10"/>
  <c r="Z51" i="10"/>
  <c r="V51" i="10" s="1"/>
  <c r="V50" i="10"/>
  <c r="V49" i="10"/>
  <c r="Z48" i="10"/>
  <c r="V48" i="10" s="1"/>
  <c r="V47" i="10"/>
  <c r="AD45" i="10"/>
  <c r="V45" i="10" s="1"/>
  <c r="AB44" i="10"/>
  <c r="Z44" i="10"/>
  <c r="Z43" i="10"/>
  <c r="V43" i="10" s="1"/>
  <c r="Z42" i="10"/>
  <c r="V42" i="10" s="1"/>
  <c r="V41" i="10"/>
  <c r="V40" i="10"/>
  <c r="V39" i="10"/>
  <c r="V38" i="10"/>
  <c r="V37" i="10"/>
  <c r="V36" i="10"/>
  <c r="V35" i="10"/>
  <c r="V34" i="10"/>
  <c r="Z33" i="10"/>
  <c r="V33" i="10" s="1"/>
  <c r="Z32" i="10"/>
  <c r="V32" i="10" s="1"/>
  <c r="V31" i="10"/>
  <c r="AD30" i="10"/>
  <c r="Z30" i="10"/>
  <c r="AD28" i="10"/>
  <c r="Z28" i="10"/>
  <c r="Z27" i="10"/>
  <c r="V27" i="10" s="1"/>
  <c r="V26" i="10"/>
  <c r="AD25" i="10"/>
  <c r="V25" i="10" s="1"/>
  <c r="V24" i="10"/>
  <c r="Z23" i="10"/>
  <c r="V23" i="10" s="1"/>
  <c r="AB22" i="10"/>
  <c r="Z22" i="10"/>
  <c r="V21" i="10"/>
  <c r="Z20" i="10"/>
  <c r="V20" i="10" s="1"/>
  <c r="V19" i="10"/>
  <c r="Z18" i="10"/>
  <c r="V18" i="10" s="1"/>
  <c r="V17" i="10"/>
  <c r="V16" i="10"/>
  <c r="Z15" i="10"/>
  <c r="V15" i="10" s="1"/>
  <c r="V14" i="10"/>
  <c r="Z13" i="10"/>
  <c r="V13" i="10" s="1"/>
  <c r="V12" i="10"/>
  <c r="V11" i="10"/>
  <c r="V10" i="10"/>
  <c r="V9" i="10"/>
  <c r="V8" i="10"/>
  <c r="Z7" i="10"/>
  <c r="V7" i="10" s="1"/>
  <c r="V6" i="10"/>
  <c r="V5" i="10"/>
  <c r="V4" i="10"/>
  <c r="V424" i="10" l="1"/>
  <c r="U1" i="10"/>
  <c r="V986" i="10"/>
  <c r="V345" i="10"/>
  <c r="V579" i="10"/>
  <c r="V22" i="10"/>
  <c r="V56" i="10"/>
  <c r="V291" i="10"/>
  <c r="V232" i="10"/>
  <c r="V226" i="10"/>
  <c r="V415" i="10"/>
  <c r="V993" i="10"/>
  <c r="V28" i="10"/>
  <c r="V839" i="10"/>
  <c r="V64" i="10"/>
  <c r="V296" i="10"/>
  <c r="V379" i="10"/>
  <c r="V742" i="10"/>
  <c r="V910" i="10"/>
  <c r="V994" i="10"/>
  <c r="V529" i="10"/>
  <c r="V767" i="10"/>
  <c r="V861" i="10"/>
  <c r="V72" i="10"/>
  <c r="V185" i="10"/>
  <c r="V235" i="10"/>
  <c r="V330" i="10"/>
  <c r="V516" i="10"/>
  <c r="V927" i="10"/>
  <c r="V30" i="10"/>
  <c r="V148" i="10"/>
  <c r="V317" i="10"/>
  <c r="V827" i="10"/>
  <c r="V843" i="10"/>
  <c r="V916" i="10"/>
  <c r="S1" i="4"/>
  <c r="V1" i="9"/>
  <c r="V44" i="10"/>
  <c r="V203" i="10"/>
  <c r="V380" i="10"/>
  <c r="V903" i="10"/>
  <c r="V930" i="10"/>
  <c r="V963" i="10"/>
  <c r="V233" i="10"/>
  <c r="V292" i="10"/>
  <c r="V318" i="10"/>
  <c r="V377" i="10"/>
  <c r="V400" i="10"/>
  <c r="V486" i="10"/>
  <c r="V621" i="10"/>
  <c r="V901" i="10"/>
  <c r="V945" i="10"/>
  <c r="V323" i="10"/>
  <c r="V353" i="10"/>
  <c r="V841" i="10"/>
  <c r="V917" i="10"/>
  <c r="V1" i="8"/>
  <c r="V1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BO04</author>
    <author>BO21</author>
  </authors>
  <commentList>
    <comment ref="V16" authorId="0" shapeId="0" xr:uid="{8BC79A74-C8DE-459D-B98D-A1A684B3401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cr 24
</t>
        </r>
      </text>
    </comment>
    <comment ref="T141" authorId="1" shapeId="0" xr:uid="{8C004E13-6707-45AB-B7FB-593458795598}">
      <text>
        <r>
          <rPr>
            <b/>
            <sz val="9"/>
            <color indexed="81"/>
            <rFont val="Tahoma"/>
            <family val="2"/>
          </rPr>
          <t>BO21:</t>
        </r>
        <r>
          <rPr>
            <sz val="9"/>
            <color indexed="81"/>
            <rFont val="Tahoma"/>
            <family val="2"/>
          </rPr>
          <t xml:space="preserve">
ORI CFM ETD 4/29, CFM MAJU KE TGL 4/28 TGL 4/15</t>
        </r>
      </text>
    </comment>
    <comment ref="U233" authorId="0" shapeId="0" xr:uid="{D81795A6-F3C2-4578-94FA-F6288A339D8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qty 95.5 sf itu untuk confirm color ok tidaknya. 5 lembar</t>
        </r>
      </text>
    </comment>
    <comment ref="BJ233" authorId="0" shapeId="0" xr:uid="{7A4C05FB-3815-4917-B10A-D1EFD9BFE18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qty 95.5 sf itu untuk confirm color ok tidaknya. 5 lembar</t>
        </r>
      </text>
    </comment>
    <comment ref="BN233" authorId="0" shapeId="0" xr:uid="{F98721A4-7AD8-4C24-8BC7-CB9A9C0DA55C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qty 95.5 sf itu untuk confirm color ok tidaknya. 5 lembar</t>
        </r>
      </text>
    </comment>
    <comment ref="O287" authorId="0" shapeId="0" xr:uid="{7A0BE9E4-A067-4D8B-B925-BE07BEB0A6D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COLOR WINDOW NYA GA ADA, HARUS MINJEM PAK ASKA DULU 7/21</t>
        </r>
      </text>
    </comment>
    <comment ref="M313" authorId="0" shapeId="0" xr:uid="{33AB0D9F-6DCC-416E-A636-75067994AD6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reduce qty</t>
        </r>
      </text>
    </comment>
    <comment ref="M332" authorId="0" shapeId="0" xr:uid="{6F35D039-6C2A-4521-9F6C-AB6E450EFCB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reduce qty
</t>
        </r>
      </text>
    </comment>
    <comment ref="M378" authorId="0" shapeId="0" xr:uid="{53084550-777F-47B5-941E-DDE78B15C545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 qty sebelumnya 16681 sf</t>
        </r>
      </text>
    </comment>
    <comment ref="M381" authorId="0" shapeId="0" xr:uid="{3C810583-8D08-4D42-8AFA-262DE7BD962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sebelumnya 3000 7/29
</t>
        </r>
      </text>
    </comment>
    <comment ref="F427" authorId="0" shapeId="0" xr:uid="{7828FC68-312A-4504-B65C-B5568F062CAB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ganti no po 8/21</t>
        </r>
      </text>
    </comment>
    <comment ref="U436" authorId="0" shapeId="0" xr:uid="{71E3BEE0-5511-4846-BCAD-F1B2E9C76F1C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36.7 sf tunggu approved material dari SAI</t>
        </r>
      </text>
    </comment>
    <comment ref="Z436" authorId="0" shapeId="0" xr:uid="{8A704FA4-B0EF-4449-B6F7-E4F6EE05A7D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36.7 sf tunggu approved material dari SAI</t>
        </r>
      </text>
    </comment>
    <comment ref="AB436" authorId="0" shapeId="0" xr:uid="{5DB39C68-E6B0-4799-B092-CDAA08AA4DEC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36.7 sf tunggu approved material dari SAI</t>
        </r>
      </text>
    </comment>
    <comment ref="H450" authorId="0" shapeId="0" xr:uid="{8CAF1037-236B-459E-8BFE-4985835A85B4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 8/15
</t>
        </r>
      </text>
    </comment>
    <comment ref="M461" authorId="0" shapeId="0" xr:uid="{010E9EF7-4490-4335-83C8-E44FB24A0909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ganti qty jadi 165 dari 515 9/3</t>
        </r>
      </text>
    </comment>
    <comment ref="M471" authorId="0" shapeId="0" xr:uid="{75710108-1BCA-4733-AB5B-1A459FC1A80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9/3 DARI 3705 KE 17330.8 SF</t>
        </r>
      </text>
    </comment>
    <comment ref="C473" authorId="0" shapeId="0" xr:uid="{12700377-41BE-4997-ACA0-D6986C418E2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CUSTOMER 09-11</t>
        </r>
      </text>
    </comment>
    <comment ref="U481" authorId="0" shapeId="0" xr:uid="{5965C9B1-14A4-45BE-9682-B69A86C6A6A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stock</t>
        </r>
      </text>
    </comment>
    <comment ref="Z481" authorId="0" shapeId="0" xr:uid="{9FA85D4C-6BFF-4133-96F9-D2181FA2C807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stock</t>
        </r>
      </text>
    </comment>
    <comment ref="M510" authorId="0" shapeId="0" xr:uid="{9782C18E-7D24-4AAC-9107-28DE4D5B4157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0903
</t>
        </r>
      </text>
    </comment>
    <comment ref="K514" authorId="0" shapeId="0" xr:uid="{C1B08821-A1FF-4A4B-A1A2-A130607C6BA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COLOR NAME 09/22</t>
        </r>
      </text>
    </comment>
    <comment ref="U516" authorId="0" shapeId="0" xr:uid="{766E79EC-A8B2-4E8E-A620-54C995B8AB6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REPACKING KE SHT FNA250915R 2700 SF</t>
        </r>
      </text>
    </comment>
    <comment ref="Z516" authorId="0" shapeId="0" xr:uid="{65D7DC31-0377-4950-ACF7-AC5AB50F0F0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REPACKING KE SHT FNA250915R 2700 SF</t>
        </r>
      </text>
    </comment>
    <comment ref="AB516" authorId="0" shapeId="0" xr:uid="{CCFF5694-249C-470B-828E-14B80FDDF5D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REPACKING KE SHT FNA250915R 2700 SF</t>
        </r>
      </text>
    </comment>
    <comment ref="C531" authorId="0" shapeId="0" xr:uid="{B56899A1-4DC1-4978-86E9-6410E924227B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CUSTOMER 09-11</t>
        </r>
      </text>
    </comment>
    <comment ref="M617" authorId="0" shapeId="0" xr:uid="{9CC0CBBD-1CC5-46FB-A638-8DC1C205227D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MINTA FOC 20 SF 10/16
KARENA ADA SALAH HARGA. QTY SEBLUMNYA 2050 SF</t>
        </r>
      </text>
    </comment>
    <comment ref="M621" authorId="0" shapeId="0" xr:uid="{97288D9B-5940-4AFD-A2C7-9BE5637A528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increase qty 2540 sf 10/03</t>
        </r>
      </text>
    </comment>
    <comment ref="H628" authorId="0" shapeId="0" xr:uid="{0EECA697-5442-4BE3-A6C8-0985043B518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 10/07</t>
        </r>
      </text>
    </comment>
    <comment ref="M635" authorId="0" shapeId="0" xr:uid="{E5E35FFC-55E1-4D2D-94BC-B609D84F09F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reduce qty 10/1</t>
        </r>
      </text>
    </comment>
    <comment ref="F676" authorId="0" shapeId="0" xr:uid="{7CEEC9AE-093A-4993-8BEB-9F5F5B5A61B4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 10/13
</t>
        </r>
      </text>
    </comment>
    <comment ref="W743" authorId="0" shapeId="0" xr:uid="{7553ACCB-C148-41B3-9DD2-3B052500D478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lot number karena salah buyer 11/6</t>
        </r>
      </text>
    </comment>
    <comment ref="U766" authorId="0" shapeId="0" xr:uid="{C891FEF2-FD9B-4C38-8F4C-E6A85029E7A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3563.9 sf dibalikin ke gudang over 17.2 sf 11/13</t>
        </r>
      </text>
    </comment>
    <comment ref="Z766" authorId="0" shapeId="0" xr:uid="{43798941-0873-4EF5-9997-E6B1D525091F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3563.9 sf dibalikin ke gudang over 17.2 sf 11/13</t>
        </r>
      </text>
    </comment>
    <comment ref="H811" authorId="0" shapeId="0" xr:uid="{8E8EECD3-1DA9-4564-BFC4-7894E618EBA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
11/21
</t>
        </r>
      </text>
    </comment>
    <comment ref="H818" authorId="0" shapeId="0" xr:uid="{8FD98C2D-37D0-484E-9A3C-1F97B6D43428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
11/26
</t>
        </r>
      </text>
    </comment>
    <comment ref="H837" authorId="0" shapeId="0" xr:uid="{48300240-51ED-44E2-8E6C-24763F5CCEB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 11/28</t>
        </r>
      </text>
    </comment>
    <comment ref="U841" authorId="0" shapeId="0" xr:uid="{4260D5EA-DFA9-4132-93CC-F9811D4D7CFC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11750.7 sf dari metro pearl</t>
        </r>
      </text>
    </comment>
    <comment ref="AF841" authorId="0" shapeId="0" xr:uid="{D2839F07-9259-457F-8A42-FA75E6270BD5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11750.7 sf dari metro pearl</t>
        </r>
      </text>
    </comment>
    <comment ref="AH841" authorId="0" shapeId="0" xr:uid="{75101548-1B3B-46D7-8551-DBA8A4A773E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11750.7 sf dari metro pearl</t>
        </r>
      </text>
    </comment>
    <comment ref="F851" authorId="0" shapeId="0" xr:uid="{2CD82535-F977-495E-9329-36B02DA7FA92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 1201</t>
        </r>
      </text>
    </comment>
    <comment ref="Z855" authorId="0" shapeId="0" xr:uid="{9747CA93-25E6-40C0-8299-36A7039E4C49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dikirim sebagai PU</t>
        </r>
      </text>
    </comment>
    <comment ref="M903" authorId="0" shapeId="0" xr:uid="{6191394B-4DFC-464B-B65E-AA1BBC01964C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tgl 29 cr nya</t>
        </r>
      </text>
    </comment>
    <comment ref="U904" authorId="0" shapeId="0" xr:uid="{1400A9DD-3032-445D-9C20-45D4C7B25480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3,246.7 sf no stamp impactiva 1/26</t>
        </r>
      </text>
    </comment>
    <comment ref="AF904" authorId="0" shapeId="0" xr:uid="{B3F91B2A-5CD6-45DF-9240-F54A44EBE56B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3,246.7 sf no stamp impactiva 1/26</t>
        </r>
      </text>
    </comment>
    <comment ref="U905" authorId="0" shapeId="0" xr:uid="{0565B8A8-0B94-4BA8-843E-45B3FFFE387B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675.8 sf no stamp impactiva,after bu ona negotiate 1/26</t>
        </r>
      </text>
    </comment>
    <comment ref="Z905" authorId="0" shapeId="0" xr:uid="{B81A5CC1-F5D3-4CCA-BB91-5A5D7EC2FF28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675.8 sf no stamp impactiva,after bu ona negotiate 1/26</t>
        </r>
      </text>
    </comment>
    <comment ref="AB944" authorId="0" shapeId="0" xr:uid="{4F914629-99D2-46C8-95B1-42FE465586F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22.5 sf tanpa stamp impactiva untun confirmation 2/13</t>
        </r>
      </text>
    </comment>
    <comment ref="Z977" authorId="0" shapeId="0" xr:uid="{80E2B488-EFC9-4464-96B4-2342C74874DE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300 sf no stamp impactiva after bu ona negotiate</t>
        </r>
      </text>
    </comment>
    <comment ref="AB977" authorId="0" shapeId="0" xr:uid="{C97DEEFE-3638-4993-B243-2CF909AB8C77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550.9 sf no stamp impactiva after bu ona negotiate</t>
        </r>
      </text>
    </comment>
    <comment ref="AD977" authorId="0" shapeId="0" xr:uid="{B71F3AD4-0F4A-4CA3-A0EF-1176D6CD857B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550.9 SF KIRIM TANPA STAMP IMPACTIVA</t>
        </r>
      </text>
    </comment>
    <comment ref="U993" authorId="0" shapeId="0" xr:uid="{D1508FC8-4FDB-4EFB-BC56-0871079F310F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505.9 sf no stamp impactiva 2/11</t>
        </r>
      </text>
    </comment>
    <comment ref="AH993" authorId="0" shapeId="0" xr:uid="{73C36847-2969-4D8F-9C4E-6B422B6E65D8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505.9 sf no stamp impactiva 2/11</t>
        </r>
      </text>
    </comment>
    <comment ref="AB1020" authorId="0" shapeId="0" xr:uid="{4E5DF307-2A91-4FCF-9DBA-E62A1B4C5559}">
      <text>
        <r>
          <rPr>
            <b/>
            <sz val="9"/>
            <color indexed="81"/>
            <rFont val="Tahoma"/>
            <charset val="1"/>
          </rPr>
          <t>BO04:</t>
        </r>
        <r>
          <rPr>
            <sz val="9"/>
            <color indexed="81"/>
            <rFont val="Tahoma"/>
            <charset val="1"/>
          </rPr>
          <t xml:space="preserve">
1637.4 sf no stamp impactiva 3/12</t>
        </r>
      </text>
    </comment>
    <comment ref="AD1020" authorId="0" shapeId="0" xr:uid="{1B2EC7EB-CBF4-469D-8C9B-C24BD20F7AF5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2488.1 sf repacking from Glostar pys 3/30</t>
        </r>
      </text>
    </comment>
    <comment ref="H1033" authorId="0" shapeId="0" xr:uid="{90237D24-8AC3-477A-9EBE-293833C221D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
1/30</t>
        </r>
      </text>
    </comment>
    <comment ref="O1159" authorId="0" shapeId="0" xr:uid="{4584C575-6E71-46C6-91EE-D7D1E6893C7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CR 4/6
</t>
        </r>
      </text>
    </comment>
    <comment ref="O1160" authorId="0" shapeId="0" xr:uid="{D6E9B4F9-B74A-4B76-9969-68FF3F20AB2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CR 4/6
</t>
        </r>
      </text>
    </comment>
    <comment ref="U1164" authorId="0" shapeId="0" xr:uid="{27AD3154-779B-4C1B-A4FB-3811C1468A27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1339.9 sf packing list belum kesini 4/6</t>
        </r>
      </text>
    </comment>
    <comment ref="Z1164" authorId="0" shapeId="0" xr:uid="{92284682-DEC4-4463-9CAA-16D795E367C0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1339.9 sf packing list belum kesini 4/6</t>
        </r>
      </text>
    </comment>
    <comment ref="Z1183" authorId="0" shapeId="0" xr:uid="{C44F9496-0ED9-45C1-9090-62A68578A9A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1497.9 PL GA KESINI 4/21</t>
        </r>
      </text>
    </comment>
    <comment ref="O1200" authorId="0" shapeId="0" xr:uid="{E7F22A1D-3457-449C-A223-09C09213B6E2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CR 4/6
</t>
        </r>
      </text>
    </comment>
    <comment ref="O1204" authorId="0" shapeId="0" xr:uid="{20891A45-D4AE-48DD-8887-A3F11C20711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CR 4/6
</t>
        </r>
      </text>
    </comment>
    <comment ref="U1211" authorId="0" shapeId="0" xr:uid="{059E5A08-6488-4B40-9CAF-ADA5C1E035F0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PL GA KE MKT</t>
        </r>
      </text>
    </comment>
    <comment ref="Z1211" authorId="0" shapeId="0" xr:uid="{939FD990-705A-4777-A199-33D0FD50E13D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PL GA KE MKT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BO04</author>
  </authors>
  <commentList>
    <comment ref="F64" authorId="0" shapeId="0" xr:uid="{C3C40820-D8D4-47E5-A085-04A247D2C65F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 7/30
</t>
        </r>
      </text>
    </comment>
    <comment ref="F65" authorId="0" shapeId="0" xr:uid="{7E06F35A-3B86-411B-9EE5-DFAEFA3E61A2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 7/30</t>
        </r>
      </text>
    </comment>
    <comment ref="F81" authorId="0" shapeId="0" xr:uid="{FF9600A8-25FF-441E-8B9A-308A670EDE44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</t>
        </r>
      </text>
    </comment>
    <comment ref="F82" authorId="0" shapeId="0" xr:uid="{0B06BC54-B10D-4FEB-B97E-8619E75BD6A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</t>
        </r>
      </text>
    </comment>
    <comment ref="F117" authorId="0" shapeId="0" xr:uid="{36A886E7-8318-4F33-A531-D12BDA1D3B77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 PO 09/03</t>
        </r>
      </text>
    </comment>
    <comment ref="F130" authorId="0" shapeId="0" xr:uid="{0EA05E8A-6272-49F1-B9B4-43A39234285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GANTI NOMOR PO SEBELUMNYA 4000001647FOC 09/24</t>
        </r>
      </text>
    </comment>
    <comment ref="B210" authorId="0" shapeId="0" xr:uid="{8673BA31-3867-45DD-AFF9-0DD12B6244F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FACTORY NAME 11/24</t>
        </r>
      </text>
    </comment>
    <comment ref="F213" authorId="0" shapeId="0" xr:uid="{32A51A10-7B1D-47FB-8679-89BC3453664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ganti nomor po 12/10</t>
        </r>
      </text>
    </comment>
    <comment ref="C249" authorId="0" shapeId="0" xr:uid="{234F7B21-F81C-4BCE-AC00-CFDB2510EB20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CUSTOMER NAME 01/14
</t>
        </r>
      </text>
    </comment>
    <comment ref="M269" authorId="0" shapeId="0" xr:uid="{1870F471-F4D4-4456-9198-63BD0B38D378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change qty 670 sf
1/19</t>
        </r>
      </text>
    </comment>
    <comment ref="M274" authorId="0" shapeId="0" xr:uid="{D078981C-F4A4-4474-BF56-A8BAF47B0AB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karena typo si SFI nya 1/26 harusnya raincloud
</t>
        </r>
      </text>
    </comment>
    <comment ref="H276" authorId="0" shapeId="0" xr:uid="{2ADC94B7-E1E7-4ADE-9547-FEF2C6CD0A2C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 1/26</t>
        </r>
      </text>
    </comment>
    <comment ref="M278" authorId="0" shapeId="0" xr:uid="{C1E09FE8-922F-44FA-B6FE-2D1AD6F0AC39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DAN NO PO 01/30</t>
        </r>
      </text>
    </comment>
    <comment ref="H280" authorId="0" shapeId="0" xr:uid="{FC602DC7-7EDB-40CB-9132-118C30B0AFDA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 02/02</t>
        </r>
      </text>
    </comment>
    <comment ref="H284" authorId="0" shapeId="0" xr:uid="{575D557C-402B-4515-865C-4E1AF1902771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THICKNESS 02/02</t>
        </r>
      </text>
    </comment>
    <comment ref="M310" authorId="0" shapeId="0" xr:uid="{FF16A00B-4CE8-48F5-961D-CC1D72F39536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QTY 4/8</t>
        </r>
      </text>
    </comment>
    <comment ref="M332" authorId="0" shapeId="0" xr:uid="{43594F99-471E-4185-A0F1-ED9EC7B3E10F}">
      <text>
        <r>
          <rPr>
            <b/>
            <sz val="9"/>
            <color indexed="81"/>
            <rFont val="Tahoma"/>
            <charset val="1"/>
          </rPr>
          <t>BO04:</t>
        </r>
        <r>
          <rPr>
            <sz val="9"/>
            <color indexed="81"/>
            <rFont val="Tahoma"/>
            <charset val="1"/>
          </rPr>
          <t xml:space="preserve">
315 miss compensate oct 3/17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BO04</author>
  </authors>
  <commentList>
    <comment ref="X45" authorId="0" shapeId="0" xr:uid="{491126B3-A381-4D32-9F14-548E83CCC1DB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808.7</t>
        </r>
      </text>
    </comment>
    <comment ref="D73" authorId="0" shapeId="0" xr:uid="{0AF1636C-84E4-46CD-AAA7-32E75EEDA8F5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revise PO number 01/08</t>
        </r>
      </text>
    </comment>
    <comment ref="I74" authorId="0" shapeId="0" xr:uid="{4B7FA235-3539-472B-80FE-90A40AFE4D63}">
      <text>
        <r>
          <rPr>
            <b/>
            <sz val="9"/>
            <color indexed="81"/>
            <rFont val="Tahoma"/>
            <family val="2"/>
          </rPr>
          <t>BO04:</t>
        </r>
        <r>
          <rPr>
            <sz val="9"/>
            <color indexed="81"/>
            <rFont val="Tahoma"/>
            <family val="2"/>
          </rPr>
          <t xml:space="preserve">
DI DOCUMENT MASUKNYA COLOR TIDAK ADA (-)</t>
        </r>
      </text>
    </comment>
    <comment ref="V102" authorId="0" shapeId="0" xr:uid="{C10479F7-F057-4A52-A564-31E2D9ED9BBA}">
      <text>
        <r>
          <rPr>
            <b/>
            <sz val="9"/>
            <color indexed="81"/>
            <rFont val="Tahoma"/>
            <charset val="1"/>
          </rPr>
          <t>BO04:</t>
        </r>
        <r>
          <rPr>
            <sz val="9"/>
            <color indexed="81"/>
            <rFont val="Tahoma"/>
            <charset val="1"/>
          </rPr>
          <t xml:space="preserve">
ACTUAL 127 SF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33863-92F4-47F6-A5AC-3307E986F169}" name="Connection1" type="7" refreshedVersion="8" savePassword="1" background="1" saveData="1"/>
  <connection id="2" xr16:uid="{5A213E55-9355-4C81-B8DF-254C627DECB2}" name="Connection12" type="7" refreshedVersion="8" savePassword="1" background="1" saveData="1"/>
  <connection id="3" xr16:uid="{A06B5BF8-3552-40B1-9938-1320BDF437B5}" name="Connection13" type="7" refreshedVersion="8" savePassword="1" background="1" saveData="1"/>
  <connection id="4" xr16:uid="{CAE0D323-6CE0-4016-9290-AB7FC80B93EF}" name="Connection15" type="7" refreshedVersion="8" savePassword="1" background="1" saveData="1"/>
  <connection id="5" xr16:uid="{519FA915-5977-4101-87B6-77C573A79D10}" name="Connection16" type="7" refreshedVersion="8" savePassword="1" background="1" saveData="1"/>
  <connection id="6" xr16:uid="{BC74F023-F302-4CC8-BC5F-C86AA4E7FE38}" name="Connection19" type="7" refreshedVersion="8" savePassword="1" background="1" saveData="1"/>
  <connection id="7" xr16:uid="{A0A86B12-0C56-43A0-A262-E9FC660E71EF}" name="Connection20" type="7" refreshedVersion="8" savePassword="1" background="1" saveData="1"/>
  <connection id="8" xr16:uid="{E1F6920C-7CEF-48C3-AA0B-E517A9F905FE}" name="Connection21" type="7" refreshedVersion="8" savePassword="1" background="1" saveData="1"/>
  <connection id="9" xr16:uid="{0F41F162-0837-4560-8A73-19B5AE738263}" name="Connection211" type="7" refreshedVersion="8" savePassword="1" background="1" saveData="1"/>
  <connection id="10" xr16:uid="{A24CC4CA-66F2-453A-AEC6-5801039F8DAC}" name="Connection28" type="7" refreshedVersion="8" savePassword="1" background="1" saveData="1"/>
  <connection id="11" xr16:uid="{7D56F669-5656-4E4D-A070-94029547484F}" name="Connection29" type="7" refreshedVersion="8" savePassword="1" background="1" saveData="1"/>
  <connection id="12" xr16:uid="{88B334D3-10C9-4BD3-89C2-EFB5AA127D73}" name="Connection291" type="7" refreshedVersion="8" savePassword="1" background="1" saveData="1"/>
  <connection id="13" xr16:uid="{86120C3A-4055-42CA-86C9-DFF15491C7BC}" name="Connection3" type="7" refreshedVersion="8" savePassword="1" background="1" saveData="1"/>
  <connection id="14" xr16:uid="{19661DBC-7EFC-4608-9E72-5E34315AE479}" name="Connection30" type="7" refreshedVersion="8" savePassword="1" background="1" saveData="1"/>
  <connection id="15" xr16:uid="{03D5A993-1A91-44EE-B156-4E188F83F1ED}" name="Connection34" type="7" refreshedVersion="8" savePassword="1" background="1" saveData="1"/>
  <connection id="16" xr16:uid="{BFE87A6E-B0C9-4E42-80C6-4696E9642F3E}" name="Connection36" type="7" refreshedVersion="8" savePassword="1" background="1" saveData="1"/>
  <connection id="17" xr16:uid="{2F47C6CA-BAA1-4979-A4B5-2121CFB813BC}" name="Connection401" type="7" refreshedVersion="8" savePassword="1" background="1" saveData="1"/>
  <connection id="18" xr16:uid="{5F1ED148-EAB9-4A2F-B581-9A1572B3BC46}" name="Connection411" type="7" refreshedVersion="8" savePassword="1" background="1" saveData="1"/>
  <connection id="19" xr16:uid="{9BB74046-8C05-440B-9F4C-8D6797B13333}" name="Connection431" type="7" refreshedVersion="8" savePassword="1" background="1" saveData="1"/>
  <connection id="20" xr16:uid="{749290DD-02F8-4741-B40B-AD39D5B64C39}" name="Connection452" type="7" refreshedVersion="8" savePassword="1" background="1" saveData="1"/>
  <connection id="21" xr16:uid="{60DB1C6A-1B35-4503-9D3B-0621203B8141}" name="Connection472" type="7" refreshedVersion="8" savePassword="1" background="1" saveData="1"/>
  <connection id="22" xr16:uid="{2E9C3BFF-AA9C-4005-A44F-29B1D3653814}" name="Connection51" type="7" refreshedVersion="8" savePassword="1" background="1" saveData="1"/>
  <connection id="23" xr16:uid="{C0308738-AA6E-43DC-BF75-020CF0249752}" name="Connection58" type="7" refreshedVersion="8" savePassword="1" background="1" saveData="1"/>
  <connection id="24" xr16:uid="{559A8F8B-7220-44BE-A7B9-ECA8D81FEE10}" name="Connection60" type="7" refreshedVersion="8" savePassword="1" background="1" saveData="1"/>
  <connection id="25" xr16:uid="{498BCE4D-4DBC-4675-9317-571C70C76E2C}" name="Connection7" type="7" refreshedVersion="8" savePassword="1" background="1" saveData="1"/>
  <connection id="26" xr16:uid="{03E6F1CC-BCE7-4049-BAE3-8BC4E5A0A8C0}" name="Connection71" type="7" refreshedVersion="8" savePassword="1" background="1" saveData="1"/>
  <connection id="27" xr16:uid="{D6740319-75A0-440E-B946-84E8A7A9F45C}" name="Connection74" type="7" refreshedVersion="8" savePassword="1" background="1" saveData="1"/>
  <connection id="28" xr16:uid="{CBF0B542-B729-4319-80DB-B6A212FBA0D9}" name="Connection75" type="7" refreshedVersion="8" savePassword="1" background="1" saveData="1"/>
  <connection id="29" xr16:uid="{EF7D7EFB-B39D-4807-8D33-58388C20CAC2}" name="Connection76" type="7" refreshedVersion="8" savePassword="1" background="1" saveData="1"/>
  <connection id="30" xr16:uid="{2CB2C6A7-2478-47DF-A507-4F80E197F7BA}" name="Connection77" type="7" refreshedVersion="8" savePassword="1" background="1" saveData="1"/>
  <connection id="31" xr16:uid="{E99D103D-0F10-4517-B108-49A27D406875}" name="Connection78" type="7" refreshedVersion="8" savePassword="1" background="1" saveData="1"/>
  <connection id="32" xr16:uid="{0A6C8285-D4C6-4FB5-BCC0-49EF7767C523}" name="Connection8" type="7" refreshedVersion="8" savePassword="1" background="1" saveData="1"/>
  <connection id="33" xr16:uid="{933C011A-5C1F-4C1D-A9E6-0C08A438CA42}" name="Connection81" type="7" refreshedVersion="8" savePassword="1" background="1" saveData="1"/>
  <connection id="34" xr16:uid="{EB62F082-82F1-4532-A984-ABFA9934E0D0}" name="Connection82" type="7" refreshedVersion="8" savePassword="1" background="1" saveData="1"/>
  <connection id="35" xr16:uid="{850D9FF6-52A8-4C94-AB93-CC9401CFA923}" name="Connection83" type="7" refreshedVersion="8" savePassword="1" background="1" saveData="1"/>
  <connection id="36" xr16:uid="{D32A4177-6E0F-4340-8D54-C1FC35028E42}" name="Connection87" type="7" refreshedVersion="8" savePassword="1" background="1" saveData="1"/>
  <connection id="37" xr16:uid="{D5AF7C2B-C83C-4882-A269-A15859CA8B2B}" name="Connection88" type="7" refreshedVersion="8" savePassword="1" background="1" saveData="1"/>
  <connection id="38" xr16:uid="{C4DBC869-0841-4D2B-9093-6A96EB5A1CCA}" name="Connection9" type="7" refreshedVersion="8" savePassword="1" background="1" saveData="1"/>
</connections>
</file>

<file path=xl/sharedStrings.xml><?xml version="1.0" encoding="utf-8"?>
<sst xmlns="http://schemas.openxmlformats.org/spreadsheetml/2006/main" count="31645" uniqueCount="6399">
  <si>
    <t>DATE</t>
  </si>
  <si>
    <t>THI ORDER</t>
  </si>
  <si>
    <t>CUSTOMER NAME</t>
  </si>
  <si>
    <t>BRAND</t>
  </si>
  <si>
    <t>ORDER TYPE</t>
  </si>
  <si>
    <t>PO CUST</t>
  </si>
  <si>
    <t>MATERIAL NAME</t>
  </si>
  <si>
    <t>THICKNESS</t>
  </si>
  <si>
    <t>EMBOSS</t>
  </si>
  <si>
    <t>SOFTNESS TYPE</t>
  </si>
  <si>
    <t>COLOR</t>
  </si>
  <si>
    <t>SOFTNESS</t>
  </si>
  <si>
    <t xml:space="preserve">PRICE
</t>
  </si>
  <si>
    <t>COLOR S/W</t>
  </si>
  <si>
    <t xml:space="preserve">BACKING </t>
  </si>
  <si>
    <t>MODEL</t>
  </si>
  <si>
    <t>ARTICLE</t>
  </si>
  <si>
    <t>REPLY ETD</t>
  </si>
  <si>
    <t>STOCK WH</t>
  </si>
  <si>
    <t>SYSTEM NO</t>
  </si>
  <si>
    <t>REMARK</t>
  </si>
  <si>
    <t>Qty</t>
  </si>
  <si>
    <t>Date</t>
  </si>
  <si>
    <t>NIKOMAS</t>
  </si>
  <si>
    <t>ADIDAS</t>
  </si>
  <si>
    <t>PROD</t>
  </si>
  <si>
    <t>1.4-1.6</t>
  </si>
  <si>
    <t>SOFT</t>
  </si>
  <si>
    <t xml:space="preserve">WHITE (01F7)  </t>
  </si>
  <si>
    <t/>
  </si>
  <si>
    <t xml:space="preserve">CORE BLACK (A0QM)  </t>
  </si>
  <si>
    <t>1.2-1.4</t>
  </si>
  <si>
    <t>PT. TAH SUNG HUNG</t>
  </si>
  <si>
    <t>2.8-3.2</t>
  </si>
  <si>
    <t>REPRO</t>
  </si>
  <si>
    <t>2.0-3.0</t>
  </si>
  <si>
    <t>LONGRICH-UA</t>
  </si>
  <si>
    <t>2.0-2.5</t>
  </si>
  <si>
    <t xml:space="preserve">BLACK (001)  </t>
  </si>
  <si>
    <t xml:space="preserve">QTY (S/F)
</t>
  </si>
  <si>
    <t>RTA</t>
  </si>
  <si>
    <t>BALANCE</t>
  </si>
  <si>
    <t>1st</t>
  </si>
  <si>
    <t>2nd</t>
  </si>
  <si>
    <t>3rd</t>
  </si>
  <si>
    <t>4th</t>
  </si>
  <si>
    <t>5th</t>
  </si>
  <si>
    <t>SAMPLE</t>
  </si>
  <si>
    <t>RETURN DATE</t>
  </si>
  <si>
    <t>PO NUMBER</t>
  </si>
  <si>
    <t>VIR SOFTNESS</t>
  </si>
  <si>
    <t>SAMPLE/PROD</t>
  </si>
  <si>
    <t>QTY RETURN</t>
  </si>
  <si>
    <t>ROLL</t>
  </si>
  <si>
    <t>TREATMENT</t>
  </si>
  <si>
    <t>REASON</t>
  </si>
  <si>
    <t>CONFIRMED BY</t>
  </si>
  <si>
    <t>SYSTEM NUMBER</t>
  </si>
  <si>
    <t>1st Delivery</t>
  </si>
  <si>
    <t>2nd Delivery</t>
  </si>
  <si>
    <t>3rd Delivery</t>
  </si>
  <si>
    <t>GLOSTAR (ADS)</t>
  </si>
  <si>
    <t>CLAIM</t>
  </si>
  <si>
    <t>-</t>
  </si>
  <si>
    <t>SPLIT SUEDE (MAP-SPLIT SUEDE)</t>
  </si>
  <si>
    <t>6/5</t>
  </si>
  <si>
    <t>BLACK ADIDAS CON 6/3</t>
  </si>
  <si>
    <t>COLOR WINDOW</t>
  </si>
  <si>
    <t xml:space="preserve">CORE BLACK (A0QM)    </t>
  </si>
  <si>
    <t>MYN0202024011813</t>
  </si>
  <si>
    <t>PARKLAND3</t>
  </si>
  <si>
    <t>Split Suede</t>
  </si>
  <si>
    <t>SPLIT SUEDE</t>
  </si>
  <si>
    <t xml:space="preserve">GREY TWO (AA2S)  </t>
  </si>
  <si>
    <t xml:space="preserve">PRELOVED INK (AF4L)  </t>
  </si>
  <si>
    <t>3.0-5.5</t>
  </si>
  <si>
    <t>10 MB020022510</t>
  </si>
  <si>
    <t>PARKLAND 1</t>
  </si>
  <si>
    <t>PROD SUEDE</t>
  </si>
  <si>
    <t>10/29</t>
  </si>
  <si>
    <t>JR6626</t>
  </si>
  <si>
    <t>6th</t>
  </si>
  <si>
    <t>JR6628</t>
  </si>
  <si>
    <t>7th</t>
  </si>
  <si>
    <t>CORE BLACK (A0QM)</t>
  </si>
  <si>
    <t>2.5-3.0</t>
  </si>
  <si>
    <t xml:space="preserve">CLEAR PINK (A2JM)  </t>
  </si>
  <si>
    <t xml:space="preserve">HALO BLUE (ADWA)  </t>
  </si>
  <si>
    <t xml:space="preserve">CRYSTAL WHITE (A8L5)  </t>
  </si>
  <si>
    <t>0276/PWJ/PRC/I/2025-THIN</t>
  </si>
  <si>
    <t>PSR25012401</t>
  </si>
  <si>
    <t>QYCPA010250124001</t>
  </si>
  <si>
    <t>SPRAY</t>
  </si>
  <si>
    <t>REJECT COLOR</t>
  </si>
  <si>
    <t>THIN</t>
  </si>
  <si>
    <t>MEIRIS</t>
  </si>
  <si>
    <t>QYCPA010250124002</t>
  </si>
  <si>
    <t>CHANGE MATERIAL;</t>
  </si>
  <si>
    <t>PINHOLE</t>
  </si>
  <si>
    <t>QYCPA010250124003</t>
  </si>
  <si>
    <t>QYCPA010250124004</t>
  </si>
  <si>
    <t>0438/PWJ/PRC/XI/2024</t>
  </si>
  <si>
    <t>PSR25012402</t>
  </si>
  <si>
    <t xml:space="preserve">A0QM, AA2S  </t>
  </si>
  <si>
    <t>QYCPA010250124005</t>
  </si>
  <si>
    <t>THCN</t>
  </si>
  <si>
    <t>0437/PWJ-PRC/I/2025</t>
  </si>
  <si>
    <t>PSR25012403</t>
  </si>
  <si>
    <t>QYCPA010250124006</t>
  </si>
  <si>
    <t>QYCPA010250204001</t>
  </si>
  <si>
    <t>VIR SOFT</t>
  </si>
  <si>
    <t>AA2S 168, A0QM 4341.8</t>
  </si>
  <si>
    <t xml:space="preserve">GREY ONE (AA2R)  </t>
  </si>
  <si>
    <t>U250203014</t>
  </si>
  <si>
    <t>Chewbacca Suede</t>
  </si>
  <si>
    <t xml:space="preserve">SAND STRATA (AESS)  </t>
  </si>
  <si>
    <t>SYQTS001250210001</t>
  </si>
  <si>
    <t>CASHMERE SUEDE</t>
  </si>
  <si>
    <t>SYQTS001250210002</t>
  </si>
  <si>
    <t xml:space="preserve">VIOLET TONE (AE68)  </t>
  </si>
  <si>
    <t>SYQTS001250210003</t>
  </si>
  <si>
    <t xml:space="preserve">FOCUS OLIVE (AE6M)  </t>
  </si>
  <si>
    <t>SYQTS001250210004</t>
  </si>
  <si>
    <t>NO PO</t>
  </si>
  <si>
    <t>QYCPA020250213001</t>
  </si>
  <si>
    <t>QYCPA020250213002</t>
  </si>
  <si>
    <t>QYCPA020250213003</t>
  </si>
  <si>
    <t>QYCPA020250213004</t>
  </si>
  <si>
    <t>PANARUB</t>
  </si>
  <si>
    <t>prb-11-715-250-01-00010</t>
  </si>
  <si>
    <t>Washout Suede</t>
  </si>
  <si>
    <t xml:space="preserve">IVORY (AF42)  </t>
  </si>
  <si>
    <t>BUFFING</t>
  </si>
  <si>
    <t>HIGH TICKHNESS</t>
  </si>
  <si>
    <t>PRB-11-715-25-01-00008</t>
  </si>
  <si>
    <t>THVN</t>
  </si>
  <si>
    <t>U250206026</t>
  </si>
  <si>
    <t>QYCTS001250211001</t>
  </si>
  <si>
    <t>CHANGE MATERIAL</t>
  </si>
  <si>
    <t>CLAIM SUEDE</t>
  </si>
  <si>
    <t>SAMPLE SUEDE</t>
  </si>
  <si>
    <t>RETUR</t>
  </si>
  <si>
    <t>PRB-16-842-25-01-15613/CWA60003</t>
  </si>
  <si>
    <t xml:space="preserve">GREEN (020A)  </t>
  </si>
  <si>
    <t>QYCPA020250224001</t>
  </si>
  <si>
    <t>1058/PWJ/PRC/II/2025</t>
  </si>
  <si>
    <t>QYCPA010250226001</t>
  </si>
  <si>
    <t>GREY TWO (AA2S)</t>
  </si>
  <si>
    <t>OIL</t>
  </si>
  <si>
    <t>5080</t>
  </si>
  <si>
    <t>QYCGS007250306001</t>
  </si>
  <si>
    <t>QYCGS007250306002</t>
  </si>
  <si>
    <t>QYCGS007250306003</t>
  </si>
  <si>
    <t>41079900/MB020006368</t>
  </si>
  <si>
    <t>QYCNS016250312001</t>
  </si>
  <si>
    <t>QYCNS016250312002</t>
  </si>
  <si>
    <t xml:space="preserve">BLUE (040A)  </t>
  </si>
  <si>
    <t>QYCNS016250312003</t>
  </si>
  <si>
    <t>CL-MB0200246994</t>
  </si>
  <si>
    <t xml:space="preserve">SEND STRATA (AESS)  </t>
  </si>
  <si>
    <t>QYCNS016250321001</t>
  </si>
  <si>
    <t>MB020024694</t>
  </si>
  <si>
    <t>QYCNS016250325001</t>
  </si>
  <si>
    <t>U250410018</t>
  </si>
  <si>
    <t xml:space="preserve">LIGHT BLUE (57F0)  </t>
  </si>
  <si>
    <t>BYCTS001250416002</t>
  </si>
  <si>
    <t>DYEING</t>
  </si>
  <si>
    <t>REJECT MOLD</t>
  </si>
  <si>
    <t xml:space="preserve">ACTIVE PURPLE (AC37)  </t>
  </si>
  <si>
    <t>BYCTS001250416001</t>
  </si>
  <si>
    <t>BYCTS001250416005</t>
  </si>
  <si>
    <t xml:space="preserve">FOCUS BLUE (AE6L)  </t>
  </si>
  <si>
    <t>BYCTS001250416003</t>
  </si>
  <si>
    <t>BYCTS001250416004</t>
  </si>
  <si>
    <t>QYCPA010250423001</t>
  </si>
  <si>
    <t>QYCPA010250423002</t>
  </si>
  <si>
    <t>QYCPA010250423003</t>
  </si>
  <si>
    <t>QYCPA010250423004</t>
  </si>
  <si>
    <t>QYCPA010250423005</t>
  </si>
  <si>
    <t>LINEN GREEN</t>
  </si>
  <si>
    <t>QYCPA010250423006</t>
  </si>
  <si>
    <t>QYCPA010250423007</t>
  </si>
  <si>
    <t>Hi Suede</t>
  </si>
  <si>
    <t>1.0-1.2</t>
  </si>
  <si>
    <t>QYCLR026250424001</t>
  </si>
  <si>
    <t>LINA</t>
  </si>
  <si>
    <t>AMBIL DARI STOCK</t>
  </si>
  <si>
    <t>2043/PWJ-PRC/IV/2025</t>
  </si>
  <si>
    <t>UA</t>
  </si>
  <si>
    <t>QYCLR026250429001</t>
  </si>
  <si>
    <t>HIGH THICKNESS</t>
  </si>
  <si>
    <t xml:space="preserve">TITAN GREY (024)  </t>
  </si>
  <si>
    <t>QYCLR026250429002</t>
  </si>
  <si>
    <t xml:space="preserve">BASEBALL GREY (075)  </t>
  </si>
  <si>
    <t>QYCLR026250429003</t>
  </si>
  <si>
    <t xml:space="preserve">BLUE CALM (453)  </t>
  </si>
  <si>
    <t>QYCLR026250429004</t>
  </si>
  <si>
    <t xml:space="preserve">FLAWLESS (834)  </t>
  </si>
  <si>
    <t>QYCLR026250429005</t>
  </si>
  <si>
    <t>GTO20250425-179</t>
  </si>
  <si>
    <t>Ultra suede</t>
  </si>
  <si>
    <t>QYCGS007250429001</t>
  </si>
  <si>
    <t>MEI RIS</t>
  </si>
  <si>
    <t>QYCGS007250429002</t>
  </si>
  <si>
    <t>IFU2504210093</t>
  </si>
  <si>
    <t>IFU2504280003</t>
  </si>
  <si>
    <t>IFU2504290007</t>
  </si>
  <si>
    <t>QYCLR026250430001</t>
  </si>
  <si>
    <t>QYCLR026250430002</t>
  </si>
  <si>
    <t>QYCLR026250430003</t>
  </si>
  <si>
    <t>PS25020602</t>
  </si>
  <si>
    <t>SAI</t>
  </si>
  <si>
    <t>N.B</t>
  </si>
  <si>
    <t>PO# 5849-5945-7-2-A/0310/PO-SAI/II/2025</t>
  </si>
  <si>
    <t xml:space="preserve">BLACK (145-17-00)  </t>
  </si>
  <si>
    <t>MYCSD046250206001</t>
  </si>
  <si>
    <t>PS25021309</t>
  </si>
  <si>
    <t>PO# 1167~F020-7-1-1-A 0674/PO-SAI/II/2025</t>
  </si>
  <si>
    <t xml:space="preserve">BLACK (145-17-00)    </t>
  </si>
  <si>
    <t>WL373XH2</t>
  </si>
  <si>
    <t>MYCSD046250213009</t>
  </si>
  <si>
    <t>PS25030302</t>
  </si>
  <si>
    <t>PO# 5331~F169-7-3-A/1270/PO-SAI/II/2025</t>
  </si>
  <si>
    <t xml:space="preserve">REFLECTION (043-89-00)        </t>
  </si>
  <si>
    <t>WL373XE2</t>
  </si>
  <si>
    <t>MYCSD046250303002</t>
  </si>
  <si>
    <t>MYCSD046250303003</t>
  </si>
  <si>
    <t>PS25040709</t>
  </si>
  <si>
    <t>PWA</t>
  </si>
  <si>
    <t>PWA-PRD-UO-250328-0035</t>
  </si>
  <si>
    <t xml:space="preserve">SILVER BIRCH (13-4403 TCX)  </t>
  </si>
  <si>
    <t xml:space="preserve">GS327V1	</t>
  </si>
  <si>
    <t xml:space="preserve">GS327FE-M	</t>
  </si>
  <si>
    <t>MYCPW030250407004</t>
  </si>
  <si>
    <t xml:space="preserve">MOONBEAM (026-79-03) COLORO     </t>
  </si>
  <si>
    <t>WS327GD-B</t>
  </si>
  <si>
    <t>MYCPW030250407005</t>
  </si>
  <si>
    <t>PS25040705</t>
  </si>
  <si>
    <t>PO# 9251~F026-7-8-A/1020/PO-SAI/III/2025</t>
  </si>
  <si>
    <t xml:space="preserve">BLACK (145-17-00)      </t>
  </si>
  <si>
    <t>WL373XB2</t>
  </si>
  <si>
    <t>MYCSD046250407001</t>
  </si>
  <si>
    <t>PS25040720</t>
  </si>
  <si>
    <t>LONG RICH NB</t>
  </si>
  <si>
    <t>IBO2504070005</t>
  </si>
  <si>
    <t xml:space="preserve">ANGORA (039-90-05) COLORO    </t>
  </si>
  <si>
    <t>PZ530UK(FIN)</t>
  </si>
  <si>
    <t>MYCLR028250407005</t>
  </si>
  <si>
    <t>PS25040901</t>
  </si>
  <si>
    <t>PO# 265T~822A-6-16-A/0111/PO-SAI/IV/2025</t>
  </si>
  <si>
    <t xml:space="preserve">SEA SALT (036-90-02) COLORO      </t>
  </si>
  <si>
    <t>BB480LLA</t>
  </si>
  <si>
    <t>MYCSD046250409001</t>
  </si>
  <si>
    <t>PS25041103</t>
  </si>
  <si>
    <t>PWA-PRD-UO-250411-0007</t>
  </si>
  <si>
    <t xml:space="preserve">SILVER BIRCH (13-4403 TCX)    </t>
  </si>
  <si>
    <t xml:space="preserve">PH327	</t>
  </si>
  <si>
    <t xml:space="preserve">PH327FE-W	</t>
  </si>
  <si>
    <t>4/25</t>
  </si>
  <si>
    <t>MYCPW030250411001</t>
  </si>
  <si>
    <t>PS25041401</t>
  </si>
  <si>
    <t>PWA-PRD--RO-250414-0001</t>
  </si>
  <si>
    <t>PH327FE-W</t>
  </si>
  <si>
    <t>PH327</t>
  </si>
  <si>
    <t>5/5</t>
  </si>
  <si>
    <t>MYCPW030250414001</t>
  </si>
  <si>
    <t>PS25041502</t>
  </si>
  <si>
    <t>METRO NB</t>
  </si>
  <si>
    <t>N2025041025NB</t>
  </si>
  <si>
    <t>NM272TTO</t>
  </si>
  <si>
    <t>4/30</t>
  </si>
  <si>
    <t>MYCMP033250415001</t>
  </si>
  <si>
    <t>108032186C, METRO MINTA 4/25 KIRIM</t>
  </si>
  <si>
    <t xml:space="preserve">BLACK CEMENT (008-24-00)  </t>
  </si>
  <si>
    <t>NM480BAB</t>
  </si>
  <si>
    <t>MYCMP033250415003</t>
  </si>
  <si>
    <t>PS25042201</t>
  </si>
  <si>
    <t>PO#1781-1275-6-7-A/0621/PO/SAI/IV/2025</t>
  </si>
  <si>
    <t>PSB8480PT</t>
  </si>
  <si>
    <t>5/12</t>
  </si>
  <si>
    <t>MYCSD046250422001</t>
  </si>
  <si>
    <t>PS8480PT</t>
  </si>
  <si>
    <t>MYCSD046250422002</t>
  </si>
  <si>
    <t>PS25042401</t>
  </si>
  <si>
    <t>N2025041263NB REPRO</t>
  </si>
  <si>
    <t>NM440WWD2</t>
  </si>
  <si>
    <t>4/29</t>
  </si>
  <si>
    <t>MYCMP033250424001</t>
  </si>
  <si>
    <t>140151104C</t>
  </si>
  <si>
    <t>S25041401</t>
  </si>
  <si>
    <t>SHYANG HUNG TAH</t>
  </si>
  <si>
    <t>PW25400XVJ-NB DEV</t>
  </si>
  <si>
    <t xml:space="preserve">GREY MATTER (017-79-00)  </t>
  </si>
  <si>
    <t>W08050L</t>
  </si>
  <si>
    <t>4/28</t>
  </si>
  <si>
    <t>SYCSH001250414001</t>
  </si>
  <si>
    <t>SHT WANT TO SEND CS</t>
  </si>
  <si>
    <t>S25042101</t>
  </si>
  <si>
    <t>HORNMING</t>
  </si>
  <si>
    <t>S11250417-36</t>
  </si>
  <si>
    <t xml:space="preserve">RAIN CLOUD (000-68-00)  </t>
  </si>
  <si>
    <t>MRV530V1(D)(23S1-1)-CK</t>
  </si>
  <si>
    <t>SYCHI024250421001</t>
  </si>
  <si>
    <t>PSC25042501</t>
  </si>
  <si>
    <t>ULTIMATE NOBLE</t>
  </si>
  <si>
    <t>U2025031200NB-FOC</t>
  </si>
  <si>
    <t xml:space="preserve">SEA SALT (036-90-02) COLORO  </t>
  </si>
  <si>
    <t>BYCMP034250425001</t>
  </si>
  <si>
    <t>THI-M250408046 TGL 4/9</t>
  </si>
  <si>
    <t>PSC25042502</t>
  </si>
  <si>
    <t>U2025031265NB-FOC</t>
  </si>
  <si>
    <t xml:space="preserve">SEA SALT (036-90-02) COLORO   </t>
  </si>
  <si>
    <t>BYCMP034250425002</t>
  </si>
  <si>
    <t>THI-M250408048 4/9</t>
  </si>
  <si>
    <t>PSC25042503</t>
  </si>
  <si>
    <t>DIAMOND INTERNATIONAL</t>
  </si>
  <si>
    <t>20250425/CLAIM-DIAMOND/001</t>
  </si>
  <si>
    <t>BYCDI024250425001</t>
  </si>
  <si>
    <t>PS25021308</t>
  </si>
  <si>
    <t>PO# 1167~F020-7-1-A 0679/PO-SAI/II/2025</t>
  </si>
  <si>
    <t xml:space="preserve">REFLECTION (043-89-00)     </t>
  </si>
  <si>
    <t>MYCSD046250213008</t>
  </si>
  <si>
    <t>PS25021702</t>
  </si>
  <si>
    <t>PO# 4531~5947-5-9-A/0724/PO-SAI/II/2025</t>
  </si>
  <si>
    <t>ML373XB2</t>
  </si>
  <si>
    <t>MYCSD046250217001</t>
  </si>
  <si>
    <t>PS25021801</t>
  </si>
  <si>
    <t>PO# 4914~5893-5-10/0761/PO-SAI/II/2025</t>
  </si>
  <si>
    <t>3/14</t>
  </si>
  <si>
    <t>MYCSD046250218001</t>
  </si>
  <si>
    <t>PS25021902</t>
  </si>
  <si>
    <t>PO# F187~F188-6-6-A/0820/PO-SAI/II/2025</t>
  </si>
  <si>
    <t xml:space="preserve">SLATE GREY (000-55-00)    </t>
  </si>
  <si>
    <t>ML373XC2</t>
  </si>
  <si>
    <t>MYCSD046250219001</t>
  </si>
  <si>
    <t>PS25022002</t>
  </si>
  <si>
    <t>N2025025529NB</t>
  </si>
  <si>
    <t xml:space="preserve">REFLECTION (043-89-00)       </t>
  </si>
  <si>
    <t>MYCMP033250220002</t>
  </si>
  <si>
    <t>108032208C</t>
  </si>
  <si>
    <t xml:space="preserve">SLATE GREY (000-55-00)      </t>
  </si>
  <si>
    <t>MYCMP033250220001</t>
  </si>
  <si>
    <t>108032200C</t>
  </si>
  <si>
    <t>PS25022101</t>
  </si>
  <si>
    <t>PO# 2747~0438-4-10-A/0198/PO-SAI/II/2025</t>
  </si>
  <si>
    <t xml:space="preserve">SEA SALT (036-90-02) COLORO     </t>
  </si>
  <si>
    <t>BB480PEG</t>
  </si>
  <si>
    <t>GSB480PT</t>
  </si>
  <si>
    <t>MYCSD046250221001</t>
  </si>
  <si>
    <t>PS25022403</t>
  </si>
  <si>
    <t>N2025025705NB</t>
  </si>
  <si>
    <t xml:space="preserve">REFLECTION (043-89-00)      </t>
  </si>
  <si>
    <t>MYCMP033250224001</t>
  </si>
  <si>
    <t>PS25022803</t>
  </si>
  <si>
    <t>PO# 5331~F169-4-14-A/1203/PO-SAI/II/2025</t>
  </si>
  <si>
    <t>ML373XF2</t>
  </si>
  <si>
    <t>MYCSD046250228001</t>
  </si>
  <si>
    <t>PS25030301</t>
  </si>
  <si>
    <t>PO# 5331~7294-6-8-A/1264/PO-SAI/II/2025</t>
  </si>
  <si>
    <t>MYCSD046250303001</t>
  </si>
  <si>
    <t>PS25030401</t>
  </si>
  <si>
    <t>PWA-PRD--RO-250228-0012</t>
  </si>
  <si>
    <t>WS327V1</t>
  </si>
  <si>
    <t>WS327KE-B</t>
  </si>
  <si>
    <t>MYCPW030250304001</t>
  </si>
  <si>
    <t>PS25030402</t>
  </si>
  <si>
    <t>PO# 5331~7441-8-4-A/1298/PO-SAI/II/2025</t>
  </si>
  <si>
    <t>MYCSD046250304001</t>
  </si>
  <si>
    <t>MYCSD046250304002</t>
  </si>
  <si>
    <t>PS25030411</t>
  </si>
  <si>
    <t>PO# 8988~8251-5-13-A/0060/PO-SAI/III/2025</t>
  </si>
  <si>
    <t>MYCSD046250304003</t>
  </si>
  <si>
    <t xml:space="preserve">SEA SALT (036-90-02) COLORO    </t>
  </si>
  <si>
    <t>MYCSD046250304004</t>
  </si>
  <si>
    <t>MYCSD046250304005</t>
  </si>
  <si>
    <t>WL373XD2</t>
  </si>
  <si>
    <t>MYCSD046250304006</t>
  </si>
  <si>
    <t>PS25030412</t>
  </si>
  <si>
    <t>PO# 8988~8251-6-9-A/0099/PO-SAI/III/2025</t>
  </si>
  <si>
    <t>MYCSD046250304007</t>
  </si>
  <si>
    <t>MYCSD046250304008</t>
  </si>
  <si>
    <t>PS25030404</t>
  </si>
  <si>
    <t>SFI</t>
  </si>
  <si>
    <t>SFI-PRD-UO-250228-0096</t>
  </si>
  <si>
    <t xml:space="preserve">ANGORA (039-90-05) COLORO  </t>
  </si>
  <si>
    <t>CW997HZF-B</t>
  </si>
  <si>
    <t>MYCPW020250304001</t>
  </si>
  <si>
    <t>PS25030405</t>
  </si>
  <si>
    <t>SFI-PRD-UO-250228-0100</t>
  </si>
  <si>
    <t>GC9060V1</t>
  </si>
  <si>
    <t>GC9060ER-M</t>
  </si>
  <si>
    <t>MYCPW020250304002</t>
  </si>
  <si>
    <t xml:space="preserve">WL574V2	</t>
  </si>
  <si>
    <t>WL574CGR-B</t>
  </si>
  <si>
    <t>MYCPW020250304003</t>
  </si>
  <si>
    <t>PS25030407</t>
  </si>
  <si>
    <t>SFI-PRD-UO-250228-0105</t>
  </si>
  <si>
    <t xml:space="preserve">CW997	</t>
  </si>
  <si>
    <t>MYCPW020250304004</t>
  </si>
  <si>
    <t>PS25030406</t>
  </si>
  <si>
    <t>PARKLAND 2</t>
  </si>
  <si>
    <t>PWI2-PRD-RO-250303-0009</t>
  </si>
  <si>
    <t>WL574V2</t>
  </si>
  <si>
    <t>MYCPW010250304001</t>
  </si>
  <si>
    <t>MYCPW010250304002</t>
  </si>
  <si>
    <t>PS25030607</t>
  </si>
  <si>
    <t>U2025031200NB</t>
  </si>
  <si>
    <t>WL515SGM-B</t>
  </si>
  <si>
    <t>MYCMP034250306001</t>
  </si>
  <si>
    <t>135010033C</t>
  </si>
  <si>
    <t>PS25030601</t>
  </si>
  <si>
    <t>PO# 8988~8251-8-5-A/0153/PO-SAI/III/2025</t>
  </si>
  <si>
    <t>MYCSD046250306001</t>
  </si>
  <si>
    <t>MYCSD046250306002</t>
  </si>
  <si>
    <t>PS25030602</t>
  </si>
  <si>
    <t>N2025037929NB</t>
  </si>
  <si>
    <t>L515GRY-D</t>
  </si>
  <si>
    <t>MYCMP033250306001</t>
  </si>
  <si>
    <t>PS25030604</t>
  </si>
  <si>
    <t>IBO2503040061</t>
  </si>
  <si>
    <t>MYCLR028250306001</t>
  </si>
  <si>
    <t>PS25030605</t>
  </si>
  <si>
    <t>IBO2503060001</t>
  </si>
  <si>
    <t>MYCLR028250306003</t>
  </si>
  <si>
    <t>PS25031001</t>
  </si>
  <si>
    <t>N01757-56</t>
  </si>
  <si>
    <t>U509V1(D)(S225-3)-BC</t>
  </si>
  <si>
    <t>MYCDI024250310001</t>
  </si>
  <si>
    <t>PS25031002</t>
  </si>
  <si>
    <t>N2025038039NB</t>
  </si>
  <si>
    <t>MYCMP033250310001</t>
  </si>
  <si>
    <t>108032186C</t>
  </si>
  <si>
    <t>MYCMP033250310002</t>
  </si>
  <si>
    <t>108032190C</t>
  </si>
  <si>
    <t>PS25031102</t>
  </si>
  <si>
    <t>U2025031265NB</t>
  </si>
  <si>
    <t>MYCMP034250311001</t>
  </si>
  <si>
    <t>PS25031202</t>
  </si>
  <si>
    <t>GLOSTAR</t>
  </si>
  <si>
    <t>4003199652</t>
  </si>
  <si>
    <t>MB020012287</t>
  </si>
  <si>
    <t>MYCGS009250312001</t>
  </si>
  <si>
    <t>PS25031203</t>
  </si>
  <si>
    <t>JBO2503110036</t>
  </si>
  <si>
    <t>ML373 XB2(FIN)</t>
  </si>
  <si>
    <t>MYCLR028250312001</t>
  </si>
  <si>
    <t>PS25032005</t>
  </si>
  <si>
    <t>IBO2503040060</t>
  </si>
  <si>
    <t xml:space="preserve">DRIFT-WOOD (022-60-08)  </t>
  </si>
  <si>
    <t>U530CRA(FIN)</t>
  </si>
  <si>
    <t>MYCLR028250320001</t>
  </si>
  <si>
    <t>PS25032401</t>
  </si>
  <si>
    <t>SFI-PRD-UO-250321-0046</t>
  </si>
  <si>
    <t>WL574PSS-B</t>
  </si>
  <si>
    <t>MYCPW020250324001</t>
  </si>
  <si>
    <t>WL574PYG-B</t>
  </si>
  <si>
    <t>MYCPW020250324002</t>
  </si>
  <si>
    <t>313.6 BLM DAPET PL</t>
  </si>
  <si>
    <t>PS25032701</t>
  </si>
  <si>
    <t>JBO2503260060</t>
  </si>
  <si>
    <t>ML373 XF2(FIN)</t>
  </si>
  <si>
    <t>ML373</t>
  </si>
  <si>
    <t>MYCLR028250327001</t>
  </si>
  <si>
    <t>PS25040701</t>
  </si>
  <si>
    <t>PWA-PRD-UO-250327-0007</t>
  </si>
  <si>
    <t xml:space="preserve">LINEN (034-84-05) COLORO  </t>
  </si>
  <si>
    <t>WS327NKD-B</t>
  </si>
  <si>
    <t>MYCPW030250407001</t>
  </si>
  <si>
    <t>PS25040704</t>
  </si>
  <si>
    <t>PWA-PRD--RO-250328-0007</t>
  </si>
  <si>
    <t xml:space="preserve">WS327V1	</t>
  </si>
  <si>
    <t>MYCPW030250407002</t>
  </si>
  <si>
    <t>PS25040708</t>
  </si>
  <si>
    <t>PWA-PRD-UO-250328-0034</t>
  </si>
  <si>
    <t>U327V1</t>
  </si>
  <si>
    <t>U327LT-D</t>
  </si>
  <si>
    <t>MYCPW030250407003</t>
  </si>
  <si>
    <t>PS25040714</t>
  </si>
  <si>
    <t>PWA-PRD--RO-250329-0005</t>
  </si>
  <si>
    <t>FOLLOW CW PANTONE</t>
  </si>
  <si>
    <t>GS327V1</t>
  </si>
  <si>
    <t>GS327FE-M</t>
  </si>
  <si>
    <t>MYCPW030250407006</t>
  </si>
  <si>
    <t xml:space="preserve">MOONBEAM (026-79-03) COLORO    </t>
  </si>
  <si>
    <t>MYCPW030250407007</t>
  </si>
  <si>
    <t>PS25040702</t>
  </si>
  <si>
    <t>SFI-PRD-UO-250327-0075</t>
  </si>
  <si>
    <t xml:space="preserve">TIMBERWOLF (032-76-04) COLORO  </t>
  </si>
  <si>
    <t>WL574COR-B</t>
  </si>
  <si>
    <t>MYCPW020250407001</t>
  </si>
  <si>
    <t>MYCPW020250407002</t>
  </si>
  <si>
    <t>PS25040703</t>
  </si>
  <si>
    <t>SFI-PRD-UO-250327-0074</t>
  </si>
  <si>
    <t>CW997HZE-B</t>
  </si>
  <si>
    <t>MYCPW020250407003</t>
  </si>
  <si>
    <t>UDAH FULL DI SISTEM, MINTA PL</t>
  </si>
  <si>
    <t>PS25040706</t>
  </si>
  <si>
    <t>PO# 9251~F026-8-8-A/1032/PO-SAI/III/2025</t>
  </si>
  <si>
    <t>MYCSD046250407002</t>
  </si>
  <si>
    <t>PS25040707</t>
  </si>
  <si>
    <t>PO# 9251~F026-9-4-A/1048/PO-SAI/III/2025</t>
  </si>
  <si>
    <t>MYCSD046250407003</t>
  </si>
  <si>
    <t>PS25040713</t>
  </si>
  <si>
    <t>U2025031870NB</t>
  </si>
  <si>
    <t>L515AGR-D</t>
  </si>
  <si>
    <t>MYCMP034250407001</t>
  </si>
  <si>
    <t>101132311C</t>
  </si>
  <si>
    <t>ML515TOV-D</t>
  </si>
  <si>
    <t>MYCMP034250407002</t>
  </si>
  <si>
    <t>ML515BLK-4E</t>
  </si>
  <si>
    <t>MYCMP034250407003</t>
  </si>
  <si>
    <t>140058002C</t>
  </si>
  <si>
    <t>PS25040716</t>
  </si>
  <si>
    <t>IBO2503270396</t>
  </si>
  <si>
    <t xml:space="preserve">DRIFT-WOOD (022-60-08)    </t>
  </si>
  <si>
    <t>MYCLR028250407001</t>
  </si>
  <si>
    <t>PS25040717</t>
  </si>
  <si>
    <t>IBO2503270397</t>
  </si>
  <si>
    <t>U530CRB(FIN)</t>
  </si>
  <si>
    <t>MYCLR028250407002</t>
  </si>
  <si>
    <t>PS25040718</t>
  </si>
  <si>
    <t>IBO2504070002</t>
  </si>
  <si>
    <t>MYCLR028250407003</t>
  </si>
  <si>
    <t>PS25040719</t>
  </si>
  <si>
    <t>IBO2504070004</t>
  </si>
  <si>
    <t>GR530UK(FIN)</t>
  </si>
  <si>
    <t>MYCLR028250407004</t>
  </si>
  <si>
    <t>PS25040721</t>
  </si>
  <si>
    <t>JBO2503280043</t>
  </si>
  <si>
    <t xml:space="preserve">RAINCLOUD (000-68-00)  </t>
  </si>
  <si>
    <t>ML373 XH2(FIN)</t>
  </si>
  <si>
    <t>MYCLR028250407006</t>
  </si>
  <si>
    <t>PS25040801</t>
  </si>
  <si>
    <t>MYCGS009250408001</t>
  </si>
  <si>
    <t>PS25040802</t>
  </si>
  <si>
    <t>SHOETOWN MUSTIKA</t>
  </si>
  <si>
    <t>BLK307/25</t>
  </si>
  <si>
    <t xml:space="preserve">CASTLEROCK (149-40-00)    </t>
  </si>
  <si>
    <t>ML373V2</t>
  </si>
  <si>
    <t>ML373XE2</t>
  </si>
  <si>
    <t>MYCSL045250408001</t>
  </si>
  <si>
    <t>MYCSL045250408002</t>
  </si>
  <si>
    <t>PS25040902</t>
  </si>
  <si>
    <t>U2025042120NB</t>
  </si>
  <si>
    <t>ML515TWT-D</t>
  </si>
  <si>
    <t>MYCMP034250409001</t>
  </si>
  <si>
    <t>PS25041102</t>
  </si>
  <si>
    <t>BKL025/25</t>
  </si>
  <si>
    <t>WL373V2 WL373XB2</t>
  </si>
  <si>
    <t>MYCSL045250411001</t>
  </si>
  <si>
    <t>NM508TAC</t>
  </si>
  <si>
    <t>MYCMP033250415002</t>
  </si>
  <si>
    <t>108032341C, METRO MINTA 4/25 KIRIM</t>
  </si>
  <si>
    <t>PS25041703</t>
  </si>
  <si>
    <t>BLK360/25</t>
  </si>
  <si>
    <t xml:space="preserve">CASTLEROCK (149-40-00)  </t>
  </si>
  <si>
    <t>ML373XE2-GEI</t>
  </si>
  <si>
    <t>MYCSL045250417001</t>
  </si>
  <si>
    <t>ML373XB2-GEI</t>
  </si>
  <si>
    <t>MYCSL045250417002</t>
  </si>
  <si>
    <t>PS25043002</t>
  </si>
  <si>
    <t>BLK433/25</t>
  </si>
  <si>
    <t>MYCSL045250430001</t>
  </si>
  <si>
    <t>WL373V2</t>
  </si>
  <si>
    <t>MYCSL045250430002</t>
  </si>
  <si>
    <t>S25011001</t>
  </si>
  <si>
    <t>SAIDEV-25-0000017</t>
  </si>
  <si>
    <t xml:space="preserve">TIMBERWOLF (032-76-04)  </t>
  </si>
  <si>
    <t>SYCSD046250110001</t>
  </si>
  <si>
    <t>S25011301</t>
  </si>
  <si>
    <t>PYS-20240113-NB-01</t>
  </si>
  <si>
    <t xml:space="preserve">SLATE GREY (000-55-00) COLORO  </t>
  </si>
  <si>
    <t>C/S CFM GERRY DU</t>
  </si>
  <si>
    <t>MR530TG-S123</t>
  </si>
  <si>
    <t>SYCGS009250113001</t>
  </si>
  <si>
    <t>S25011701</t>
  </si>
  <si>
    <t>PW251029SJ-NB DEV</t>
  </si>
  <si>
    <t>BBW80HBK</t>
  </si>
  <si>
    <t>SYCSH001250117001</t>
  </si>
  <si>
    <t>PS25020702</t>
  </si>
  <si>
    <t>N2025020959NBD</t>
  </si>
  <si>
    <t>MYCMP033250207001</t>
  </si>
  <si>
    <t>MYCMP033250207002</t>
  </si>
  <si>
    <t>108032194C</t>
  </si>
  <si>
    <t>MYCMP033250207003</t>
  </si>
  <si>
    <t xml:space="preserve">NEW LINEN (34-84-05)  </t>
  </si>
  <si>
    <t>MYCMP033250207004</t>
  </si>
  <si>
    <t>140151064C</t>
  </si>
  <si>
    <t xml:space="preserve">CASTLEROCK (149-40-00)      </t>
  </si>
  <si>
    <t>MYCMP033250210001</t>
  </si>
  <si>
    <t>140151080C</t>
  </si>
  <si>
    <t>S25021802</t>
  </si>
  <si>
    <t>N2025021343NBD</t>
  </si>
  <si>
    <t>SYCMP033250218001</t>
  </si>
  <si>
    <t>135010034C</t>
  </si>
  <si>
    <t xml:space="preserve">NEW LINEN (34-84-05)    </t>
  </si>
  <si>
    <t>SYCMP033250218002</t>
  </si>
  <si>
    <t>135010168C</t>
  </si>
  <si>
    <t xml:space="preserve">SEA SALT (036-90-02) COLORO       </t>
  </si>
  <si>
    <t>SYCMP033250218003</t>
  </si>
  <si>
    <t>S25021901</t>
  </si>
  <si>
    <t>N2025021304NBD</t>
  </si>
  <si>
    <t>SYCMP033250219001</t>
  </si>
  <si>
    <t>S25021902</t>
  </si>
  <si>
    <t>N2025021222NBD</t>
  </si>
  <si>
    <t>SYCMP033250219002</t>
  </si>
  <si>
    <t>S25021903</t>
  </si>
  <si>
    <t>N2025021076NBD</t>
  </si>
  <si>
    <t>SYCMP033250219003</t>
  </si>
  <si>
    <t>S25022001</t>
  </si>
  <si>
    <t>PYS-20250220-NB-01</t>
  </si>
  <si>
    <t>MR530CE-S123</t>
  </si>
  <si>
    <t>SYCGS009250220002</t>
  </si>
  <si>
    <t xml:space="preserve">SEA SALT (036-90-02) COLORO         </t>
  </si>
  <si>
    <t>SYCGS009250220001</t>
  </si>
  <si>
    <t>S25031104</t>
  </si>
  <si>
    <t>PYS-20250310-NB-01</t>
  </si>
  <si>
    <t>MR530</t>
  </si>
  <si>
    <t>MR530CC-S123</t>
  </si>
  <si>
    <t>SYCGS009250311001</t>
  </si>
  <si>
    <t>1 roll 2 pcs</t>
  </si>
  <si>
    <t>S25031301</t>
  </si>
  <si>
    <t>PW25303HMJ-NB DEV</t>
  </si>
  <si>
    <t xml:space="preserve">TIMBERWOLF (032-76-04)    </t>
  </si>
  <si>
    <t>M0809DR</t>
  </si>
  <si>
    <t>SYCSH001250313001</t>
  </si>
  <si>
    <t>S25031302</t>
  </si>
  <si>
    <t>PW25303HNJ- NB DEV</t>
  </si>
  <si>
    <t>SYCSH001250313002</t>
  </si>
  <si>
    <t>FOC</t>
  </si>
  <si>
    <t>S25040901</t>
  </si>
  <si>
    <t>PW2540071J-NB DEV</t>
  </si>
  <si>
    <t xml:space="preserve">TIMBERWOLF (032-76-04) COLORO    </t>
  </si>
  <si>
    <t>BB80V2</t>
  </si>
  <si>
    <t>SYCSH001250409001</t>
  </si>
  <si>
    <t>SALIVA TEST</t>
  </si>
  <si>
    <t>S25040902</t>
  </si>
  <si>
    <t>PW2540072J-NB DEV</t>
  </si>
  <si>
    <t>SYCSH001250409002</t>
  </si>
  <si>
    <t>S25041602</t>
  </si>
  <si>
    <t>N2025042325NBD</t>
  </si>
  <si>
    <t>UN933VVG</t>
  </si>
  <si>
    <t>4/26</t>
  </si>
  <si>
    <t>SYCMP033250416001</t>
  </si>
  <si>
    <t>108032341C</t>
  </si>
  <si>
    <t xml:space="preserve">SLATE GREY (000-55-00)  </t>
  </si>
  <si>
    <t>UN1010C</t>
  </si>
  <si>
    <t>SYCMP033250416002</t>
  </si>
  <si>
    <t>S25042102</t>
  </si>
  <si>
    <t>N2025042444NBD</t>
  </si>
  <si>
    <t>UN306BSD/UN272HWN</t>
  </si>
  <si>
    <t>SYCMP033250421001</t>
  </si>
  <si>
    <t>108032340C</t>
  </si>
  <si>
    <t>S25042201</t>
  </si>
  <si>
    <t>N2025042494NBD</t>
  </si>
  <si>
    <t>Y306BSD</t>
  </si>
  <si>
    <t>SYCMP033250422001</t>
  </si>
  <si>
    <t>S25042801</t>
  </si>
  <si>
    <t>N2025042799NBD</t>
  </si>
  <si>
    <t>2.8-.3.2</t>
  </si>
  <si>
    <t>SYCMP033250428001</t>
  </si>
  <si>
    <t>140151052C</t>
  </si>
  <si>
    <t>PSC25012101</t>
  </si>
  <si>
    <t>N2025012132NB-FOC</t>
  </si>
  <si>
    <t>BYCMP033250121001</t>
  </si>
  <si>
    <t>PSC25013101</t>
  </si>
  <si>
    <t>SFI-CLAIM0131</t>
  </si>
  <si>
    <t>2/7</t>
  </si>
  <si>
    <t>BYCPW020250131001</t>
  </si>
  <si>
    <t>PSC25021101</t>
  </si>
  <si>
    <t>CLAIM/001/SAI-THIN-S/2025</t>
  </si>
  <si>
    <t xml:space="preserve">SLATE GREY (000-55-00)   </t>
  </si>
  <si>
    <t>BYCSD046250211001</t>
  </si>
  <si>
    <t xml:space="preserve">BLACK (145-17-00)   </t>
  </si>
  <si>
    <t>BYCSD046250211002</t>
  </si>
  <si>
    <t>PSC25022401</t>
  </si>
  <si>
    <t>CLAIM/002/SAI-THIN-S/2025</t>
  </si>
  <si>
    <t>BYCSD046250224001</t>
  </si>
  <si>
    <t>PSC25031702</t>
  </si>
  <si>
    <t>SFI-CLAIM-0317-001</t>
  </si>
  <si>
    <t>BYCPW020250317001</t>
  </si>
  <si>
    <t>PSC25031703</t>
  </si>
  <si>
    <t>PWI2-250207-0009 THIN M 2502250</t>
  </si>
  <si>
    <t xml:space="preserve">BLACK (145-17-00)        </t>
  </si>
  <si>
    <t>BYCPW010250317001</t>
  </si>
  <si>
    <t>PSC25040901</t>
  </si>
  <si>
    <t>4003326127-FOC</t>
  </si>
  <si>
    <t>BYCGS009250409001</t>
  </si>
  <si>
    <t>10 MB020014276</t>
  </si>
  <si>
    <t>PSC25041001</t>
  </si>
  <si>
    <t>CLAIM/003/SAI-THIN-S/2025</t>
  </si>
  <si>
    <t>BYCSD046250410001</t>
  </si>
  <si>
    <t>BYCSD046250410002</t>
  </si>
  <si>
    <t xml:space="preserve">REFLECTION (043-89-00)         </t>
  </si>
  <si>
    <t>BYCSD046250410003</t>
  </si>
  <si>
    <t>BYCSD046250410004</t>
  </si>
  <si>
    <t>PSC25041002</t>
  </si>
  <si>
    <t>N2025011860NB-FOC</t>
  </si>
  <si>
    <t>BYCMP033250410001</t>
  </si>
  <si>
    <t>PWI3-PRD-RO-250411-0010</t>
  </si>
  <si>
    <t>MYCSD046250206002</t>
  </si>
  <si>
    <t>IZ373TJ2</t>
  </si>
  <si>
    <t>PS25010701</t>
  </si>
  <si>
    <t>IBO2412310330</t>
  </si>
  <si>
    <t>MYCLR028250107001</t>
  </si>
  <si>
    <t>MYCLR028250107002</t>
  </si>
  <si>
    <t>PS25011301</t>
  </si>
  <si>
    <t>PWA-PRD--RO-250110-0004</t>
  </si>
  <si>
    <t xml:space="preserve">MOONBEAM (026-79-03) COLORO   </t>
  </si>
  <si>
    <t>GS327CBW-M</t>
  </si>
  <si>
    <t>MYCPW030250113001</t>
  </si>
  <si>
    <t>PS25011401</t>
  </si>
  <si>
    <t>N2025011860NB</t>
  </si>
  <si>
    <t>NM480SBW</t>
  </si>
  <si>
    <t>MYCMP033250114002</t>
  </si>
  <si>
    <t>PS25011402</t>
  </si>
  <si>
    <t>PO# 9405-F057-3-16-A0627/PO-SAI/I/2025</t>
  </si>
  <si>
    <t>MYCSD046250114001</t>
  </si>
  <si>
    <t>MYCSD046250114002</t>
  </si>
  <si>
    <t>MYCSD046250114003</t>
  </si>
  <si>
    <t>MYCSD046250114004</t>
  </si>
  <si>
    <t>MYCSD046250114005</t>
  </si>
  <si>
    <t>MYCSD046250114006</t>
  </si>
  <si>
    <t>PS25011601</t>
  </si>
  <si>
    <t>PWI2-PRD-RO-250116-0002</t>
  </si>
  <si>
    <t>MTTTRSV1</t>
  </si>
  <si>
    <t>MTTTRSCG-D</t>
  </si>
  <si>
    <t>MYCPW010250116001</t>
  </si>
  <si>
    <t>PS25012102</t>
  </si>
  <si>
    <t>PO# 9405-F057-3-16-B/0627/PO-SAI/I/2025</t>
  </si>
  <si>
    <t>MYCSD046250121001</t>
  </si>
  <si>
    <t>PS25012201</t>
  </si>
  <si>
    <t>ABO2501220005</t>
  </si>
  <si>
    <t>U5309TN</t>
  </si>
  <si>
    <t>2/5</t>
  </si>
  <si>
    <t>MYCLR028250122001</t>
  </si>
  <si>
    <t>MYCLR028250122002</t>
  </si>
  <si>
    <t>PS25012301</t>
  </si>
  <si>
    <t>PO# 9405-F057-3-16-C-0982/PO-SAI/I/2025</t>
  </si>
  <si>
    <t>BB480PEN</t>
  </si>
  <si>
    <t>MYCSD046250123001</t>
  </si>
  <si>
    <t>PS25013003</t>
  </si>
  <si>
    <t>IBO2501240321</t>
  </si>
  <si>
    <t>DRIFT-WOOD (022-60-08)</t>
  </si>
  <si>
    <t>MYCLR028250130001</t>
  </si>
  <si>
    <t>PS25012401</t>
  </si>
  <si>
    <t>N2025012343NB</t>
  </si>
  <si>
    <t>MYCMP033250124001</t>
  </si>
  <si>
    <t>PS25012402</t>
  </si>
  <si>
    <t>N2025012342NB</t>
  </si>
  <si>
    <t>MYCMP033250124002</t>
  </si>
  <si>
    <t>PS25013002</t>
  </si>
  <si>
    <t>PO#1655-1675-3-17-A/1047/PO-SAI/I/2025</t>
  </si>
  <si>
    <t>MYCSD046250130001</t>
  </si>
  <si>
    <t>MYCSD046250130003</t>
  </si>
  <si>
    <t>MYCSD046250130004</t>
  </si>
  <si>
    <t>MYCSD046250131008</t>
  </si>
  <si>
    <t>REJECT COLOR SPRAY 02/25</t>
  </si>
  <si>
    <t>PS25013101</t>
  </si>
  <si>
    <t>PO# 9624-5486-3-19-A/1213/PO-SAI/I/2025</t>
  </si>
  <si>
    <t xml:space="preserve">REFLECTION (043-89-00)  </t>
  </si>
  <si>
    <t>BB480PEO</t>
  </si>
  <si>
    <t>MYCSD046250131001</t>
  </si>
  <si>
    <t>MYCSD046250131002</t>
  </si>
  <si>
    <t>PS25013102</t>
  </si>
  <si>
    <t>PO# 9655-0934-4-7-A/1239/PO-SAI/I/2025</t>
  </si>
  <si>
    <t>MYCSD046250131003</t>
  </si>
  <si>
    <t>BB480PEN / BB480PEO</t>
  </si>
  <si>
    <t>MYCSD046250131004</t>
  </si>
  <si>
    <t>MYCSD046250131005</t>
  </si>
  <si>
    <t>MYCSD046250131006</t>
  </si>
  <si>
    <t>MYCSD046250131007</t>
  </si>
  <si>
    <t>2/25 3k</t>
  </si>
  <si>
    <t>PS25020301</t>
  </si>
  <si>
    <t>PO# 0030-5765-4-8-A/1314/PO-SAI/I/2025</t>
  </si>
  <si>
    <t>BB480LEA</t>
  </si>
  <si>
    <t>MYCSD046250203001</t>
  </si>
  <si>
    <t>MYCSD046250203002</t>
  </si>
  <si>
    <t>MYCSD046250203003</t>
  </si>
  <si>
    <t>PS25020502</t>
  </si>
  <si>
    <t>N2025024240NB</t>
  </si>
  <si>
    <t>MYCMP033250205001</t>
  </si>
  <si>
    <t xml:space="preserve">REFLECTION (043-89-00)    </t>
  </si>
  <si>
    <t>WL515WHT-8</t>
  </si>
  <si>
    <t>MYCMP033250205002</t>
  </si>
  <si>
    <t>PS25020501</t>
  </si>
  <si>
    <t>PO# 2398-2439-5-5-A/0203/PO-SAI/II/2025</t>
  </si>
  <si>
    <t>MYCSD046250205001</t>
  </si>
  <si>
    <t>MYCSD046250205002</t>
  </si>
  <si>
    <t>PS25020601</t>
  </si>
  <si>
    <t>IBO2502060004</t>
  </si>
  <si>
    <t>U530SUA(FIN)</t>
  </si>
  <si>
    <t>MYCLR028250206001</t>
  </si>
  <si>
    <t>87 pcs</t>
  </si>
  <si>
    <t>PS25020603</t>
  </si>
  <si>
    <t>PO# 2747-0438-6-4-A/0306/PO-SAI/II/2025</t>
  </si>
  <si>
    <t>MYCSD046250206003</t>
  </si>
  <si>
    <t>MYCSD046250206004</t>
  </si>
  <si>
    <t>PS25020604</t>
  </si>
  <si>
    <t>PO# 2747-0438-5-6-A/0305/PO-SAI/II/2025</t>
  </si>
  <si>
    <t xml:space="preserve">REFLECTION (043-89-00)   </t>
  </si>
  <si>
    <t>MYCSD046250206005</t>
  </si>
  <si>
    <t>MYCSD046250206006</t>
  </si>
  <si>
    <t>PS25020701</t>
  </si>
  <si>
    <t>MYCGS009250224001</t>
  </si>
  <si>
    <t>MYCGS009250224002</t>
  </si>
  <si>
    <t>20 4003104578</t>
  </si>
  <si>
    <t>PS25020706</t>
  </si>
  <si>
    <t>PWI2-PRD-UO-250207-0009</t>
  </si>
  <si>
    <t xml:space="preserve">ML515V3	</t>
  </si>
  <si>
    <t>ML515BLK-D</t>
  </si>
  <si>
    <t>MYCPW010250207001</t>
  </si>
  <si>
    <t>PS25020710</t>
  </si>
  <si>
    <t>PWI2-PRD-RO-250207-0038</t>
  </si>
  <si>
    <t>MYCPW010250207002</t>
  </si>
  <si>
    <t>PS25020703</t>
  </si>
  <si>
    <t>SFI-PRD-UO-250206-0030</t>
  </si>
  <si>
    <t>MYCPW020250207001</t>
  </si>
  <si>
    <t>25 pcs</t>
  </si>
  <si>
    <t>MYCPW020250207002</t>
  </si>
  <si>
    <t>94 pcs</t>
  </si>
  <si>
    <t>PS25020704</t>
  </si>
  <si>
    <t>SFI-PRD-UO-250206-0031</t>
  </si>
  <si>
    <t>MYCPW020250207003</t>
  </si>
  <si>
    <t>96 pcs</t>
  </si>
  <si>
    <t>PS25020705</t>
  </si>
  <si>
    <t>SFI-PRD-UO-250206-0032</t>
  </si>
  <si>
    <t>MYCPW020250207004</t>
  </si>
  <si>
    <t>50 pcs</t>
  </si>
  <si>
    <t>PS25020707</t>
  </si>
  <si>
    <t>PO# 5849-5945-8-2-A/0367/PO-SAI/II/2025</t>
  </si>
  <si>
    <t>ML373XA2</t>
  </si>
  <si>
    <t>MYCSD046250207001</t>
  </si>
  <si>
    <t>MYCSD046250207002</t>
  </si>
  <si>
    <t>PS25020708</t>
  </si>
  <si>
    <t>PO# 1167-F020-8-1-A/0377/PO-SAI/II/2025</t>
  </si>
  <si>
    <t>MYCSD046250207003</t>
  </si>
  <si>
    <t>PS25021103</t>
  </si>
  <si>
    <t>IBO2502240013</t>
  </si>
  <si>
    <t>MYCLR028250211003</t>
  </si>
  <si>
    <t>A04100001675</t>
  </si>
  <si>
    <t>PS25021106</t>
  </si>
  <si>
    <t>IBO2502240012</t>
  </si>
  <si>
    <t>MYCLR028250211004</t>
  </si>
  <si>
    <t>PS25021101</t>
  </si>
  <si>
    <t>IBO2502240014</t>
  </si>
  <si>
    <t>WL373 XD2(FIN)</t>
  </si>
  <si>
    <t>MYCLR028250213001</t>
  </si>
  <si>
    <t>A04100001679</t>
  </si>
  <si>
    <t>PS25021105</t>
  </si>
  <si>
    <t>2025024764NB</t>
  </si>
  <si>
    <t>MYCMP033250211001</t>
  </si>
  <si>
    <t>PS25021201</t>
  </si>
  <si>
    <t>PO# 3834-5976-5-7-A/0528/PO-SAI/II/2025</t>
  </si>
  <si>
    <t>MYCSD046250212001</t>
  </si>
  <si>
    <t>16 roll 123 pcs</t>
  </si>
  <si>
    <t>MYCSD046250212002</t>
  </si>
  <si>
    <t>PS25021303</t>
  </si>
  <si>
    <t>PO# 6070-5942-5-8-A/0638/PO-SAI/II/2025</t>
  </si>
  <si>
    <t>MYCSD046250213001</t>
  </si>
  <si>
    <t>MYCSD046250213002</t>
  </si>
  <si>
    <t>partial 4k 3/10 4k 3/14, 4k 3/17 7k 3/21</t>
  </si>
  <si>
    <t>PS25021305</t>
  </si>
  <si>
    <t>PO# 8443~F01-5-1-1-A 0677/PO-SAI/II/2025</t>
  </si>
  <si>
    <t>MYCSD046250213003</t>
  </si>
  <si>
    <t xml:space="preserve">_x000D_
</t>
  </si>
  <si>
    <t>MYCSD046250213004</t>
  </si>
  <si>
    <t>PS25021306</t>
  </si>
  <si>
    <t>PO# 8443~F017-5-2-A 0671/PO-SAI/II/2025</t>
  </si>
  <si>
    <t>MYCSD046250213005</t>
  </si>
  <si>
    <t>PS25021307</t>
  </si>
  <si>
    <t>PO# 8443~F017-6-1-A 0673/PO-SAI/II/2025</t>
  </si>
  <si>
    <t>MYCSD046250213006</t>
  </si>
  <si>
    <t>MYCSD046250213007</t>
  </si>
  <si>
    <t>PS25050504</t>
  </si>
  <si>
    <t>SFI-PRD-UO-250502-0121</t>
  </si>
  <si>
    <t>MYCPW020250505001</t>
  </si>
  <si>
    <t>PS25050505</t>
  </si>
  <si>
    <t>SFI-PRD-UO-250502-0119</t>
  </si>
  <si>
    <t>MYCPW020250505002</t>
  </si>
  <si>
    <t>PS25050506</t>
  </si>
  <si>
    <t>PWA-PRD--RO-250505-0004</t>
  </si>
  <si>
    <t>MYCPW030250505001</t>
  </si>
  <si>
    <t>MYCPW030250505002</t>
  </si>
  <si>
    <t>PS25050507</t>
  </si>
  <si>
    <t>PWA-PRD-UO-250502-0060</t>
  </si>
  <si>
    <t>MYCPW030250505003</t>
  </si>
  <si>
    <t>WS327KG-B</t>
  </si>
  <si>
    <t>MYCPW030250505004</t>
  </si>
  <si>
    <t>TITAN GREY (024)</t>
  </si>
  <si>
    <t>FLAWLESS (834)</t>
  </si>
  <si>
    <t>STONE (279)</t>
  </si>
  <si>
    <t>WHITE (100)</t>
  </si>
  <si>
    <t>QYCLR026250506001</t>
  </si>
  <si>
    <t>QYCLR026250506003</t>
  </si>
  <si>
    <t>QYCLR026250506004</t>
  </si>
  <si>
    <t>QYCLR026250506005</t>
  </si>
  <si>
    <t>QYCLR026250506006</t>
  </si>
  <si>
    <t>QYCLR026250506002</t>
  </si>
  <si>
    <t>QYCLR026250506007</t>
  </si>
  <si>
    <t>IFU2505020002</t>
  </si>
  <si>
    <t>PS25050601</t>
  </si>
  <si>
    <t>U2025052830NB</t>
  </si>
  <si>
    <t>WL515SBL-B</t>
  </si>
  <si>
    <t>MYCMP034250506001</t>
  </si>
  <si>
    <t>PS25050602</t>
  </si>
  <si>
    <t>U2025052961NB</t>
  </si>
  <si>
    <t>MYCMP034250506002</t>
  </si>
  <si>
    <t>PS25050603</t>
  </si>
  <si>
    <t>PO# 2514~F702-10-2-A/0148/PO-SAI/V/2025</t>
  </si>
  <si>
    <t>MYCSD046250506001</t>
  </si>
  <si>
    <t>PS25050801</t>
  </si>
  <si>
    <t>4003405190</t>
  </si>
  <si>
    <t xml:space="preserve">BLACK (145-17-00)          </t>
  </si>
  <si>
    <t xml:space="preserve">10 MB020012287_x000D_
</t>
  </si>
  <si>
    <t>MYCGS009250508001</t>
  </si>
  <si>
    <t xml:space="preserve">20 MB020012287_x000D_
</t>
  </si>
  <si>
    <t>MYCGS009250508002</t>
  </si>
  <si>
    <t>PS25050802</t>
  </si>
  <si>
    <t xml:space="preserve">ANGORA (039-90-05) COLORO   </t>
  </si>
  <si>
    <t>U530</t>
  </si>
  <si>
    <t>U530SUB(FIN)</t>
  </si>
  <si>
    <t>MYCLR028250508001</t>
  </si>
  <si>
    <t xml:space="preserve">RAINCLOUD (000-68-00)    </t>
  </si>
  <si>
    <t>MYCLR028250508002</t>
  </si>
  <si>
    <t>PS25050803</t>
  </si>
  <si>
    <t>MYCLR028250508003</t>
  </si>
  <si>
    <t>MYCLR028250508004</t>
  </si>
  <si>
    <t>PS25050804</t>
  </si>
  <si>
    <t xml:space="preserve">ANGORA (039-90-05) COLORO      </t>
  </si>
  <si>
    <t>MYCLR028250508005</t>
  </si>
  <si>
    <t>PS25050805</t>
  </si>
  <si>
    <t>GR530</t>
  </si>
  <si>
    <t>MYCLR028250508006</t>
  </si>
  <si>
    <t>PS25050806</t>
  </si>
  <si>
    <t>GR530UL(FIN)</t>
  </si>
  <si>
    <t>MYCLR028250508007</t>
  </si>
  <si>
    <t>PS25050807</t>
  </si>
  <si>
    <t>PZ530</t>
  </si>
  <si>
    <t>MYCLR028250508008</t>
  </si>
  <si>
    <t>PS25050808</t>
  </si>
  <si>
    <t>PZ530UL(FIN)</t>
  </si>
  <si>
    <t>MYCLR028250508009</t>
  </si>
  <si>
    <t>PS25050809</t>
  </si>
  <si>
    <t>MYCLR028250508010</t>
  </si>
  <si>
    <t>PS25050810</t>
  </si>
  <si>
    <t>MYCLR028250508011</t>
  </si>
  <si>
    <t>MYCLR028250508012</t>
  </si>
  <si>
    <t>PS25050811</t>
  </si>
  <si>
    <t>MYCLR028250508013</t>
  </si>
  <si>
    <t>PS25050812</t>
  </si>
  <si>
    <t>MYCLR028250508014</t>
  </si>
  <si>
    <t>PS25050813</t>
  </si>
  <si>
    <t>MYCLR028250508015</t>
  </si>
  <si>
    <t>MYCLR028250508016</t>
  </si>
  <si>
    <t>PS25050814</t>
  </si>
  <si>
    <t>MYCLR028250508017</t>
  </si>
  <si>
    <t xml:space="preserve">LINEN (034-84-05) COLORO    </t>
  </si>
  <si>
    <t>MYCGS009250509001</t>
  </si>
  <si>
    <t>3935 usd</t>
  </si>
  <si>
    <t>PS25050905</t>
  </si>
  <si>
    <t>N2025051245NB</t>
  </si>
  <si>
    <t>NM306BON</t>
  </si>
  <si>
    <t>MYCMP033250509001</t>
  </si>
  <si>
    <t>NM480SWG</t>
  </si>
  <si>
    <t>MYCMP033250509002</t>
  </si>
  <si>
    <t xml:space="preserve">SEA SALT (036-90-02) COLORO        </t>
  </si>
  <si>
    <t>NM574VRU-2E</t>
  </si>
  <si>
    <t>MYCMP033250509003</t>
  </si>
  <si>
    <t>NM574VBB-2E</t>
  </si>
  <si>
    <t>MYCMP033250509004</t>
  </si>
  <si>
    <t>NM272SLI-2E</t>
  </si>
  <si>
    <t>MYCMP033250509005</t>
  </si>
  <si>
    <t>PS25050904</t>
  </si>
  <si>
    <t>BLK517/25</t>
  </si>
  <si>
    <t xml:space="preserve">RAINCLOUD (000-68-00)      </t>
  </si>
  <si>
    <t>MYCSL045250509001</t>
  </si>
  <si>
    <t>MYCSL045250509002</t>
  </si>
  <si>
    <t>IBO2505130002</t>
  </si>
  <si>
    <t>IBO2505130003</t>
  </si>
  <si>
    <t>IBO2505130004</t>
  </si>
  <si>
    <t>IBO2505130005</t>
  </si>
  <si>
    <t>IBO2505130006</t>
  </si>
  <si>
    <t>IBO2505130007</t>
  </si>
  <si>
    <t>IBO2505130008</t>
  </si>
  <si>
    <t>IBO2505130009</t>
  </si>
  <si>
    <t>IBO2505130010</t>
  </si>
  <si>
    <t>IBO2505130011</t>
  </si>
  <si>
    <t>IBO2505130013</t>
  </si>
  <si>
    <t>IBO2505130012</t>
  </si>
  <si>
    <t>IBO2505130014</t>
  </si>
  <si>
    <t>CHEWBACCA SUEDE</t>
  </si>
  <si>
    <t>QYCNS016250508001</t>
  </si>
  <si>
    <t>KEVIN</t>
  </si>
  <si>
    <t>PRB-16-842-25-01-42686</t>
  </si>
  <si>
    <t>AURORA INK (AFAF)</t>
  </si>
  <si>
    <t>QYCPA020250513001</t>
  </si>
  <si>
    <t>BIG</t>
  </si>
  <si>
    <t>BIG-16-841-25-01-21959</t>
  </si>
  <si>
    <t>PINK TINT F20 (ADLA)</t>
  </si>
  <si>
    <t>QYCBI020250513001</t>
  </si>
  <si>
    <t>QYCBI020250513002</t>
  </si>
  <si>
    <t>GREY TWO F17 (AA2S)</t>
  </si>
  <si>
    <t>QYCBI020250513003</t>
  </si>
  <si>
    <t>GREY ONE F17 (AA2R)</t>
  </si>
  <si>
    <t>QYCBI020250513004</t>
  </si>
  <si>
    <t>PS25051302</t>
  </si>
  <si>
    <t>N2025051224NB</t>
  </si>
  <si>
    <t xml:space="preserve">BLACK CEMENT (008-24-00)    </t>
  </si>
  <si>
    <t>MYCMP033250513001</t>
  </si>
  <si>
    <t>PSC25051302</t>
  </si>
  <si>
    <t>JBO2505130009-FOC</t>
  </si>
  <si>
    <t xml:space="preserve">RAINCLOUD (000-68-00)        </t>
  </si>
  <si>
    <t>5/28</t>
  </si>
  <si>
    <t>GTO20250515-101</t>
  </si>
  <si>
    <t>QYCGS007250519001</t>
  </si>
  <si>
    <t>ULTRA SUEDE</t>
  </si>
  <si>
    <t>DARK OLIV (AEDR)</t>
  </si>
  <si>
    <t>QYCGS007250519002</t>
  </si>
  <si>
    <t>DIAMOND SUEDE</t>
  </si>
  <si>
    <t>QYCGS007250519003</t>
  </si>
  <si>
    <t>STOCK</t>
  </si>
  <si>
    <t>BIG-16-841-25-01-23395</t>
  </si>
  <si>
    <t>AURORA IVY (AFH2)</t>
  </si>
  <si>
    <t>QYCBI020250520001</t>
  </si>
  <si>
    <t>QYCBI020250520002</t>
  </si>
  <si>
    <t>PS25051905</t>
  </si>
  <si>
    <t>N2025052304NB</t>
  </si>
  <si>
    <t>MYCMP033250519001</t>
  </si>
  <si>
    <t>PSC25051901</t>
  </si>
  <si>
    <t>N2025025529NB-FOC1</t>
  </si>
  <si>
    <t>BYCMP033250519001</t>
  </si>
  <si>
    <t>PS25052003</t>
  </si>
  <si>
    <t>JBO2505160038</t>
  </si>
  <si>
    <t>MYCLR028250520001</t>
  </si>
  <si>
    <t>PS25052004</t>
  </si>
  <si>
    <t>JBO2505160039</t>
  </si>
  <si>
    <t>MYCLR028250520002</t>
  </si>
  <si>
    <t>PS25052005</t>
  </si>
  <si>
    <t>JBO2505160040</t>
  </si>
  <si>
    <t>IZ530UK(FIN)</t>
  </si>
  <si>
    <t>MYCLR028250520003</t>
  </si>
  <si>
    <t>PS25052006</t>
  </si>
  <si>
    <t>JBO2505160041</t>
  </si>
  <si>
    <t>IZ530UL(FIN)</t>
  </si>
  <si>
    <t>MYCLR028250520004</t>
  </si>
  <si>
    <t>PSC25052002</t>
  </si>
  <si>
    <t>PWA-PRD-UO-250328-0034/CLAIM</t>
  </si>
  <si>
    <t xml:space="preserve">MOONBEAM (026-79-03) COLORO  </t>
  </si>
  <si>
    <t>BYCPW030250520001</t>
  </si>
  <si>
    <t>PSC25052003</t>
  </si>
  <si>
    <t>PWA-PRD--RO-250329-0005/CLAIM</t>
  </si>
  <si>
    <t>BYCPW030250520002</t>
  </si>
  <si>
    <t>PSC25052004</t>
  </si>
  <si>
    <t>PWA-PRD-UO-250328-0035/CLAIM</t>
  </si>
  <si>
    <t>BYCPW030250520003</t>
  </si>
  <si>
    <t>BYCPW030250520004</t>
  </si>
  <si>
    <t>MOONBEAM (026-79-03) COLORO</t>
  </si>
  <si>
    <t>PS25052101</t>
  </si>
  <si>
    <t>SFI-PRD-RO-250521-0005</t>
  </si>
  <si>
    <t>MYCPW020250521001</t>
  </si>
  <si>
    <t>PS25052102</t>
  </si>
  <si>
    <t>BLK565/25</t>
  </si>
  <si>
    <t>NEW COLOR WINDOW</t>
  </si>
  <si>
    <t>WL373XB2-GEI</t>
  </si>
  <si>
    <t>MYCSL045250521001</t>
  </si>
  <si>
    <t>ML373XF2-GEI,</t>
  </si>
  <si>
    <t>MYCSL045250521002</t>
  </si>
  <si>
    <t>PSC25052101</t>
  </si>
  <si>
    <t>SFI-PRD-UO-250321-0046/CLAIM</t>
  </si>
  <si>
    <t xml:space="preserve">SLATE GREY (000-55-00)        </t>
  </si>
  <si>
    <t>BYCPW020250521001</t>
  </si>
  <si>
    <t>S25052201</t>
  </si>
  <si>
    <t>PW25403NEJ -DEV NB</t>
  </si>
  <si>
    <t>W080XO</t>
  </si>
  <si>
    <t>SYCSH001250522001</t>
  </si>
  <si>
    <t>SYCSH001250522002</t>
  </si>
  <si>
    <t>PS25052603</t>
  </si>
  <si>
    <t>N2025052597NB</t>
  </si>
  <si>
    <t>MYCMP033250526001</t>
  </si>
  <si>
    <t>PS25052604</t>
  </si>
  <si>
    <t>N2025052599NB</t>
  </si>
  <si>
    <t xml:space="preserve">BLACK CEMENT (008-24-00)      </t>
  </si>
  <si>
    <t>NM480CSS</t>
  </si>
  <si>
    <t>MYCMP033250526002</t>
  </si>
  <si>
    <t>PS25052602</t>
  </si>
  <si>
    <t>N00045-5</t>
  </si>
  <si>
    <t>MR530V1(D)(23S1-1)-CK</t>
  </si>
  <si>
    <t>MYCHI024250526001</t>
  </si>
  <si>
    <t>3003.2 23 ROLL 132 PCS</t>
  </si>
  <si>
    <t>574.2 8 ROLL 30 PCS</t>
  </si>
  <si>
    <t>PSC25052701</t>
  </si>
  <si>
    <t>N2025041263NB-FOC</t>
  </si>
  <si>
    <t xml:space="preserve">BLACK CEMENT (008-24-00)        </t>
  </si>
  <si>
    <t>BYCMP033250527001</t>
  </si>
  <si>
    <t>PSC25052702</t>
  </si>
  <si>
    <t>SFI-PRD-UO-250327-0075/CLAIM</t>
  </si>
  <si>
    <t>BYCPW020250527001</t>
  </si>
  <si>
    <t>S25052701</t>
  </si>
  <si>
    <t>PW25504UCJ -DEV NB</t>
  </si>
  <si>
    <t>M0803B9</t>
  </si>
  <si>
    <t>SYCSH001250527001</t>
  </si>
  <si>
    <t>PS25052803</t>
  </si>
  <si>
    <t>PO# DRAFT 8-11-A/0734/PO-SAI/V/2025</t>
  </si>
  <si>
    <t>GB4801LW/PB4809Q9/IB4802XW</t>
  </si>
  <si>
    <t>MYCSD046250528001</t>
  </si>
  <si>
    <t xml:space="preserve">MOONBEAM (026-79-03) COLORO       </t>
  </si>
  <si>
    <t>MYCSD046250528002</t>
  </si>
  <si>
    <t>MYCSD046250528003</t>
  </si>
  <si>
    <t>PSC25052801</t>
  </si>
  <si>
    <t>N2025041025NB-FOC</t>
  </si>
  <si>
    <t>BYCMP033250528001</t>
  </si>
  <si>
    <t>PSC25052802</t>
  </si>
  <si>
    <t>BYCPW030250528001</t>
  </si>
  <si>
    <t>PSC25052803</t>
  </si>
  <si>
    <t>PWA-PRD-UO-250502-0060/CLAIM</t>
  </si>
  <si>
    <t xml:space="preserve">SILVER BIRCH (13-4403 TCX)      </t>
  </si>
  <si>
    <t>BYCPW030250528002</t>
  </si>
  <si>
    <t>PSC25052804</t>
  </si>
  <si>
    <t>JBO2505280040 (FOC)</t>
  </si>
  <si>
    <t xml:space="preserve">DRIFT-WOOD (022-60-08)      </t>
  </si>
  <si>
    <t>U530CRA</t>
  </si>
  <si>
    <t>BYCLR028250528001</t>
  </si>
  <si>
    <t>PSC25052805</t>
  </si>
  <si>
    <t>JBO2505280039 (FOC)</t>
  </si>
  <si>
    <t>PZ530UK</t>
  </si>
  <si>
    <t>BYCLR028250528002</t>
  </si>
  <si>
    <t>PS25053001</t>
  </si>
  <si>
    <t>PWA-PRD-RO-250527-0030</t>
  </si>
  <si>
    <t>6/13</t>
  </si>
  <si>
    <t>PH327FE-M</t>
  </si>
  <si>
    <t>MYCPW030250530001</t>
  </si>
  <si>
    <t>PS25053004</t>
  </si>
  <si>
    <t>IBO2505280015</t>
  </si>
  <si>
    <t>MYCLR028250530016</t>
  </si>
  <si>
    <t>PS25053017</t>
  </si>
  <si>
    <t>IBO2505280016</t>
  </si>
  <si>
    <t>MYCLR028250530017</t>
  </si>
  <si>
    <t>PS25053005</t>
  </si>
  <si>
    <t>JBO2505300006</t>
  </si>
  <si>
    <t>MYCLR028250530003</t>
  </si>
  <si>
    <t>PS25053006</t>
  </si>
  <si>
    <t>JBO2505300007</t>
  </si>
  <si>
    <t>MYCLR028250530004</t>
  </si>
  <si>
    <t>PS25053007</t>
  </si>
  <si>
    <t>JBO2505300008</t>
  </si>
  <si>
    <t>MYCLR028250530005</t>
  </si>
  <si>
    <t>PS25053008</t>
  </si>
  <si>
    <t>JBO2505300015</t>
  </si>
  <si>
    <t>IZ530</t>
  </si>
  <si>
    <t>MYCLR028250530006</t>
  </si>
  <si>
    <t>PS25053009</t>
  </si>
  <si>
    <t>JBO2505300018</t>
  </si>
  <si>
    <t>MYCLR028250530007</t>
  </si>
  <si>
    <t>PS25053010</t>
  </si>
  <si>
    <t>JBO2505300019</t>
  </si>
  <si>
    <t>MYCLR028250530008</t>
  </si>
  <si>
    <t>PS25053011</t>
  </si>
  <si>
    <t>JBO2505300020</t>
  </si>
  <si>
    <t>MYCLR028250530009</t>
  </si>
  <si>
    <t>PS25053012</t>
  </si>
  <si>
    <t>JBO2505300023</t>
  </si>
  <si>
    <t>MYCLR028250530010</t>
  </si>
  <si>
    <t>PS25053013</t>
  </si>
  <si>
    <t>JBO2505300024</t>
  </si>
  <si>
    <t>MYCLR028250530011</t>
  </si>
  <si>
    <t>PS25053014</t>
  </si>
  <si>
    <t>JBO2505300025</t>
  </si>
  <si>
    <t>MYCLR028250530012</t>
  </si>
  <si>
    <t>PS25053015</t>
  </si>
  <si>
    <t>JBO2505300026</t>
  </si>
  <si>
    <t>MYCLR028250530013</t>
  </si>
  <si>
    <t>PS25053016</t>
  </si>
  <si>
    <t>JBO2505300027</t>
  </si>
  <si>
    <t>MYCLR028250530014</t>
  </si>
  <si>
    <t>PS25053002</t>
  </si>
  <si>
    <t>U2025054080NB</t>
  </si>
  <si>
    <t>ML515AGR-2E</t>
  </si>
  <si>
    <t>MYCMP034250530001</t>
  </si>
  <si>
    <t>MYCMP034250530002</t>
  </si>
  <si>
    <t>MYCMP034250530003</t>
  </si>
  <si>
    <t>PS25053003</t>
  </si>
  <si>
    <t>U2025053986NB-DFLT</t>
  </si>
  <si>
    <t>MYCMP034250530004</t>
  </si>
  <si>
    <t>PSC25053001</t>
  </si>
  <si>
    <t>JBO2505300012 (FOC)</t>
  </si>
  <si>
    <t>6/11</t>
  </si>
  <si>
    <t>BYCLR028250530001</t>
  </si>
  <si>
    <t>PSC25053002</t>
  </si>
  <si>
    <t>JBO2505300011 (FOC)</t>
  </si>
  <si>
    <t>6/10</t>
  </si>
  <si>
    <t>BYCLR028250530002</t>
  </si>
  <si>
    <t>7/10</t>
  </si>
  <si>
    <t>hold pengganti claim</t>
  </si>
  <si>
    <t>PS25060201</t>
  </si>
  <si>
    <t>N2025052951NB</t>
  </si>
  <si>
    <t>U9060CCB-D</t>
  </si>
  <si>
    <t>MYCMP033250602001</t>
  </si>
  <si>
    <t>PS25060206</t>
  </si>
  <si>
    <t>U2025054159NB</t>
  </si>
  <si>
    <t>ML515AGR-D</t>
  </si>
  <si>
    <t>MYCMP034250602001</t>
  </si>
  <si>
    <t>MYCMP034250602002</t>
  </si>
  <si>
    <t>WL515BLK-B</t>
  </si>
  <si>
    <t>MYCMP034250602003</t>
  </si>
  <si>
    <t>PS25060207</t>
  </si>
  <si>
    <t>U2025054136NB-DFLT</t>
  </si>
  <si>
    <t>U574OF2-D</t>
  </si>
  <si>
    <t>MYCMP034250602004</t>
  </si>
  <si>
    <t>PS25060301</t>
  </si>
  <si>
    <t>PWA-PRD--RO-250531-0004</t>
  </si>
  <si>
    <t>U471V1</t>
  </si>
  <si>
    <t>U471KAA-D</t>
  </si>
  <si>
    <t>MYCPW030250603001</t>
  </si>
  <si>
    <t>PS25060302</t>
  </si>
  <si>
    <t>PWA-PRD-UO-250531-0098</t>
  </si>
  <si>
    <t xml:space="preserve">U327V1	</t>
  </si>
  <si>
    <t xml:space="preserve">U327346-D	</t>
  </si>
  <si>
    <t>MYCPW030250603002</t>
  </si>
  <si>
    <t>PS25060303</t>
  </si>
  <si>
    <t>PWI2-PRD-UO-250602-0139</t>
  </si>
  <si>
    <t xml:space="preserve">ML574V3	</t>
  </si>
  <si>
    <t>ML574EVW-2E</t>
  </si>
  <si>
    <t>MYCPW010250603001</t>
  </si>
  <si>
    <t>PS25060304</t>
  </si>
  <si>
    <t>PWI2-PRD-UO-250602-0138</t>
  </si>
  <si>
    <t xml:space="preserve">MS327V1	</t>
  </si>
  <si>
    <t>MS327CBW-D</t>
  </si>
  <si>
    <t>MYCPW010250603002</t>
  </si>
  <si>
    <t>PS25060305</t>
  </si>
  <si>
    <t>PWA-PRD-UO-250531-0103</t>
  </si>
  <si>
    <t xml:space="preserve">WS327GD-B	</t>
  </si>
  <si>
    <t>MYCPW030250603003</t>
  </si>
  <si>
    <t>PS25060306</t>
  </si>
  <si>
    <t>N2025052984NB</t>
  </si>
  <si>
    <t>WL515WHT-B</t>
  </si>
  <si>
    <t>MYCMP033250603001</t>
  </si>
  <si>
    <t>PS25060307</t>
  </si>
  <si>
    <t>N2025052985NB</t>
  </si>
  <si>
    <t>MYCMP033250603002</t>
  </si>
  <si>
    <t>PS25060308</t>
  </si>
  <si>
    <t>N2025055112NB-DFLT</t>
  </si>
  <si>
    <t>L574XD2-B</t>
  </si>
  <si>
    <t>MYCMP033250603003</t>
  </si>
  <si>
    <t>PS25060309</t>
  </si>
  <si>
    <t>N2025055113NB-DFLT</t>
  </si>
  <si>
    <t>NM306NMA</t>
  </si>
  <si>
    <t>MYCMP033250603004</t>
  </si>
  <si>
    <t xml:space="preserve">BLACK CEMENT (008-24-00)   </t>
  </si>
  <si>
    <t>NM306TRZ</t>
  </si>
  <si>
    <t>MYCMP033250603005</t>
  </si>
  <si>
    <t>PS25060310</t>
  </si>
  <si>
    <t>N2025055114NB</t>
  </si>
  <si>
    <t>MYCMP033250603006</t>
  </si>
  <si>
    <t>PS25060311</t>
  </si>
  <si>
    <t>N2025055116N</t>
  </si>
  <si>
    <t>U57452Z</t>
  </si>
  <si>
    <t>MYCMP033250603007</t>
  </si>
  <si>
    <t>PS25060314</t>
  </si>
  <si>
    <t>N2025065124NB</t>
  </si>
  <si>
    <t>MYCMP033250603008</t>
  </si>
  <si>
    <t>PS25060315</t>
  </si>
  <si>
    <t>PWA-PRD-RO-250603-0001</t>
  </si>
  <si>
    <t xml:space="preserve">WS327V1			</t>
  </si>
  <si>
    <t>WS327AL-B</t>
  </si>
  <si>
    <t>MYCPW030250603004</t>
  </si>
  <si>
    <t>S25060301</t>
  </si>
  <si>
    <t>PW256009MJ - DEV NB</t>
  </si>
  <si>
    <t>WS237PJ</t>
  </si>
  <si>
    <t>SYCSH001250603001</t>
  </si>
  <si>
    <t>PS25060401</t>
  </si>
  <si>
    <t>PWA-PRD-UO-250603-0028</t>
  </si>
  <si>
    <t>6/18</t>
  </si>
  <si>
    <t>MYCPW030250604001</t>
  </si>
  <si>
    <t>PS25060402</t>
  </si>
  <si>
    <t>N2025069110NB</t>
  </si>
  <si>
    <t xml:space="preserve">NEW PHANTOM (134-25-00)   </t>
  </si>
  <si>
    <t>WL574XE2-B</t>
  </si>
  <si>
    <t>MYCMP033250604001</t>
  </si>
  <si>
    <t>PS25060411</t>
  </si>
  <si>
    <t>IDNB09837</t>
  </si>
  <si>
    <t>MYCDI024250604001</t>
  </si>
  <si>
    <t>PS25060404</t>
  </si>
  <si>
    <t>JBO2505300022</t>
  </si>
  <si>
    <t>MYCLR028250604001</t>
  </si>
  <si>
    <t>PS25060405</t>
  </si>
  <si>
    <t>P530V1_KL</t>
  </si>
  <si>
    <t>MYCLR028250604002</t>
  </si>
  <si>
    <t>PS25060406</t>
  </si>
  <si>
    <t>I5302OW(FIN)</t>
  </si>
  <si>
    <t>MYCLR028250604003</t>
  </si>
  <si>
    <t>PS25060407</t>
  </si>
  <si>
    <t>G5306J4(FIN)</t>
  </si>
  <si>
    <t>MYCLR028250604004</t>
  </si>
  <si>
    <t>PS25060408</t>
  </si>
  <si>
    <t>I530783(FIN)</t>
  </si>
  <si>
    <t>PS25060409</t>
  </si>
  <si>
    <t>MYCLR028250604006</t>
  </si>
  <si>
    <t>PS25060410</t>
  </si>
  <si>
    <t xml:space="preserve">TIMBERWOLF (032-76-04) COLORO   </t>
  </si>
  <si>
    <t>P5305C7(FIN)</t>
  </si>
  <si>
    <t>MYCLR028250604007</t>
  </si>
  <si>
    <t>PSC25060401</t>
  </si>
  <si>
    <t>N2025041025NB-FOC1</t>
  </si>
  <si>
    <t>BYCMP033250604001</t>
  </si>
  <si>
    <t>PSC25060402</t>
  </si>
  <si>
    <t>BYCMP033250604002</t>
  </si>
  <si>
    <t>PSC25060403</t>
  </si>
  <si>
    <t>N2025037929NB-FOC1</t>
  </si>
  <si>
    <t>BYCMP033250604003</t>
  </si>
  <si>
    <t>PSC25060404</t>
  </si>
  <si>
    <t>N2025037929NB-FOC</t>
  </si>
  <si>
    <t>BYCMP033250604004</t>
  </si>
  <si>
    <t>S25060401</t>
  </si>
  <si>
    <t>PW25600EMJ - NB</t>
  </si>
  <si>
    <t>W2374NB</t>
  </si>
  <si>
    <t>SYCSH001250604001</t>
  </si>
  <si>
    <t>W2374PJ</t>
  </si>
  <si>
    <t>SYCSH001250604002</t>
  </si>
  <si>
    <t>cek 6/4</t>
  </si>
  <si>
    <t xml:space="preserve">PO JUNI </t>
  </si>
  <si>
    <t>PW25600ENJ- NB</t>
  </si>
  <si>
    <t>IBO2506050011</t>
  </si>
  <si>
    <t>IBO2506050008</t>
  </si>
  <si>
    <t>IBO2506050007</t>
  </si>
  <si>
    <t>IBO2506050010</t>
  </si>
  <si>
    <t>IBO2506050012</t>
  </si>
  <si>
    <t>IBO2506050009</t>
  </si>
  <si>
    <t xml:space="preserve">TIMBERWOLF (032-76-04) COLORO      </t>
  </si>
  <si>
    <t>MYCLR028250605001</t>
  </si>
  <si>
    <t>PS25060506</t>
  </si>
  <si>
    <t>N2025069166NB</t>
  </si>
  <si>
    <t>MYCMP033250605001</t>
  </si>
  <si>
    <t>MYCMP033250605002</t>
  </si>
  <si>
    <t>MYCMP033250605003</t>
  </si>
  <si>
    <t>PS25060504</t>
  </si>
  <si>
    <t>PWI2-PRD-UO-250603-0002</t>
  </si>
  <si>
    <t xml:space="preserve">LINEN (034-84-05) COLORO      </t>
  </si>
  <si>
    <t>WL574RBL-B</t>
  </si>
  <si>
    <t>MYCPW010250605001</t>
  </si>
  <si>
    <t>PS25060505</t>
  </si>
  <si>
    <t>PWI2-PRD-UO-250603-0017</t>
  </si>
  <si>
    <t xml:space="preserve">MOONBEAM (026-79-03) COLORO         </t>
  </si>
  <si>
    <t>MYCPW010250605002</t>
  </si>
  <si>
    <t>PS25060902</t>
  </si>
  <si>
    <t>N2025069186NB-DFLT</t>
  </si>
  <si>
    <t xml:space="preserve">CASTLEROCK (149-40-00)        </t>
  </si>
  <si>
    <t>NM933MLT</t>
  </si>
  <si>
    <t>MYCMP033250609001</t>
  </si>
  <si>
    <t>PS25061002</t>
  </si>
  <si>
    <t>PWA-PRB-UO-250610-0001</t>
  </si>
  <si>
    <t>U3274FO-D</t>
  </si>
  <si>
    <t>MYCPW030250610001</t>
  </si>
  <si>
    <t>N2025041025NB-FOC2</t>
  </si>
  <si>
    <t>PS25061101</t>
  </si>
  <si>
    <t>PO# F183~F219-8-14-A/0210/PO-SAI/VI/2025</t>
  </si>
  <si>
    <t>MYCSD046250611001</t>
  </si>
  <si>
    <t>MYCSD046250611002</t>
  </si>
  <si>
    <t>10 MB020023630</t>
  </si>
  <si>
    <t>PS25061202</t>
  </si>
  <si>
    <t>N2025069267NB</t>
  </si>
  <si>
    <t>MYCMP033250612001</t>
  </si>
  <si>
    <t>MYCMP033250612002</t>
  </si>
  <si>
    <t>PS25061203</t>
  </si>
  <si>
    <t>PWA-PRD-UO-250610-0080</t>
  </si>
  <si>
    <t>U3227346-D</t>
  </si>
  <si>
    <t>MYCPW030250612001</t>
  </si>
  <si>
    <t>PS25061204</t>
  </si>
  <si>
    <t>PWA-MTF--RO-250610-0002</t>
  </si>
  <si>
    <t>U327346-D</t>
  </si>
  <si>
    <t>MYCPW030250612002</t>
  </si>
  <si>
    <t>MYCPW030250612003</t>
  </si>
  <si>
    <t>PS25061206</t>
  </si>
  <si>
    <t>PWA-PRD-UO-250611-0009</t>
  </si>
  <si>
    <t xml:space="preserve">WS327NKD-B	</t>
  </si>
  <si>
    <t>MYCPW030250612004</t>
  </si>
  <si>
    <t>PSC25061201</t>
  </si>
  <si>
    <t>JBO2506120022-FOC</t>
  </si>
  <si>
    <t xml:space="preserve">SEA SALT (036-90-02) COLORO           </t>
  </si>
  <si>
    <t>BYCLR028250612001</t>
  </si>
  <si>
    <t>PS25061301</t>
  </si>
  <si>
    <t>PWA-PRD--RO-250611-0022</t>
  </si>
  <si>
    <t xml:space="preserve">LINEN (034-84-05) COLORO   </t>
  </si>
  <si>
    <t>MYCPW030250613001</t>
  </si>
  <si>
    <t>MYCPW030250613002</t>
  </si>
  <si>
    <t>PS25061302</t>
  </si>
  <si>
    <t>PWA-PRD--RO-250611-0021</t>
  </si>
  <si>
    <t>U327LZ-D</t>
  </si>
  <si>
    <t>MYCPW030250613003</t>
  </si>
  <si>
    <t>PS25061603</t>
  </si>
  <si>
    <t>N2025069533NB</t>
  </si>
  <si>
    <t>NM600ORH</t>
  </si>
  <si>
    <t>140151050C</t>
  </si>
  <si>
    <t>MYCMP033250616001</t>
  </si>
  <si>
    <t>PS25061701</t>
  </si>
  <si>
    <t>N2025069600NB</t>
  </si>
  <si>
    <t>UN306WSR</t>
  </si>
  <si>
    <t>MYCMP033250617001</t>
  </si>
  <si>
    <t>PS25061702</t>
  </si>
  <si>
    <t>N2025069601NB</t>
  </si>
  <si>
    <t>UN272BRL</t>
  </si>
  <si>
    <t>MYCMP033250617002</t>
  </si>
  <si>
    <t>S25061701</t>
  </si>
  <si>
    <t>PW256035DJ - DEV NB</t>
  </si>
  <si>
    <t>M0808ZG</t>
  </si>
  <si>
    <t>SYCSH001250617001</t>
  </si>
  <si>
    <t>PS25061801</t>
  </si>
  <si>
    <t>PO#FORECAST 04/0522/PO-SAI/VI/2025</t>
  </si>
  <si>
    <t>MYCSD046250618001</t>
  </si>
  <si>
    <t>BYCLR028250619001</t>
  </si>
  <si>
    <t xml:space="preserve">RUN?60S?4.0	</t>
  </si>
  <si>
    <t>7/4</t>
  </si>
  <si>
    <t>PS25062004</t>
  </si>
  <si>
    <t>N2025064129NBD</t>
  </si>
  <si>
    <t xml:space="preserve">BLACK CEMENT (008-24-00)     </t>
  </si>
  <si>
    <t>MYCMP033250620002</t>
  </si>
  <si>
    <t>PS25062002</t>
  </si>
  <si>
    <t>N2025069663NB-DFLT</t>
  </si>
  <si>
    <t>7/11</t>
  </si>
  <si>
    <t>U57452Z-D</t>
  </si>
  <si>
    <t>101132304C</t>
  </si>
  <si>
    <t>MYCMP033250620001</t>
  </si>
  <si>
    <t>PS25062005</t>
  </si>
  <si>
    <t>PWI2-PRD-UO-250619-0037</t>
  </si>
  <si>
    <t xml:space="preserve">MTTTRSV1	</t>
  </si>
  <si>
    <t>MTTTRSLK-D</t>
  </si>
  <si>
    <t>MYCPW010250620001</t>
  </si>
  <si>
    <t>PS25062006</t>
  </si>
  <si>
    <t>PWI2-PRD-UO-250620-0008</t>
  </si>
  <si>
    <t>WS327OR-B</t>
  </si>
  <si>
    <t>MYCPW010250620002</t>
  </si>
  <si>
    <t>PS25062007</t>
  </si>
  <si>
    <t>4003535587</t>
  </si>
  <si>
    <t>MYCGS009250620001</t>
  </si>
  <si>
    <t>MYCGS009250620002</t>
  </si>
  <si>
    <t>MYCGS009250620003</t>
  </si>
  <si>
    <t>MYCGS009250620004</t>
  </si>
  <si>
    <t>MYCGS009250620005</t>
  </si>
  <si>
    <t>S25061902</t>
  </si>
  <si>
    <t>PW256049EJ-DEV NB</t>
  </si>
  <si>
    <t>6/19</t>
  </si>
  <si>
    <t>G0805RO</t>
  </si>
  <si>
    <t>SYCSH001250619001</t>
  </si>
  <si>
    <t>PS25062302</t>
  </si>
  <si>
    <t>PWA-PRD-UO-250619-0067</t>
  </si>
  <si>
    <t>MYCPW030250623001</t>
  </si>
  <si>
    <t>PSC25062303</t>
  </si>
  <si>
    <t>U2025031870NB-FOC1</t>
  </si>
  <si>
    <t>BYCMP034250623001</t>
  </si>
  <si>
    <t>PSC25062304</t>
  </si>
  <si>
    <t>U2025052830NB-FOC</t>
  </si>
  <si>
    <t>BYCMP034250623002</t>
  </si>
  <si>
    <t>COLOR WINDOW LAMA</t>
  </si>
  <si>
    <t>2 roll 11 pcs</t>
  </si>
  <si>
    <t>1 roll 7 pcs</t>
  </si>
  <si>
    <t>MYCGS009250624001</t>
  </si>
  <si>
    <t>PS25062403</t>
  </si>
  <si>
    <t>PO# 1852~1845-8-18-A/0522/PO-SAI/VI/2025</t>
  </si>
  <si>
    <t xml:space="preserve">TIMBERWOLF (032-76-04) COLORO        </t>
  </si>
  <si>
    <t>U480L5K1</t>
  </si>
  <si>
    <t>MYCSD046250624001</t>
  </si>
  <si>
    <t>S25062402</t>
  </si>
  <si>
    <t>N2025064270NBD</t>
  </si>
  <si>
    <t>108032340C URGENT</t>
  </si>
  <si>
    <t>SYCMP033250624001</t>
  </si>
  <si>
    <t xml:space="preserve">BLACK CEMENT (008-24-00)       </t>
  </si>
  <si>
    <t>SYCMP033250624002</t>
  </si>
  <si>
    <t>7/7</t>
  </si>
  <si>
    <t>PS25062503</t>
  </si>
  <si>
    <t>PWI2-PRD-RO-250625-0007</t>
  </si>
  <si>
    <t xml:space="preserve">LINEN (034-84-05) COLORO        </t>
  </si>
  <si>
    <t xml:space="preserve">CM997HV1	</t>
  </si>
  <si>
    <t>CM997HNL-D</t>
  </si>
  <si>
    <t>MYCPA009250625001</t>
  </si>
  <si>
    <t>PSC25062501</t>
  </si>
  <si>
    <t>U2025031870NB-FOC2</t>
  </si>
  <si>
    <t xml:space="preserve">BLACK (145-17-00)            </t>
  </si>
  <si>
    <t>BYCMP034250625001</t>
  </si>
  <si>
    <t>PSC25062502</t>
  </si>
  <si>
    <t>N2025012342NB-FOC</t>
  </si>
  <si>
    <t>BYCMP033250625001</t>
  </si>
  <si>
    <t>PSC25062503</t>
  </si>
  <si>
    <t>N2025041025NB-FOC6</t>
  </si>
  <si>
    <t>BYCMP033250625002</t>
  </si>
  <si>
    <t>PSC25062504</t>
  </si>
  <si>
    <t>N2025041025NB-FOC7</t>
  </si>
  <si>
    <t>BYCMP033250625003</t>
  </si>
  <si>
    <t>S25062501</t>
  </si>
  <si>
    <t>N2025064320NBD</t>
  </si>
  <si>
    <t>SYCMP033250625001</t>
  </si>
  <si>
    <t>7/17</t>
  </si>
  <si>
    <t>PS25062601</t>
  </si>
  <si>
    <t>N2025060086NB</t>
  </si>
  <si>
    <t>UN101CR</t>
  </si>
  <si>
    <t>MYCMP033250626001</t>
  </si>
  <si>
    <t>PS25062602</t>
  </si>
  <si>
    <t>N2025060087NB</t>
  </si>
  <si>
    <t>7/16</t>
  </si>
  <si>
    <t>UN440BVU</t>
  </si>
  <si>
    <t>MYCMP033250626002</t>
  </si>
  <si>
    <t>WL515HWH-B</t>
  </si>
  <si>
    <t>MYCMP033250626003</t>
  </si>
  <si>
    <t>PS25062603</t>
  </si>
  <si>
    <t>N2025060036NB</t>
  </si>
  <si>
    <t>UN600TTR</t>
  </si>
  <si>
    <t>140192002C</t>
  </si>
  <si>
    <t>MYCMP033250626004</t>
  </si>
  <si>
    <t>PS25062604</t>
  </si>
  <si>
    <t>N2025060084NB</t>
  </si>
  <si>
    <t>UN440NRU</t>
  </si>
  <si>
    <t>101132310C</t>
  </si>
  <si>
    <t>MYCMP033250626005</t>
  </si>
  <si>
    <t>PS25062605</t>
  </si>
  <si>
    <t>N2025060085NB</t>
  </si>
  <si>
    <t>NM306TOS</t>
  </si>
  <si>
    <t>MYCMP033250626006</t>
  </si>
  <si>
    <t>PS25062606</t>
  </si>
  <si>
    <t>PO# 660~1664-8-20-A/0993/PO-SAI/VI/2025</t>
  </si>
  <si>
    <t>7/18</t>
  </si>
  <si>
    <t>MYCSD046250626001</t>
  </si>
  <si>
    <t>M373253</t>
  </si>
  <si>
    <t>MYCSD046250626002</t>
  </si>
  <si>
    <t>MYCSD046250626003</t>
  </si>
  <si>
    <t>PS25062901</t>
  </si>
  <si>
    <t>U2025065047NB-DFLT</t>
  </si>
  <si>
    <t>7/14</t>
  </si>
  <si>
    <t>ML515GRY-D</t>
  </si>
  <si>
    <t>MYCMP034250629001</t>
  </si>
  <si>
    <t>PS25063002</t>
  </si>
  <si>
    <t>PWA-PRD-UO-250628-0001</t>
  </si>
  <si>
    <t>7/21</t>
  </si>
  <si>
    <t>MYCPW030250630001</t>
  </si>
  <si>
    <t>PS25063003</t>
  </si>
  <si>
    <t>PWA-PRD-UO-250628-0081</t>
  </si>
  <si>
    <t>MYCPW030250630002</t>
  </si>
  <si>
    <t>PS25063004</t>
  </si>
  <si>
    <t>4003563154</t>
  </si>
  <si>
    <t xml:space="preserve">10 MB020012894_x000D_
</t>
  </si>
  <si>
    <t>MYCGS009250630001</t>
  </si>
  <si>
    <t>MYCGS009250630002</t>
  </si>
  <si>
    <t>PS25063005</t>
  </si>
  <si>
    <t>4003569577</t>
  </si>
  <si>
    <t>MYCGS009250630003</t>
  </si>
  <si>
    <t>MYCGS009250630004</t>
  </si>
  <si>
    <t>MYCGS009250630005</t>
  </si>
  <si>
    <t>MYCGS009250630006</t>
  </si>
  <si>
    <t>MYCGS009250630007</t>
  </si>
  <si>
    <t>PS25063006</t>
  </si>
  <si>
    <t>N2025060405NB</t>
  </si>
  <si>
    <t>MYCMP033250630001</t>
  </si>
  <si>
    <t>PS25063007</t>
  </si>
  <si>
    <t>N2025060404NB</t>
  </si>
  <si>
    <t>P574755-M</t>
  </si>
  <si>
    <t>MYCMP033250630002</t>
  </si>
  <si>
    <t>PS25063008</t>
  </si>
  <si>
    <t>N2025060403NB</t>
  </si>
  <si>
    <t>G5744LM-M</t>
  </si>
  <si>
    <t>MYCMP033250630003</t>
  </si>
  <si>
    <t>7/23</t>
  </si>
  <si>
    <t>PS25070101</t>
  </si>
  <si>
    <t>PWI2-PRD-UO-250625-0049</t>
  </si>
  <si>
    <t>7/22</t>
  </si>
  <si>
    <t xml:space="preserve">U204LV1	</t>
  </si>
  <si>
    <t>U204L5WZ-D</t>
  </si>
  <si>
    <t>MYCPW010250701001</t>
  </si>
  <si>
    <t>MTTTRSLK-2E</t>
  </si>
  <si>
    <t>MYCPW010250701002</t>
  </si>
  <si>
    <t>PS25070102</t>
  </si>
  <si>
    <t>PT SUKSES ABADI INDONESIA</t>
  </si>
  <si>
    <t>PO# 0725~77SS-9-9-A/1140/PO-SAI/VI/2025</t>
  </si>
  <si>
    <t>MYCSD047250701001</t>
  </si>
  <si>
    <t>PS25070103</t>
  </si>
  <si>
    <t>U2025065432NB</t>
  </si>
  <si>
    <t xml:space="preserve">MOONSTRUCK (14-4500TCX)  </t>
  </si>
  <si>
    <t>WL574EVB-B</t>
  </si>
  <si>
    <t>MYCMP034250701001</t>
  </si>
  <si>
    <t>U5745MX-D</t>
  </si>
  <si>
    <t>MYCMP034250701002</t>
  </si>
  <si>
    <t>PS25070104</t>
  </si>
  <si>
    <t>U2025065433NB</t>
  </si>
  <si>
    <t>ML574EVG-D</t>
  </si>
  <si>
    <t>MYCMP034250701003</t>
  </si>
  <si>
    <t xml:space="preserve">NB SHARK SKIN (NB1100823)  </t>
  </si>
  <si>
    <t>MYCMP034250701004</t>
  </si>
  <si>
    <t>PS25070105</t>
  </si>
  <si>
    <t>U2025065318NB</t>
  </si>
  <si>
    <t>MYCMP034250701005</t>
  </si>
  <si>
    <t>MYCMP034250701006</t>
  </si>
  <si>
    <t>ML515WHT-4E</t>
  </si>
  <si>
    <t>MYCMP034250701007</t>
  </si>
  <si>
    <t xml:space="preserve">BRILLIANT WHITE (11-4001TCX)  </t>
  </si>
  <si>
    <t>WL515WGW-B</t>
  </si>
  <si>
    <t>MYCMP034250701008</t>
  </si>
  <si>
    <t>PS25070107</t>
  </si>
  <si>
    <t>PWA-MTF--RO-250626-0002</t>
  </si>
  <si>
    <t>MYCPW030250701001</t>
  </si>
  <si>
    <t>PS25070108</t>
  </si>
  <si>
    <t>PWA-PRD-UO-250701-0001</t>
  </si>
  <si>
    <t>MYCPW030250701002</t>
  </si>
  <si>
    <t>PS25070201</t>
  </si>
  <si>
    <t>PWA-PRD-UO-250701-0002</t>
  </si>
  <si>
    <t xml:space="preserve">MOONBEAM (026-79-03) COLORO      </t>
  </si>
  <si>
    <t>MYCPW030250702001</t>
  </si>
  <si>
    <t>PS25070202</t>
  </si>
  <si>
    <t>PWA-PRD-UO-250628-0039</t>
  </si>
  <si>
    <t>MYCPW030250702002</t>
  </si>
  <si>
    <t>PS25070203</t>
  </si>
  <si>
    <t>PWI3-PRD-UO-250628-0171</t>
  </si>
  <si>
    <t>MYCPW010250702001</t>
  </si>
  <si>
    <t>MYCPW010250702002</t>
  </si>
  <si>
    <t>PS25070204</t>
  </si>
  <si>
    <t>N02092-142</t>
  </si>
  <si>
    <t>MYCDI024250702001</t>
  </si>
  <si>
    <t>PS25070205</t>
  </si>
  <si>
    <t>N02127-29</t>
  </si>
  <si>
    <t>MYCDI024250702002</t>
  </si>
  <si>
    <t>PS25070206</t>
  </si>
  <si>
    <t>N02102-34</t>
  </si>
  <si>
    <t>MR530V1(D)(23S1-1)-CC</t>
  </si>
  <si>
    <t>MYCDI024250702003</t>
  </si>
  <si>
    <t>PS25070207</t>
  </si>
  <si>
    <t>U2025075505NB</t>
  </si>
  <si>
    <t>U574805</t>
  </si>
  <si>
    <t>MYCMP034250702001</t>
  </si>
  <si>
    <t>U5746VZ</t>
  </si>
  <si>
    <t>135010132C</t>
  </si>
  <si>
    <t>MYCMP034250702002</t>
  </si>
  <si>
    <t>PS25070208</t>
  </si>
  <si>
    <t>U2025075504NB</t>
  </si>
  <si>
    <t>MYCMP034250702003</t>
  </si>
  <si>
    <t>"WS327V1	"</t>
  </si>
  <si>
    <t>"WS327GD-B	"</t>
  </si>
  <si>
    <t>MYCPW030250703001</t>
  </si>
  <si>
    <t>PS25070302</t>
  </si>
  <si>
    <t>A20250605-113</t>
  </si>
  <si>
    <t>MYCHI024250703001</t>
  </si>
  <si>
    <t>PS25070303</t>
  </si>
  <si>
    <t>N00056-169</t>
  </si>
  <si>
    <t>8/4</t>
  </si>
  <si>
    <t>MYCHI024250703002</t>
  </si>
  <si>
    <t>PS25070304</t>
  </si>
  <si>
    <t>N00059-167</t>
  </si>
  <si>
    <t>7/24</t>
  </si>
  <si>
    <t>MYCHI024250703003</t>
  </si>
  <si>
    <t>PS25070305</t>
  </si>
  <si>
    <t>PO# 6398~F173-8-19-A/0334/PO-SAI/VI/2025</t>
  </si>
  <si>
    <t>MYCSD047250703001</t>
  </si>
  <si>
    <t xml:space="preserve">SLATE GREY (000-55-00)     </t>
  </si>
  <si>
    <t>U480P736</t>
  </si>
  <si>
    <t>MYCSD047250703002</t>
  </si>
  <si>
    <t>PS25070306</t>
  </si>
  <si>
    <t>IBO2507020364</t>
  </si>
  <si>
    <t>MYCLR028250703001</t>
  </si>
  <si>
    <t>PS25070307</t>
  </si>
  <si>
    <t>JBO2507020112</t>
  </si>
  <si>
    <t>ML373                  2</t>
  </si>
  <si>
    <t>MYCLR028250703002</t>
  </si>
  <si>
    <t>PS25070308</t>
  </si>
  <si>
    <t>JBO2507030001</t>
  </si>
  <si>
    <t>MYCLR028250703003</t>
  </si>
  <si>
    <t>PS25070309</t>
  </si>
  <si>
    <t>JBO2507030003</t>
  </si>
  <si>
    <t>MYCLR028250703004</t>
  </si>
  <si>
    <t>PS25070310</t>
  </si>
  <si>
    <t>JBO2506120067</t>
  </si>
  <si>
    <t>MYCLR028250703005</t>
  </si>
  <si>
    <t>PS25063001</t>
  </si>
  <si>
    <t xml:space="preserve">LINEN (034-84-05) COLORO          </t>
  </si>
  <si>
    <t>"CM997HV1</t>
  </si>
  <si>
    <t>MYCPW010250630001</t>
  </si>
  <si>
    <t>108032341C stok</t>
  </si>
  <si>
    <t>135010168C stock</t>
  </si>
  <si>
    <t>PS25070702</t>
  </si>
  <si>
    <t>N2025070993NB</t>
  </si>
  <si>
    <t>MYCMP033250707001</t>
  </si>
  <si>
    <t>PSC25070801</t>
  </si>
  <si>
    <t>N2025041025NB-FOC5</t>
  </si>
  <si>
    <t xml:space="preserve">BLACK CEMENT (008-24-00)         </t>
  </si>
  <si>
    <t>BYCMP033250708001</t>
  </si>
  <si>
    <t>PSC25070802</t>
  </si>
  <si>
    <t>N2025041025NB-FOC4</t>
  </si>
  <si>
    <t>BYCMP033250708002</t>
  </si>
  <si>
    <t>PSC25070803</t>
  </si>
  <si>
    <t>N2025051245NB-FOC1</t>
  </si>
  <si>
    <t>BYCMP033250708003</t>
  </si>
  <si>
    <t>PSC25070804</t>
  </si>
  <si>
    <t>N2025025529NB-FOC3</t>
  </si>
  <si>
    <t xml:space="preserve">SLATE GREY (000-55-00)          </t>
  </si>
  <si>
    <t>BYCMP033250708004</t>
  </si>
  <si>
    <t>PSC25070805</t>
  </si>
  <si>
    <t>N2025051245NB-FOC</t>
  </si>
  <si>
    <t>BYCMP033250708005</t>
  </si>
  <si>
    <t>PSC25070806</t>
  </si>
  <si>
    <t>N2025041025NB-FOC3</t>
  </si>
  <si>
    <t>BYCMP033250708006</t>
  </si>
  <si>
    <t>PSC25070807</t>
  </si>
  <si>
    <t>N2025024240NB-FOC</t>
  </si>
  <si>
    <t>BYCMP033250708007</t>
  </si>
  <si>
    <t>7/30</t>
  </si>
  <si>
    <t>PSC25070901</t>
  </si>
  <si>
    <t>THI0619/THI0625/THI0701/CLAIM</t>
  </si>
  <si>
    <t>BYCHI024250709001</t>
  </si>
  <si>
    <t>PSC25070902</t>
  </si>
  <si>
    <t>U2025054080NB-FOC</t>
  </si>
  <si>
    <t>BYCMP034250709001</t>
  </si>
  <si>
    <t>PSC25070903</t>
  </si>
  <si>
    <t>U2025053986NB-FOC</t>
  </si>
  <si>
    <t>BYCMP034250709002</t>
  </si>
  <si>
    <t>PSC25070904</t>
  </si>
  <si>
    <t>U2025054159NB-FOC1</t>
  </si>
  <si>
    <t>BYCMP034250709003</t>
  </si>
  <si>
    <t>PSC25070905</t>
  </si>
  <si>
    <t>U2025054159NB-FOC</t>
  </si>
  <si>
    <t>BYCMP034250709004</t>
  </si>
  <si>
    <t>Split Suede SALIVA TEST</t>
  </si>
  <si>
    <t>PS25071101</t>
  </si>
  <si>
    <t>PO# 5471~0958-9-11-A/0277/PO-SAI/VII/2025</t>
  </si>
  <si>
    <t xml:space="preserve">REFLECTION (043-89-00)          </t>
  </si>
  <si>
    <t>8/1</t>
  </si>
  <si>
    <t>M3739VC</t>
  </si>
  <si>
    <t>MYCSD047250711001</t>
  </si>
  <si>
    <t>M3735I3</t>
  </si>
  <si>
    <t>MYCSD047250711002</t>
  </si>
  <si>
    <t>PS25071102</t>
  </si>
  <si>
    <t>PWI2-PRD-RO-250711-0002</t>
  </si>
  <si>
    <t xml:space="preserve">U327V1				</t>
  </si>
  <si>
    <t>MYCPW010250711001</t>
  </si>
  <si>
    <t>PS25071106</t>
  </si>
  <si>
    <t>JBO2507080074</t>
  </si>
  <si>
    <t xml:space="preserve">ANGORA (039-90-05) COLORO     </t>
  </si>
  <si>
    <t>MYCLR028250711001</t>
  </si>
  <si>
    <t>PS25071107</t>
  </si>
  <si>
    <t>JBO2507080075</t>
  </si>
  <si>
    <t>MYCLR028250711002</t>
  </si>
  <si>
    <t>PS25071108</t>
  </si>
  <si>
    <t>JBO2507090044</t>
  </si>
  <si>
    <t>MYCLR028250711003</t>
  </si>
  <si>
    <t>PS25071109</t>
  </si>
  <si>
    <t>JBO2507100076</t>
  </si>
  <si>
    <t>MYCLR028250711004</t>
  </si>
  <si>
    <t>PS25071110</t>
  </si>
  <si>
    <t>JBO2507100077</t>
  </si>
  <si>
    <t>MYCLR028250711005</t>
  </si>
  <si>
    <t>CEKING 7/15, SPRAY 9 PCS REJECT COLOR</t>
  </si>
  <si>
    <t>COLOR WINDOW BARU TERIMA 6/24- COLOR REJECT SPRAY</t>
  </si>
  <si>
    <t>REJECT COLOR BELANG 151PCS, 54 PCS HIJAU</t>
  </si>
  <si>
    <t>QYCPA010250714001</t>
  </si>
  <si>
    <t>QYCPA010250714002</t>
  </si>
  <si>
    <t>PS25071501</t>
  </si>
  <si>
    <t>N2025071220NB-DFLT</t>
  </si>
  <si>
    <t>MYCMP033250715001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</si>
  <si>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</si>
  <si>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</si>
  <si>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</si>
  <si>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</si>
  <si>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</si>
  <si>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</si>
  <si>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</si>
  <si>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</si>
  <si>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</si>
  <si>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STATUS MATERIAL</t>
  </si>
  <si>
    <t>PSC25071602</t>
  </si>
  <si>
    <t>CLAIM/004/SAI-THIN-S/2025</t>
  </si>
  <si>
    <t>BYCSD047250716001</t>
  </si>
  <si>
    <t>BYCSD047250716002</t>
  </si>
  <si>
    <t>BYCSD047250716003</t>
  </si>
  <si>
    <t>BYCSD047250716004</t>
  </si>
  <si>
    <t>BYCSD047250716005</t>
  </si>
  <si>
    <t>S25071601</t>
  </si>
  <si>
    <t>SAIDEV-25-0001299/0214/PO-SAI/VII/2025</t>
  </si>
  <si>
    <t>U480L6UF</t>
  </si>
  <si>
    <t>SYCSD047250716001</t>
  </si>
  <si>
    <t>17th</t>
  </si>
  <si>
    <t>GLOSTAR PYS</t>
  </si>
  <si>
    <t>18th</t>
  </si>
  <si>
    <t>19th</t>
  </si>
  <si>
    <t>8/8</t>
  </si>
  <si>
    <t>PS25072102</t>
  </si>
  <si>
    <t>PS25072105</t>
  </si>
  <si>
    <t>U2025076030NB</t>
  </si>
  <si>
    <t>PWA-PRD-RO-250718-0019</t>
  </si>
  <si>
    <t>ML515WHT-D</t>
  </si>
  <si>
    <t>W5327NKD-B</t>
  </si>
  <si>
    <t>8/11</t>
  </si>
  <si>
    <t>MYCMP034250721001</t>
  </si>
  <si>
    <t>MYCPW030250721001</t>
  </si>
  <si>
    <t>PSC25072101</t>
  </si>
  <si>
    <t>PSC25072102</t>
  </si>
  <si>
    <t>BYCMP033250721001</t>
  </si>
  <si>
    <t>BYCMP033250721002</t>
  </si>
  <si>
    <t>NO STOCK</t>
  </si>
  <si>
    <t>20th</t>
  </si>
  <si>
    <t>PS25072204</t>
  </si>
  <si>
    <t>N2025071517NB</t>
  </si>
  <si>
    <t>PS25072205</t>
  </si>
  <si>
    <t>N2025071519NB</t>
  </si>
  <si>
    <t xml:space="preserve">MOONSTRUCK (14-4500TCX)    </t>
  </si>
  <si>
    <t>9/29</t>
  </si>
  <si>
    <t>8/13</t>
  </si>
  <si>
    <t>8/21</t>
  </si>
  <si>
    <t>8/26</t>
  </si>
  <si>
    <t>9/24</t>
  </si>
  <si>
    <t>12/16</t>
  </si>
  <si>
    <t>9/12</t>
  </si>
  <si>
    <t>MYCMP033250722001</t>
  </si>
  <si>
    <t>MYCMP033250722002</t>
  </si>
  <si>
    <t>130064046C</t>
  </si>
  <si>
    <t>PSC25072204</t>
  </si>
  <si>
    <t>PWA-PRD-UO-250531-0103/CLAIM</t>
  </si>
  <si>
    <t>PSC25072205</t>
  </si>
  <si>
    <t>PWA-MTF-RO-250610-0002/CLAIM</t>
  </si>
  <si>
    <t>PSC25072206</t>
  </si>
  <si>
    <t>PWA-PRB-UO-250610-0001/CLAIM</t>
  </si>
  <si>
    <t>PSC25072207</t>
  </si>
  <si>
    <t>PWA-PRD-UO-250531-0098/CLAIM</t>
  </si>
  <si>
    <t>PSC25072208</t>
  </si>
  <si>
    <t>PWA-PRD-UO-250610-0080/CLAIM</t>
  </si>
  <si>
    <t>PSC25072209</t>
  </si>
  <si>
    <t>PSC25072210</t>
  </si>
  <si>
    <t>PWA-PRD-UO-250603-0028/CLAIM</t>
  </si>
  <si>
    <t>PSC25072211</t>
  </si>
  <si>
    <t>PWA-PRD-UO-250628-0001/CLAIM</t>
  </si>
  <si>
    <t xml:space="preserve">MOONBEAM (026-79-03) COLORO        </t>
  </si>
  <si>
    <t>8/5</t>
  </si>
  <si>
    <t>BYCPW030250722001</t>
  </si>
  <si>
    <t>BYCPW030250722002</t>
  </si>
  <si>
    <t>BYCPW030250722003</t>
  </si>
  <si>
    <t>BYCPW030250722004</t>
  </si>
  <si>
    <t>BYCPW030250722005</t>
  </si>
  <si>
    <t>BYCPW030250722006</t>
  </si>
  <si>
    <t>BYCPW030250722007</t>
  </si>
  <si>
    <t>BYCPW030250722008</t>
  </si>
  <si>
    <t>21th</t>
  </si>
  <si>
    <t>HARUS KIRIM SENIN</t>
  </si>
  <si>
    <t>PS25072301</t>
  </si>
  <si>
    <t>PS25072302</t>
  </si>
  <si>
    <t>PS25072303</t>
  </si>
  <si>
    <t>PS25072304</t>
  </si>
  <si>
    <t>PS25072305</t>
  </si>
  <si>
    <t>PS25072306</t>
  </si>
  <si>
    <t>PS25072307</t>
  </si>
  <si>
    <t>PS25072308</t>
  </si>
  <si>
    <t>PS25072309</t>
  </si>
  <si>
    <t>PS25072402</t>
  </si>
  <si>
    <t>PS25072403</t>
  </si>
  <si>
    <t>PS25072404</t>
  </si>
  <si>
    <t>PS25072405</t>
  </si>
  <si>
    <t>PS25072401</t>
  </si>
  <si>
    <t>PS25072406</t>
  </si>
  <si>
    <t>PS25072407</t>
  </si>
  <si>
    <t>JBO2507220068</t>
  </si>
  <si>
    <t>JBO2507220069</t>
  </si>
  <si>
    <t>JBO2507160005</t>
  </si>
  <si>
    <t>JBO2507220050</t>
  </si>
  <si>
    <t>JBO2507220051</t>
  </si>
  <si>
    <t>JBO2507220071</t>
  </si>
  <si>
    <t>JBO2507220094</t>
  </si>
  <si>
    <t>JBO2507220095</t>
  </si>
  <si>
    <t>JBO2507220096</t>
  </si>
  <si>
    <t>JBO2507230113</t>
  </si>
  <si>
    <t>JBO2507230114</t>
  </si>
  <si>
    <t>JBO2507230116</t>
  </si>
  <si>
    <t>JBO2507230117</t>
  </si>
  <si>
    <t>PO# 9505~1553-9-14-A/0829/PO-SAI/VII/2025</t>
  </si>
  <si>
    <t>A20250714-163</t>
  </si>
  <si>
    <t>A20250714-164</t>
  </si>
  <si>
    <t>U530SUB</t>
  </si>
  <si>
    <t>U530SUA</t>
  </si>
  <si>
    <t>GR530UK</t>
  </si>
  <si>
    <t>PZ530UK(FIN); GR530UK(FIN)</t>
  </si>
  <si>
    <t>GR530UL(FIN);PZ530UL(FIN)</t>
  </si>
  <si>
    <t>7/29</t>
  </si>
  <si>
    <t>8/14</t>
  </si>
  <si>
    <t>MYCLR028250723001</t>
  </si>
  <si>
    <t>MYCLR028250723002</t>
  </si>
  <si>
    <t>MYCLR028250723003</t>
  </si>
  <si>
    <t>MYCLR028250723004</t>
  </si>
  <si>
    <t>MYCLR028250723005</t>
  </si>
  <si>
    <t>MYCLR028250723006</t>
  </si>
  <si>
    <t>MYCLR028250723007</t>
  </si>
  <si>
    <t>MYCLR028250723008</t>
  </si>
  <si>
    <t>MYCLR028250723009</t>
  </si>
  <si>
    <t>MYCLR028250723010</t>
  </si>
  <si>
    <t>MYCLR028250723011</t>
  </si>
  <si>
    <t>MYCLR028250724001</t>
  </si>
  <si>
    <t>MYCLR028250724002</t>
  </si>
  <si>
    <t>MYCLR028250724003</t>
  </si>
  <si>
    <t>MYCLR028250724004</t>
  </si>
  <si>
    <t>MYCSD046250724001</t>
  </si>
  <si>
    <t>MYCHI024250724001</t>
  </si>
  <si>
    <t>MYCHI024250724002</t>
  </si>
  <si>
    <t>PWI3-PRD-RO-250715-0007</t>
  </si>
  <si>
    <t>PS25072501</t>
  </si>
  <si>
    <t>PS25072503</t>
  </si>
  <si>
    <t>PS25072505</t>
  </si>
  <si>
    <t>PS25072506</t>
  </si>
  <si>
    <t>N2025060610NB</t>
  </si>
  <si>
    <t>N2025071770NB</t>
  </si>
  <si>
    <t>N2025071769NB</t>
  </si>
  <si>
    <t>P5746WH-W</t>
  </si>
  <si>
    <t>P574755-W</t>
  </si>
  <si>
    <t>8/15</t>
  </si>
  <si>
    <t>MYCMP033250725001</t>
  </si>
  <si>
    <t>MYCMP033250725002</t>
  </si>
  <si>
    <t>MYCMP033250725003</t>
  </si>
  <si>
    <t>MYCMP033250725004</t>
  </si>
  <si>
    <t>MYCSD047250725001</t>
  </si>
  <si>
    <t>MYCSD047250725002</t>
  </si>
  <si>
    <t>PO MISSING TGL 30 JUNI</t>
  </si>
  <si>
    <t>S25072503</t>
  </si>
  <si>
    <t>PW2570A22J</t>
  </si>
  <si>
    <t>SYCSH001250725001</t>
  </si>
  <si>
    <t>tunggu c-40</t>
  </si>
  <si>
    <t>plan today</t>
  </si>
  <si>
    <t>PS25072901</t>
  </si>
  <si>
    <t>PS25072903</t>
  </si>
  <si>
    <t>PS25072904</t>
  </si>
  <si>
    <t>PS25072905</t>
  </si>
  <si>
    <t>PS25072906</t>
  </si>
  <si>
    <t>N00062-33</t>
  </si>
  <si>
    <t>JBO2507250018</t>
  </si>
  <si>
    <t>JBO2507250021</t>
  </si>
  <si>
    <t>JBO2507280027</t>
  </si>
  <si>
    <t>JBO2507280028</t>
  </si>
  <si>
    <t>8/18</t>
  </si>
  <si>
    <t>MYCHI024250729001</t>
  </si>
  <si>
    <t>MYCLR028250729001</t>
  </si>
  <si>
    <t>MYCLR028250729002</t>
  </si>
  <si>
    <t>MYCLR028250729003</t>
  </si>
  <si>
    <t>MYCLR028250729004</t>
  </si>
  <si>
    <t>PSC25072901</t>
  </si>
  <si>
    <t>BYCMP033250729001</t>
  </si>
  <si>
    <t>REWORK</t>
  </si>
  <si>
    <t>CHECKING IMPACTIVA</t>
  </si>
  <si>
    <t>CHECK IMPACTIVA</t>
  </si>
  <si>
    <t>CHECKING IMPACTIVA 7/31</t>
  </si>
  <si>
    <t>N2025060036NB-FOC</t>
  </si>
  <si>
    <t>N2025069600NB-FOC</t>
  </si>
  <si>
    <t>50PCS 750 SF OK 117 NG</t>
  </si>
  <si>
    <t>ADA THICKNESS 1.46 NYA</t>
  </si>
  <si>
    <t>N2025065124NB-FOC</t>
  </si>
  <si>
    <t>8/29</t>
  </si>
  <si>
    <t>PSC25073001</t>
  </si>
  <si>
    <t>PSC25073002</t>
  </si>
  <si>
    <t>PSC25073003</t>
  </si>
  <si>
    <t>N2025069166NB-FOC</t>
  </si>
  <si>
    <t>N2025069267NB-FOC</t>
  </si>
  <si>
    <t>N2025055113NB-FOC</t>
  </si>
  <si>
    <t>BYCMP033250730001</t>
  </si>
  <si>
    <t>BYCMP033250730002</t>
  </si>
  <si>
    <t>BYCMP033250730003</t>
  </si>
  <si>
    <t>PS25073105</t>
  </si>
  <si>
    <t>PS25073106</t>
  </si>
  <si>
    <t>PS25073107</t>
  </si>
  <si>
    <t>PS25073108</t>
  </si>
  <si>
    <t>PS25073109</t>
  </si>
  <si>
    <t>PS25073110</t>
  </si>
  <si>
    <t>JBO2507300058</t>
  </si>
  <si>
    <t>JBO2507300109</t>
  </si>
  <si>
    <t>PWA-PRD-UO-250731-0108</t>
  </si>
  <si>
    <t>PWA-PRD-UO-250731-0043</t>
  </si>
  <si>
    <t>PWA-PRD-UO-250731-0040</t>
  </si>
  <si>
    <t>PWA-PRD-UO-250731-0031</t>
  </si>
  <si>
    <t>GR530UK (FIN)</t>
  </si>
  <si>
    <t>U327346-D, U327374FO-D, U3274FO-D</t>
  </si>
  <si>
    <t>PS327V1</t>
  </si>
  <si>
    <t>PS327FE-M</t>
  </si>
  <si>
    <t>GS327FE-M,GS327FE-W,PS327V1</t>
  </si>
  <si>
    <t>8/20</t>
  </si>
  <si>
    <t>MYCLR028250731001</t>
  </si>
  <si>
    <t>MYCLR028250731002</t>
  </si>
  <si>
    <t>MYCPW030250731001</t>
  </si>
  <si>
    <t>MYCPW030250731002</t>
  </si>
  <si>
    <t>MYCPW030250731003</t>
  </si>
  <si>
    <t>MYCPW030250731004</t>
  </si>
  <si>
    <t>MYCPW030250731005</t>
  </si>
  <si>
    <t>PSC25073101</t>
  </si>
  <si>
    <t>PWI2-PRD-UO-250602-0139CLAIM</t>
  </si>
  <si>
    <t>BYCPW010250731001</t>
  </si>
  <si>
    <t>130064048C</t>
  </si>
  <si>
    <t>PS25080102</t>
  </si>
  <si>
    <t>PS25080103</t>
  </si>
  <si>
    <t>PS25080104</t>
  </si>
  <si>
    <t>PS25080105</t>
  </si>
  <si>
    <t>PS25080106</t>
  </si>
  <si>
    <t>PS25080107</t>
  </si>
  <si>
    <t>PS25080108</t>
  </si>
  <si>
    <t>PS25080109</t>
  </si>
  <si>
    <t>U2025075711NB</t>
  </si>
  <si>
    <t>U2025075701NB</t>
  </si>
  <si>
    <t>U2025075676NB</t>
  </si>
  <si>
    <t>U2025075975NB</t>
  </si>
  <si>
    <t>SFI-PRD-UO-250801-0031</t>
  </si>
  <si>
    <t>N2025082178NB</t>
  </si>
  <si>
    <t>PO# 8975~1196-10-9-A ERP 0030/PO-SAI/VIII/2025</t>
  </si>
  <si>
    <t>IBO2508010005</t>
  </si>
  <si>
    <t xml:space="preserve">MOONSTRUCK (14-4500TCX)      </t>
  </si>
  <si>
    <t>PC9060V1</t>
  </si>
  <si>
    <t>PC9060ER</t>
  </si>
  <si>
    <t>M3734R9, M373253</t>
  </si>
  <si>
    <t>U5309TN(FIN)</t>
  </si>
  <si>
    <t>8/22</t>
  </si>
  <si>
    <t>MYCMP034250801001</t>
  </si>
  <si>
    <t>MYCMP034250801002</t>
  </si>
  <si>
    <t>MYCMP034250801003</t>
  </si>
  <si>
    <t>MYCMP034250801004</t>
  </si>
  <si>
    <t>MYCPW020250801001</t>
  </si>
  <si>
    <t>MYCMP033250801001</t>
  </si>
  <si>
    <t>MYCMP033250801002</t>
  </si>
  <si>
    <t>MYCSD047250801001</t>
  </si>
  <si>
    <t>MYCLR028250801001</t>
  </si>
  <si>
    <t>S25080102</t>
  </si>
  <si>
    <t>PW25800DGJ-DEV NB</t>
  </si>
  <si>
    <t>SYCSH001250801001</t>
  </si>
  <si>
    <t>PS25080403</t>
  </si>
  <si>
    <t>PS25080404</t>
  </si>
  <si>
    <t>PS25080405</t>
  </si>
  <si>
    <t>PS25080401</t>
  </si>
  <si>
    <t>PS25080402</t>
  </si>
  <si>
    <t>PWA-PRD-UO-250802-0005</t>
  </si>
  <si>
    <t>PWA-PRD-UO-250801-0086</t>
  </si>
  <si>
    <t>PWA-PRD-RO-250802-0003</t>
  </si>
  <si>
    <t>U2025086882NB-DFLT</t>
  </si>
  <si>
    <t>U2025086812NB REPRO</t>
  </si>
  <si>
    <t>GS327V1, PS327V1</t>
  </si>
  <si>
    <t>GS327FE-M, PS327V1</t>
  </si>
  <si>
    <t>GS327FE-W</t>
  </si>
  <si>
    <t>8/25</t>
  </si>
  <si>
    <t>MYCPW030250804001</t>
  </si>
  <si>
    <t>MYCPW030250804002</t>
  </si>
  <si>
    <t>MYCPW030250804003</t>
  </si>
  <si>
    <t>MYCPW030250804004</t>
  </si>
  <si>
    <t>MYCMP034250804001</t>
  </si>
  <si>
    <t>MYCMP034250804002</t>
  </si>
  <si>
    <t>SHORTAGE</t>
  </si>
  <si>
    <t xml:space="preserve">  </t>
  </si>
  <si>
    <t>PS25080503</t>
  </si>
  <si>
    <t>PS25080507</t>
  </si>
  <si>
    <t>PS25080508</t>
  </si>
  <si>
    <t>PS25080509</t>
  </si>
  <si>
    <t>PS25080510</t>
  </si>
  <si>
    <t>PS25080511</t>
  </si>
  <si>
    <t>PS25080513</t>
  </si>
  <si>
    <t>JBO2508010029</t>
  </si>
  <si>
    <t>IBO2508040412</t>
  </si>
  <si>
    <t>IBO2508040413</t>
  </si>
  <si>
    <t>IBO2508040414</t>
  </si>
  <si>
    <t>IBO2508040415</t>
  </si>
  <si>
    <t>JBO2508040061</t>
  </si>
  <si>
    <t>PO# 9551~1185-1-4-A 0127/PO-SAI/VIII/2025</t>
  </si>
  <si>
    <t xml:space="preserve">ANGORA (039-90-05) COLORO       </t>
  </si>
  <si>
    <t>U5302NU(FIN)</t>
  </si>
  <si>
    <t>M3734R9</t>
  </si>
  <si>
    <t>9/2</t>
  </si>
  <si>
    <t>MYCLR028250805001</t>
  </si>
  <si>
    <t>MYCLR028250805002</t>
  </si>
  <si>
    <t>MYCLR028250805003</t>
  </si>
  <si>
    <t>MYCLR028250805004</t>
  </si>
  <si>
    <t>MYCLR028250805005</t>
  </si>
  <si>
    <t>MYCLR028250805006</t>
  </si>
  <si>
    <t>MYCSD047250805001</t>
  </si>
  <si>
    <t>request pick up tgl 22</t>
  </si>
  <si>
    <t>388.8 sf don’t have stamp impactiva</t>
  </si>
  <si>
    <t>PS25080704</t>
  </si>
  <si>
    <t>PS25080705</t>
  </si>
  <si>
    <t>PS25080601</t>
  </si>
  <si>
    <t>N00065-113</t>
  </si>
  <si>
    <t>N00068-43</t>
  </si>
  <si>
    <t>PWA-PRD-UO-250806-0001</t>
  </si>
  <si>
    <t>PO# 9551~1185-2-2-A 0185/PO-SAI/VIII/2025</t>
  </si>
  <si>
    <t>MR530V1</t>
  </si>
  <si>
    <t>WA327GD-B</t>
  </si>
  <si>
    <t>8/28</t>
  </si>
  <si>
    <t>9/4</t>
  </si>
  <si>
    <t>9/25</t>
  </si>
  <si>
    <t>MYCHI024250807001</t>
  </si>
  <si>
    <t>MYCHI024250807002</t>
  </si>
  <si>
    <t>MYCSD047250806001</t>
  </si>
  <si>
    <t>PS25080801</t>
  </si>
  <si>
    <t>U2025065318NB-FOC/101132311C</t>
  </si>
  <si>
    <t>MYCMP034250808001</t>
  </si>
  <si>
    <t>PSC25080801</t>
  </si>
  <si>
    <t>U2025065432NB FOC/130064046C</t>
  </si>
  <si>
    <t>BYCMP034250808001</t>
  </si>
  <si>
    <t>PS25080802</t>
  </si>
  <si>
    <t>PWA-PRD-UO-250807-0002</t>
  </si>
  <si>
    <t xml:space="preserve">PS327V1	</t>
  </si>
  <si>
    <t>MYCPW030250808001</t>
  </si>
  <si>
    <t>PS25081104</t>
  </si>
  <si>
    <t>PS25081105</t>
  </si>
  <si>
    <t>PS25081106</t>
  </si>
  <si>
    <t>PS25081110</t>
  </si>
  <si>
    <t>PT Hardases Abadi Indonesia (PYN)</t>
  </si>
  <si>
    <t>PS25081111</t>
  </si>
  <si>
    <t>IBO2508080001</t>
  </si>
  <si>
    <t>N02314-115</t>
  </si>
  <si>
    <t>JBO2508060012</t>
  </si>
  <si>
    <t>9/30</t>
  </si>
  <si>
    <t>9/8</t>
  </si>
  <si>
    <t>9/1</t>
  </si>
  <si>
    <t>MYCLR028250811001</t>
  </si>
  <si>
    <t>MYCDI024250811001</t>
  </si>
  <si>
    <t>MYCDI024250811002</t>
  </si>
  <si>
    <t>MYCHA002250811001</t>
  </si>
  <si>
    <t>MYCHA002250811002</t>
  </si>
  <si>
    <t>MB020020035</t>
  </si>
  <si>
    <t>PSC25081101</t>
  </si>
  <si>
    <t>PSC25081102</t>
  </si>
  <si>
    <t>U2025065432NB-FOC1-135010034C</t>
  </si>
  <si>
    <t>BYCGS009250811001</t>
  </si>
  <si>
    <t>BYCGS009250811002</t>
  </si>
  <si>
    <t>BYCMP034250811001</t>
  </si>
  <si>
    <t>MB020014275</t>
  </si>
  <si>
    <t>PS25081203</t>
  </si>
  <si>
    <t>PS25081206</t>
  </si>
  <si>
    <t>PS25081207</t>
  </si>
  <si>
    <t>PS25081208</t>
  </si>
  <si>
    <t>PS25081205</t>
  </si>
  <si>
    <t>JBO2508120008</t>
  </si>
  <si>
    <t>JBO2508080064</t>
  </si>
  <si>
    <t>JBO2508080065</t>
  </si>
  <si>
    <t>JBO2508080068</t>
  </si>
  <si>
    <t>PWA-PRD-RO-250812-0006</t>
  </si>
  <si>
    <t xml:space="preserve">GREY MATTER (017-79-00)    </t>
  </si>
  <si>
    <t>I530V1</t>
  </si>
  <si>
    <t>P5304AU(FIN)</t>
  </si>
  <si>
    <t>G530V1_KL</t>
  </si>
  <si>
    <t>G5309LW (FIN)</t>
  </si>
  <si>
    <t>I530V1_KL</t>
  </si>
  <si>
    <t>I530851(FIN)</t>
  </si>
  <si>
    <t>MYCLR028250812001</t>
  </si>
  <si>
    <t>MYCLR028250812002</t>
  </si>
  <si>
    <t>MYCLR028250812003</t>
  </si>
  <si>
    <t>MYCLR028250812004</t>
  </si>
  <si>
    <t>MYCPW030250812001</t>
  </si>
  <si>
    <t>MYCPW030250812002</t>
  </si>
  <si>
    <t>SALAH CUSTOMER 8/13</t>
  </si>
  <si>
    <t>PS25081212</t>
  </si>
  <si>
    <t xml:space="preserve">SLATE GREY (000-55-00)       </t>
  </si>
  <si>
    <t>MYCLR028250812005</t>
  </si>
  <si>
    <t>PS25081304</t>
  </si>
  <si>
    <t>PS25081305</t>
  </si>
  <si>
    <t>N2025082834NB</t>
  </si>
  <si>
    <t>PO# F209~F229-10-13-A/0424/PO-SAI/VIII/2025</t>
  </si>
  <si>
    <t xml:space="preserve">MOONSTRUCK (14-4500 TCX)  </t>
  </si>
  <si>
    <t>9/3</t>
  </si>
  <si>
    <t>MYCMP033250813001</t>
  </si>
  <si>
    <t>MYCSD047250813001</t>
  </si>
  <si>
    <t>PS25081402</t>
  </si>
  <si>
    <t>PS25081403</t>
  </si>
  <si>
    <t>PS25081404</t>
  </si>
  <si>
    <t>PS25081405</t>
  </si>
  <si>
    <t>PS25081406</t>
  </si>
  <si>
    <t>PS25081407</t>
  </si>
  <si>
    <t>PS25081408</t>
  </si>
  <si>
    <t>PS25081409</t>
  </si>
  <si>
    <t>PS25081410</t>
  </si>
  <si>
    <t>PS25081411</t>
  </si>
  <si>
    <t>PS25081412</t>
  </si>
  <si>
    <t>PS25081413</t>
  </si>
  <si>
    <t>PS25081414</t>
  </si>
  <si>
    <t>PS25081415</t>
  </si>
  <si>
    <t>PS25081416</t>
  </si>
  <si>
    <t>PS25081417</t>
  </si>
  <si>
    <t>PS25081418</t>
  </si>
  <si>
    <t>IBO2508140001</t>
  </si>
  <si>
    <t>JBO2507230112</t>
  </si>
  <si>
    <t>JBO2507250019</t>
  </si>
  <si>
    <t>JBO2508050183</t>
  </si>
  <si>
    <t>JBO2508110077</t>
  </si>
  <si>
    <t>JBO2508110078</t>
  </si>
  <si>
    <t>JBO2508130044</t>
  </si>
  <si>
    <t>JBO2508130048</t>
  </si>
  <si>
    <t>JBO2508130049</t>
  </si>
  <si>
    <t>PWI2-PRD-RO-250814-0009</t>
  </si>
  <si>
    <t>PO# 6224~6223-11-8-A 0490/PO-SAI/VIII/2025</t>
  </si>
  <si>
    <t>IDNB11088</t>
  </si>
  <si>
    <t>IDNB11388</t>
  </si>
  <si>
    <t>IDNB10760</t>
  </si>
  <si>
    <t>IDNB10941</t>
  </si>
  <si>
    <t>IDNB11312</t>
  </si>
  <si>
    <t>PO# 6224~6223-12-4-A ERP : 0495/PO-SAI/VIII/2025</t>
  </si>
  <si>
    <t xml:space="preserve">SLATE GREY (000-55-00)         </t>
  </si>
  <si>
    <t xml:space="preserve">ANGORA (039-90-05) COLORO         </t>
  </si>
  <si>
    <t>PZ530UK(FIN);GR530UK(FIN)</t>
  </si>
  <si>
    <t>G5309LW(FIN)</t>
  </si>
  <si>
    <t>G5303QO(FIN)</t>
  </si>
  <si>
    <t>MT410V5</t>
  </si>
  <si>
    <t>MT410BG5-2E</t>
  </si>
  <si>
    <t>U509V1(D)(S126-1)-163</t>
  </si>
  <si>
    <t>U509V1(D)(S225-3)-BD</t>
  </si>
  <si>
    <t>MYCLR028250814001</t>
  </si>
  <si>
    <t>MYCLR028250814002</t>
  </si>
  <si>
    <t>MYCLR028250814003</t>
  </si>
  <si>
    <t>MYCLR028250814004</t>
  </si>
  <si>
    <t>MYCLR028250814005</t>
  </si>
  <si>
    <t>MYCLR028250814006</t>
  </si>
  <si>
    <t>MYCLR028250814007</t>
  </si>
  <si>
    <t>MYCLR028250814008</t>
  </si>
  <si>
    <t>MYCLR028250814009</t>
  </si>
  <si>
    <t>MYCPW010250814001</t>
  </si>
  <si>
    <t>MYCSD047250814001</t>
  </si>
  <si>
    <t>MYCDI024250814001</t>
  </si>
  <si>
    <t>MYCDI024250814002</t>
  </si>
  <si>
    <t>MYCDI024250814004</t>
  </si>
  <si>
    <t>MYCDI024250814005</t>
  </si>
  <si>
    <t>MYCDI024250815001</t>
  </si>
  <si>
    <t>MYCSD047250815001</t>
  </si>
  <si>
    <t>PS25081501</t>
  </si>
  <si>
    <t>PS25081502</t>
  </si>
  <si>
    <t>PS25081503</t>
  </si>
  <si>
    <t>PS25081504</t>
  </si>
  <si>
    <t>PS25081506</t>
  </si>
  <si>
    <t>PS25081507</t>
  </si>
  <si>
    <t>PS25081508</t>
  </si>
  <si>
    <t>PS25081509</t>
  </si>
  <si>
    <t>PS25081510</t>
  </si>
  <si>
    <t>PS25081512</t>
  </si>
  <si>
    <t>SFI-PRD-RO-250814-0014</t>
  </si>
  <si>
    <t>U2025087344NB</t>
  </si>
  <si>
    <t>JBO2508130019</t>
  </si>
  <si>
    <t>JBO2508150002</t>
  </si>
  <si>
    <t>JBO2508140057</t>
  </si>
  <si>
    <t>JBO2508140066</t>
  </si>
  <si>
    <t>JBO2508140067</t>
  </si>
  <si>
    <t>JBO2508140069</t>
  </si>
  <si>
    <t>JBO2508140073</t>
  </si>
  <si>
    <t>N2025082950NB/135010229C</t>
  </si>
  <si>
    <t xml:space="preserve">REFLECTION (043-89-00) COLORO  </t>
  </si>
  <si>
    <t xml:space="preserve">ANGORA (039-90-05) COLORO           </t>
  </si>
  <si>
    <t xml:space="preserve">MAGIC BLUE (121-35-17)  </t>
  </si>
  <si>
    <t>WL574IPK-B</t>
  </si>
  <si>
    <t>P574216-W</t>
  </si>
  <si>
    <t>9/5</t>
  </si>
  <si>
    <t>9/10</t>
  </si>
  <si>
    <t>MYCPW020250815001</t>
  </si>
  <si>
    <t>MYCMP034250815001</t>
  </si>
  <si>
    <t>MYCLR028250815001</t>
  </si>
  <si>
    <t>MYCLR028250815002</t>
  </si>
  <si>
    <t>MYCLR028250815003</t>
  </si>
  <si>
    <t>MYCLR028250815004</t>
  </si>
  <si>
    <t>MYCLR028250815005</t>
  </si>
  <si>
    <t>MYCLR028250815006</t>
  </si>
  <si>
    <t>MYCLR028250815007</t>
  </si>
  <si>
    <t>MYCLR028250815008</t>
  </si>
  <si>
    <t>MYCMP033250815001</t>
  </si>
  <si>
    <t>PS25080803</t>
  </si>
  <si>
    <t>MYCPW030250808002</t>
  </si>
  <si>
    <t>PS25081801</t>
  </si>
  <si>
    <t>PS25081814</t>
  </si>
  <si>
    <t>N2025082948NB REPRO/135010034C</t>
  </si>
  <si>
    <t>U2025087535NB REPRO/108032200C</t>
  </si>
  <si>
    <t>MYCMP033250818001</t>
  </si>
  <si>
    <t>MYCMP034250818001</t>
  </si>
  <si>
    <t>TUNGGU CONTAINER</t>
  </si>
  <si>
    <t>TUNGGU CEK IMPACTIVA 900 SF</t>
  </si>
  <si>
    <t>TUNGGU CEK IMPACTIVA</t>
  </si>
  <si>
    <t>1600 MINTA BONGKAR</t>
  </si>
  <si>
    <t>MINTA BONGKAR 1126.2 SF</t>
  </si>
  <si>
    <t>TUNGGU C-43</t>
  </si>
  <si>
    <t>CEK IMPACTIVA 21 LEMBAR 500 SF TUNGGU SPRAY</t>
  </si>
  <si>
    <t>MINTA CHINA KIRIM</t>
  </si>
  <si>
    <t>PS25081902</t>
  </si>
  <si>
    <t>PS25081903</t>
  </si>
  <si>
    <t>PS25081904</t>
  </si>
  <si>
    <t>PWA-PRD-RO-250818-0010</t>
  </si>
  <si>
    <t>JBO2508150144</t>
  </si>
  <si>
    <t>U2025087560NB/101132311C</t>
  </si>
  <si>
    <t>9/9</t>
  </si>
  <si>
    <t>MYCPW030250819001</t>
  </si>
  <si>
    <t>MYCLR028250819001</t>
  </si>
  <si>
    <t>MYCMP034250819001</t>
  </si>
  <si>
    <t>PSC25081901</t>
  </si>
  <si>
    <t>4000001863 FOC</t>
  </si>
  <si>
    <t>BYCHA002250819001</t>
  </si>
  <si>
    <t>10 MB020020035</t>
  </si>
  <si>
    <t>PSC25081902</t>
  </si>
  <si>
    <t>PSC25081903</t>
  </si>
  <si>
    <t>PSC25081904</t>
  </si>
  <si>
    <t>PSC25081905</t>
  </si>
  <si>
    <t>U2025075505NB-FOC/135010132C</t>
  </si>
  <si>
    <t>U2025076030NB-FOC/108032208C</t>
  </si>
  <si>
    <t>U2025075504NB-FOC/101132304C</t>
  </si>
  <si>
    <t>U2025075505NB-FOC1/101132310C</t>
  </si>
  <si>
    <t>BYCMP034250819001</t>
  </si>
  <si>
    <t>BYCMP034250819002</t>
  </si>
  <si>
    <t>BYCMP034250819003</t>
  </si>
  <si>
    <t>BYCMP034250819004</t>
  </si>
  <si>
    <t>PS25082001</t>
  </si>
  <si>
    <t>PS25082002</t>
  </si>
  <si>
    <t>PS25082003</t>
  </si>
  <si>
    <t>JBO2508200031</t>
  </si>
  <si>
    <t>IBO2508190001</t>
  </si>
  <si>
    <t>S11250820-6</t>
  </si>
  <si>
    <t>MYCLR028250820001</t>
  </si>
  <si>
    <t>MYCLR028250820002</t>
  </si>
  <si>
    <t>MYCHI024250820001</t>
  </si>
  <si>
    <t>PS25082004</t>
  </si>
  <si>
    <t>PW25807CDJ</t>
  </si>
  <si>
    <t>MYCSH001250820001</t>
  </si>
  <si>
    <t>PSC25081802</t>
  </si>
  <si>
    <t>PSC25081803</t>
  </si>
  <si>
    <t>PSC25081804</t>
  </si>
  <si>
    <t>PSC25081805</t>
  </si>
  <si>
    <t>PSC25081806</t>
  </si>
  <si>
    <t>PSC25081807</t>
  </si>
  <si>
    <t>PSC25081808</t>
  </si>
  <si>
    <t>PSC25081809</t>
  </si>
  <si>
    <t>PSC25081810</t>
  </si>
  <si>
    <t>U2025065432NB-FOC2/130064046C</t>
  </si>
  <si>
    <t>U2025065318NB-FOC1/101132311C</t>
  </si>
  <si>
    <t>U2025065433NB-FOC/130064048C</t>
  </si>
  <si>
    <t>U2025065433NB-FOC1/130064048C</t>
  </si>
  <si>
    <t>U2025065433NB-FOC2/130064048C</t>
  </si>
  <si>
    <t>U2025065432NB-FOC3/130064046C</t>
  </si>
  <si>
    <t>N2025069267NB-FOC1/108032186C</t>
  </si>
  <si>
    <t>N2025069110NB-FOC/135010157C</t>
  </si>
  <si>
    <t>N2025060405NB-FOC/135010034C</t>
  </si>
  <si>
    <t xml:space="preserve">NB SHARK SKIN (NB1100823)    </t>
  </si>
  <si>
    <t>BYCMP034250818001</t>
  </si>
  <si>
    <t>BYCMP034250818002</t>
  </si>
  <si>
    <t>BYCMP034250818003</t>
  </si>
  <si>
    <t>BYCMP034250818004</t>
  </si>
  <si>
    <t>BYCMP034250818005</t>
  </si>
  <si>
    <t>BYCMP034250818006</t>
  </si>
  <si>
    <t>BYCMP033250818001</t>
  </si>
  <si>
    <t>BYCMP033250818002</t>
  </si>
  <si>
    <t>BYCMP033250818003</t>
  </si>
  <si>
    <t>PS25082107</t>
  </si>
  <si>
    <t>PS25082104</t>
  </si>
  <si>
    <t>PS25082105</t>
  </si>
  <si>
    <t>IB22508080358</t>
  </si>
  <si>
    <t>JBO2508200062</t>
  </si>
  <si>
    <t>JBO2508200063</t>
  </si>
  <si>
    <t>G5306J4 (FIN)</t>
  </si>
  <si>
    <t>MYCLR028250821001</t>
  </si>
  <si>
    <t>MYCLR028250821002</t>
  </si>
  <si>
    <t>PS25082204</t>
  </si>
  <si>
    <t>PS25082205</t>
  </si>
  <si>
    <t>PS25082206</t>
  </si>
  <si>
    <t>PS25082207</t>
  </si>
  <si>
    <t>PS25082208</t>
  </si>
  <si>
    <t>PS25082209</t>
  </si>
  <si>
    <t>PS25082210</t>
  </si>
  <si>
    <t>PS25082211</t>
  </si>
  <si>
    <t>PS25082212</t>
  </si>
  <si>
    <t>JBO2508220002</t>
  </si>
  <si>
    <t>JBO2508220003</t>
  </si>
  <si>
    <t>JBO2508220004</t>
  </si>
  <si>
    <t>JBO2508220005</t>
  </si>
  <si>
    <t>JBO2508220006</t>
  </si>
  <si>
    <t>JBO2508220007</t>
  </si>
  <si>
    <t>JBO2508220008</t>
  </si>
  <si>
    <t>JBO2508220009</t>
  </si>
  <si>
    <t>JBO2508220072</t>
  </si>
  <si>
    <t xml:space="preserve">GREY MATTER (017-79-00)      </t>
  </si>
  <si>
    <t>P5305OI(FIN)</t>
  </si>
  <si>
    <t>U5307VI(FIN)</t>
  </si>
  <si>
    <t>PZ530UK (FIN)</t>
  </si>
  <si>
    <t>P5305OI (FIN)</t>
  </si>
  <si>
    <t>MYCLR028250822001</t>
  </si>
  <si>
    <t>MYCLR028250822002</t>
  </si>
  <si>
    <t>MYCLR028250822003</t>
  </si>
  <si>
    <t>MYCLR028250822004</t>
  </si>
  <si>
    <t>MYCLR028250822005</t>
  </si>
  <si>
    <t>MYCLR028250822006</t>
  </si>
  <si>
    <t>MYCLR028250822007</t>
  </si>
  <si>
    <t>MYCLR028250822008</t>
  </si>
  <si>
    <t>MYCLR028250822009</t>
  </si>
  <si>
    <t>PSC25082201</t>
  </si>
  <si>
    <t>CL-0716</t>
  </si>
  <si>
    <t>BYCHI024250822001</t>
  </si>
  <si>
    <t>1 roll 3pcs</t>
  </si>
  <si>
    <t>2 roll 13pcs</t>
  </si>
  <si>
    <t>1 roll 1 pcs</t>
  </si>
  <si>
    <t>1roll 2pcs</t>
  </si>
  <si>
    <t>PS25082502</t>
  </si>
  <si>
    <t>A20250822-162</t>
  </si>
  <si>
    <t>9/15</t>
  </si>
  <si>
    <t>MYCHI024250825001</t>
  </si>
  <si>
    <t>PSC25082501</t>
  </si>
  <si>
    <t>PSC25082502</t>
  </si>
  <si>
    <t>PSC25082503</t>
  </si>
  <si>
    <t>PWA-PRD-UO-250628-0081CLAIM</t>
  </si>
  <si>
    <t>PWA-PRD-RO-250603-0001 &amp; 0028 CLAIM</t>
  </si>
  <si>
    <t>PWA-PRD-UO-250731-0031, 0040, 250802-0005CL</t>
  </si>
  <si>
    <t>BYCPW030250825001</t>
  </si>
  <si>
    <t>BYCPW030250825002</t>
  </si>
  <si>
    <t>BYCPW030250825003</t>
  </si>
  <si>
    <t>untuk Longwell</t>
  </si>
  <si>
    <t>BYCPW030250826001</t>
  </si>
  <si>
    <t>PS25082602</t>
  </si>
  <si>
    <t>PS25082603</t>
  </si>
  <si>
    <t>PS25082604</t>
  </si>
  <si>
    <t>PS25082605</t>
  </si>
  <si>
    <t>U2025087754NB</t>
  </si>
  <si>
    <t>JBO2508260018</t>
  </si>
  <si>
    <t>JBO2508260019</t>
  </si>
  <si>
    <t>PO#6152~6398-10-14-1-A ERP : 	0821/PO-SAI/VIII/2025</t>
  </si>
  <si>
    <t>U5307V1(FIN)</t>
  </si>
  <si>
    <t>9/16</t>
  </si>
  <si>
    <t>9/19</t>
  </si>
  <si>
    <t>MYCMP034250826001</t>
  </si>
  <si>
    <t>MYCLR028250826001</t>
  </si>
  <si>
    <t>MYCLR028250826002</t>
  </si>
  <si>
    <t>MYCSD047250826001</t>
  </si>
  <si>
    <t>PWI3-PRD-RO-250826-0025</t>
  </si>
  <si>
    <t>QYCPA010250826001</t>
  </si>
  <si>
    <t>REJECT BELANG</t>
  </si>
  <si>
    <t>PS25082701</t>
  </si>
  <si>
    <t>PS25082703</t>
  </si>
  <si>
    <t>U2025087825NB/130064046C</t>
  </si>
  <si>
    <t>PO# F209~F229-10-13-A ERP : 0900/PO-SAI/VIII/2025</t>
  </si>
  <si>
    <t>ML574EVG-2E</t>
  </si>
  <si>
    <t>MYCMP034250827001</t>
  </si>
  <si>
    <t>MYCSD047250827001</t>
  </si>
  <si>
    <t>PSC25082701</t>
  </si>
  <si>
    <t>PSC25082702</t>
  </si>
  <si>
    <t>U2025065432NB-FOC4</t>
  </si>
  <si>
    <t>U2025065047FOC</t>
  </si>
  <si>
    <t>BYCMP034250827001</t>
  </si>
  <si>
    <t>BYCMP034250827002</t>
  </si>
  <si>
    <t>PS25082804</t>
  </si>
  <si>
    <t>PS25082805</t>
  </si>
  <si>
    <t>PS25082806</t>
  </si>
  <si>
    <t>IBO2508280004</t>
  </si>
  <si>
    <t>IBO2508280007</t>
  </si>
  <si>
    <t>JBO2508110076</t>
  </si>
  <si>
    <t xml:space="preserve">TIMBERWOLF (032-76-04)      </t>
  </si>
  <si>
    <t>9/11</t>
  </si>
  <si>
    <t>9/18</t>
  </si>
  <si>
    <t>MYCLR028250828001</t>
  </si>
  <si>
    <t>MYCLR028250828002</t>
  </si>
  <si>
    <t>MYCLR028250828003</t>
  </si>
  <si>
    <t>PS25082807</t>
  </si>
  <si>
    <t>PSC25082801</t>
  </si>
  <si>
    <t>PSC25082802</t>
  </si>
  <si>
    <t>PSC25082803</t>
  </si>
  <si>
    <t>JBO2508190068 FOC</t>
  </si>
  <si>
    <t>N2025071220NB-DFLT FOC</t>
  </si>
  <si>
    <t>N2025071770NB,N2025060610 FOC</t>
  </si>
  <si>
    <t>PWI2-PRD-RO-250711-0002CLAIM</t>
  </si>
  <si>
    <t>MYCLR028250828004</t>
  </si>
  <si>
    <t>BYCMP033250828001</t>
  </si>
  <si>
    <t>BYCMP033250828002</t>
  </si>
  <si>
    <t>BYCPW010250828001</t>
  </si>
  <si>
    <t xml:space="preserve">108032208C_x000D_
</t>
  </si>
  <si>
    <t>PS25082901</t>
  </si>
  <si>
    <t>PS25082902</t>
  </si>
  <si>
    <t>PS25082905</t>
  </si>
  <si>
    <t>PS25082906</t>
  </si>
  <si>
    <t>PS25082907</t>
  </si>
  <si>
    <t>PS25082908</t>
  </si>
  <si>
    <t>PS25082909</t>
  </si>
  <si>
    <t>SFI-PRD-UO-250827-0006</t>
  </si>
  <si>
    <t>Split Suede SALIVA</t>
  </si>
  <si>
    <t>PWA-PRD-UO-250828-0072</t>
  </si>
  <si>
    <t>FNA7-NB2509-11</t>
  </si>
  <si>
    <t>FNA7-NB2509-12</t>
  </si>
  <si>
    <t>FNA7-NB2509-15</t>
  </si>
  <si>
    <t>FNA7-NB2509-12A</t>
  </si>
  <si>
    <t>FNA7-NB2510-02</t>
  </si>
  <si>
    <t xml:space="preserve">SILVER BIRCH (13-4403 TCX)        </t>
  </si>
  <si>
    <t>IV9060V1</t>
  </si>
  <si>
    <t>IV9060ER-M</t>
  </si>
  <si>
    <t>MYCPW020250829002</t>
  </si>
  <si>
    <t>MYCPW030250829001</t>
  </si>
  <si>
    <t>MYCSH001250829001</t>
  </si>
  <si>
    <t>MYCSH001250829002</t>
  </si>
  <si>
    <t>MYCSH001250829003</t>
  </si>
  <si>
    <t>MYCSH001250829004</t>
  </si>
  <si>
    <t>MYCSH001250829005</t>
  </si>
  <si>
    <t>1AJ11506</t>
  </si>
  <si>
    <t>PSC25082804</t>
  </si>
  <si>
    <t>PSC25082901</t>
  </si>
  <si>
    <t>N2025071770NBFOC</t>
  </si>
  <si>
    <t>N2025060087NB-FOC</t>
  </si>
  <si>
    <t>BYCMP033250828003</t>
  </si>
  <si>
    <t>BYCMP033250829001</t>
  </si>
  <si>
    <t xml:space="preserve">135010034C_x000D_
</t>
  </si>
  <si>
    <t xml:space="preserve">NEW PHANTOM (134-25-00) </t>
  </si>
  <si>
    <t>PS25090105</t>
  </si>
  <si>
    <t>PS25090101</t>
  </si>
  <si>
    <t>PS25090107</t>
  </si>
  <si>
    <t>PS25090106</t>
  </si>
  <si>
    <t>PS25090109</t>
  </si>
  <si>
    <t>PS25090108</t>
  </si>
  <si>
    <t>A20250901-8</t>
  </si>
  <si>
    <t>PWI2-PRD-UO-250829-0031</t>
  </si>
  <si>
    <t>PWI2-PRD-UO-250901-0042</t>
  </si>
  <si>
    <t>PO# 8230~6603-10-16-A ERP : 	1052/PO-SAI/VIII/2025</t>
  </si>
  <si>
    <t>PWA-PRD-UO-250830-0020</t>
  </si>
  <si>
    <t>U2025088117NB REPRO</t>
  </si>
  <si>
    <t>MTTTRSLG-2E</t>
  </si>
  <si>
    <t>U204LV1</t>
  </si>
  <si>
    <t>U204L86W</t>
  </si>
  <si>
    <t>W373686</t>
  </si>
  <si>
    <t>BB480LEC</t>
  </si>
  <si>
    <t>9/22</t>
  </si>
  <si>
    <t>10/10</t>
  </si>
  <si>
    <t>MYCHI024250901001</t>
  </si>
  <si>
    <t>MYCPW010250901001</t>
  </si>
  <si>
    <t>MYCPW010250901002</t>
  </si>
  <si>
    <t>MYCSD047250901001</t>
  </si>
  <si>
    <t>MYCSD047250901002</t>
  </si>
  <si>
    <t>MYCPW030250901001</t>
  </si>
  <si>
    <t>MYCMP034250901001</t>
  </si>
  <si>
    <t>PSC25090101</t>
  </si>
  <si>
    <t>PSC25090102</t>
  </si>
  <si>
    <t>PSC25090103</t>
  </si>
  <si>
    <t>N2025071220NB-FOC2</t>
  </si>
  <si>
    <t>N2025060087NB-FOC / 108032186C</t>
  </si>
  <si>
    <t>N2025060610NB-FOC/135010034C</t>
  </si>
  <si>
    <t>BYCMP033250901001</t>
  </si>
  <si>
    <t>BYCMP033250901002</t>
  </si>
  <si>
    <t>BYCMP033250901003</t>
  </si>
  <si>
    <t>CANCEL DOUBLE INPUT</t>
  </si>
  <si>
    <t>PS25090205</t>
  </si>
  <si>
    <t>PS25090206</t>
  </si>
  <si>
    <t xml:space="preserve">PO# 8230~6603-12-6-AERP :0037/PO-SAI/IX/2025	</t>
  </si>
  <si>
    <t>PWA-PRD-RO-250902-0010</t>
  </si>
  <si>
    <t>9/23</t>
  </si>
  <si>
    <t>MYCSD047250902001</t>
  </si>
  <si>
    <t>MYCPW030250902001</t>
  </si>
  <si>
    <t>PSC25090202</t>
  </si>
  <si>
    <t>PSC25090203</t>
  </si>
  <si>
    <t>PSC25090204</t>
  </si>
  <si>
    <t>PSC25090205</t>
  </si>
  <si>
    <t>N2025082950NB/135010229CFOC</t>
  </si>
  <si>
    <t>N2025071519NBFOC</t>
  </si>
  <si>
    <t xml:space="preserve">MAGIC BLUE (121-35-17)    </t>
  </si>
  <si>
    <t>BYCMP034250902001</t>
  </si>
  <si>
    <t>BYCMP033250902001</t>
  </si>
  <si>
    <t>BYCMP033250902002</t>
  </si>
  <si>
    <t>BYCMP034250902002</t>
  </si>
  <si>
    <t>S25090201</t>
  </si>
  <si>
    <t>PW2590037J-DEV NB</t>
  </si>
  <si>
    <t>BB80</t>
  </si>
  <si>
    <t>SYCSH001250902001</t>
  </si>
  <si>
    <t>CANCEL MOVE TO IBO2508190001 9/3</t>
  </si>
  <si>
    <t>MYCHA002250829001</t>
  </si>
  <si>
    <t>U2025065047NB-FOC</t>
  </si>
  <si>
    <t>U2025075504NB-FOC1 101132304C</t>
  </si>
  <si>
    <t>PS25090306</t>
  </si>
  <si>
    <t>PS25090305</t>
  </si>
  <si>
    <t xml:space="preserve">PO# 8230~6603-12-6-A ERP : 0037/PO-SAI/IX/2025	</t>
  </si>
  <si>
    <t>JBO2508260121</t>
  </si>
  <si>
    <t xml:space="preserve">SLATE GREY (000-55-00  </t>
  </si>
  <si>
    <t>MYCSD047250903001</t>
  </si>
  <si>
    <t>MYCLR028250903001</t>
  </si>
  <si>
    <t>PSC25090301</t>
  </si>
  <si>
    <t>PSC25090302</t>
  </si>
  <si>
    <t>PSC25090304</t>
  </si>
  <si>
    <t>N2025071517FOC/130064046C</t>
  </si>
  <si>
    <t>N2025060084FOC/101132310C</t>
  </si>
  <si>
    <t>U2025065432NBFOC</t>
  </si>
  <si>
    <t>9/17</t>
  </si>
  <si>
    <t>BYCMP033250903002</t>
  </si>
  <si>
    <t>BYCMP033250903003</t>
  </si>
  <si>
    <t>BYCMP034250903001</t>
  </si>
  <si>
    <t xml:space="preserve">130064046C_x000D_
</t>
  </si>
  <si>
    <t>PS25090406</t>
  </si>
  <si>
    <t>U2025098317NB/130064046C</t>
  </si>
  <si>
    <t>10/31</t>
  </si>
  <si>
    <t>PSC25090401</t>
  </si>
  <si>
    <t>CL-0904</t>
  </si>
  <si>
    <t>BYCHI024250904001</t>
  </si>
  <si>
    <t>BYCHI024250904002</t>
  </si>
  <si>
    <t>PS25090805</t>
  </si>
  <si>
    <t>PW25902F6J</t>
  </si>
  <si>
    <t>JM080-D</t>
  </si>
  <si>
    <t>MYCSH001250908001</t>
  </si>
  <si>
    <t>PS25090907</t>
  </si>
  <si>
    <t>PS25090908</t>
  </si>
  <si>
    <t>PS25090909</t>
  </si>
  <si>
    <t>PWI2-PRD-UO-250829-0060</t>
  </si>
  <si>
    <t>PWI2-PRD-UO0250909-0005</t>
  </si>
  <si>
    <t>4000025179</t>
  </si>
  <si>
    <t>WL574EVW</t>
  </si>
  <si>
    <t>MYCPW010250909001</t>
  </si>
  <si>
    <t>MYCPW010250909002</t>
  </si>
  <si>
    <t>MYCHA002250909001</t>
  </si>
  <si>
    <t>MYCHA002250909002</t>
  </si>
  <si>
    <t>20 MB020020035</t>
  </si>
  <si>
    <t>PS25090905</t>
  </si>
  <si>
    <t>PS25090906</t>
  </si>
  <si>
    <t>PS25090910</t>
  </si>
  <si>
    <t>U2025098409NB REPRO</t>
  </si>
  <si>
    <t>U2025098447NBREPRO</t>
  </si>
  <si>
    <t>SFI-PRD-RO-250909-0007</t>
  </si>
  <si>
    <t>U5746VZ-D</t>
  </si>
  <si>
    <t>MYCMP034250909001</t>
  </si>
  <si>
    <t>MYCMP034250909002</t>
  </si>
  <si>
    <t>MYCMP034250909003</t>
  </si>
  <si>
    <t>MYCMP034250909004</t>
  </si>
  <si>
    <t>MYCPW020250909001</t>
  </si>
  <si>
    <t xml:space="preserve">130064046C </t>
  </si>
  <si>
    <t>S25090902</t>
  </si>
  <si>
    <t>S25090903</t>
  </si>
  <si>
    <t>SAIDEV-25-0001299	0214/PO-SAI/VII/2025</t>
  </si>
  <si>
    <t>SAIDEV-25-0001331	0267/PO-SAI/VII/2025</t>
  </si>
  <si>
    <t>U480P2NZ</t>
  </si>
  <si>
    <t>SYCSD047250909001</t>
  </si>
  <si>
    <t>SYCSD047250909002</t>
  </si>
  <si>
    <t>MATERIAL REWORK 9/10</t>
  </si>
  <si>
    <t>PACKING 9/10</t>
  </si>
  <si>
    <t>IMPACTIVA FINISH 9/9 BELUM PACKING 9/10</t>
  </si>
  <si>
    <t>PS25091003</t>
  </si>
  <si>
    <t>PS25091004</t>
  </si>
  <si>
    <t>PWA-PRD-RO-250910-0003</t>
  </si>
  <si>
    <t>PWA-PRD-UO-250910-0078</t>
  </si>
  <si>
    <t>10/1</t>
  </si>
  <si>
    <t>MYCPW030250910001</t>
  </si>
  <si>
    <t>MYCPW030250910002</t>
  </si>
  <si>
    <t>PSC25091001</t>
  </si>
  <si>
    <t>PSC25091004</t>
  </si>
  <si>
    <t>PSC25091005</t>
  </si>
  <si>
    <t>N2025069663NB-FOC/101132304C</t>
  </si>
  <si>
    <t>U2025086882NB-FOC/140058002C</t>
  </si>
  <si>
    <t>U2025075676NB-FOC/140058002C</t>
  </si>
  <si>
    <t xml:space="preserve">REFLECTION (043-89-00)            </t>
  </si>
  <si>
    <t>BYCMP033250910001</t>
  </si>
  <si>
    <t>BYCMP034250910001</t>
  </si>
  <si>
    <t>BYCMP034250910002</t>
  </si>
  <si>
    <t>LONG WELL</t>
  </si>
  <si>
    <t>MYCLW001250911001</t>
  </si>
  <si>
    <t>PS25091104</t>
  </si>
  <si>
    <t>PS25091105</t>
  </si>
  <si>
    <t>PS25091106</t>
  </si>
  <si>
    <t>N2025094534NB/135010229C</t>
  </si>
  <si>
    <t>U2025098579NB-DFLT/130064046C</t>
  </si>
  <si>
    <t>U2025098595NB</t>
  </si>
  <si>
    <t xml:space="preserve">MOONSTRUCK (14-4500 TCX)    </t>
  </si>
  <si>
    <t>10/2</t>
  </si>
  <si>
    <t>MYCMP033250911001</t>
  </si>
  <si>
    <t>MYCMP034250911001</t>
  </si>
  <si>
    <t>MYCMP034250911002</t>
  </si>
  <si>
    <t>MYCMP034250911003</t>
  </si>
  <si>
    <t>PS25091204</t>
  </si>
  <si>
    <t>PS25091205</t>
  </si>
  <si>
    <t>JBO2509120038</t>
  </si>
  <si>
    <t>JBO2509120042</t>
  </si>
  <si>
    <t>10/3</t>
  </si>
  <si>
    <t>MYCLR028250912001</t>
  </si>
  <si>
    <t>MYCLR028250912002</t>
  </si>
  <si>
    <t>PS25091502</t>
  </si>
  <si>
    <t>PS25091505</t>
  </si>
  <si>
    <t>PS25091503</t>
  </si>
  <si>
    <t>PS25091504</t>
  </si>
  <si>
    <t>SFI-PRD-UO-250910-0025</t>
  </si>
  <si>
    <t>U2025098711NB/130064046C</t>
  </si>
  <si>
    <t>JBO2509100094</t>
  </si>
  <si>
    <t>JBO2509100098</t>
  </si>
  <si>
    <t xml:space="preserve">SILVER BIRCH (13-4403 TCX)          </t>
  </si>
  <si>
    <t>IC574</t>
  </si>
  <si>
    <t>IC574EVW</t>
  </si>
  <si>
    <t>U5302NU (FIN)</t>
  </si>
  <si>
    <t>10/6</t>
  </si>
  <si>
    <t>MYCPW020250915001</t>
  </si>
  <si>
    <t>MYCMP034250915001</t>
  </si>
  <si>
    <t>MYCLR028250915001</t>
  </si>
  <si>
    <t>MYCLR028250915002</t>
  </si>
  <si>
    <t>S25091501</t>
  </si>
  <si>
    <t>S25091502</t>
  </si>
  <si>
    <t>PW25904M4J-DEV NB</t>
  </si>
  <si>
    <t>PW25904M5J-DEV NB</t>
  </si>
  <si>
    <t>M0809DR; G0803N4 ; P0802SF</t>
  </si>
  <si>
    <t>G0803N4</t>
  </si>
  <si>
    <t>SYCSH001250915001</t>
  </si>
  <si>
    <t>SYCSH001250915002</t>
  </si>
  <si>
    <t>PS25091101</t>
  </si>
  <si>
    <t>MYCLR028250821003</t>
  </si>
  <si>
    <t>PS25091601</t>
  </si>
  <si>
    <t>PS25091602</t>
  </si>
  <si>
    <t>PS25091608</t>
  </si>
  <si>
    <t>PS25091609</t>
  </si>
  <si>
    <t>FNA-250915R</t>
  </si>
  <si>
    <t>FNA7-250914LS</t>
  </si>
  <si>
    <t>U2025098739NB/130064046C</t>
  </si>
  <si>
    <t>U2025098790NB/130064046C</t>
  </si>
  <si>
    <t>WS237 (B)</t>
  </si>
  <si>
    <t>JWS237-B</t>
  </si>
  <si>
    <t>WL574EVB-D</t>
  </si>
  <si>
    <t>10/7</t>
  </si>
  <si>
    <t>MYCSH001250916001</t>
  </si>
  <si>
    <t>MYCSH001250916002</t>
  </si>
  <si>
    <t>MYCMP034250916001</t>
  </si>
  <si>
    <t>MYCMP034250916002</t>
  </si>
  <si>
    <t>PSC25091601</t>
  </si>
  <si>
    <t>PSC25091602</t>
  </si>
  <si>
    <t>PSC25091603</t>
  </si>
  <si>
    <t>U2025086812NB-FOC/101132311C</t>
  </si>
  <si>
    <t>PWA-PRD-UO-250731-0108CLAIM</t>
  </si>
  <si>
    <t>PWA-PRD-UO-250802-0005CLAIM</t>
  </si>
  <si>
    <t>BYCMP034250916001</t>
  </si>
  <si>
    <t>BYCPW030250916001</t>
  </si>
  <si>
    <t>BYCPW030250916002</t>
  </si>
  <si>
    <t>PS25091701</t>
  </si>
  <si>
    <t>U2025098919NBREPRO/130064046C</t>
  </si>
  <si>
    <t>MYCMP034250917001</t>
  </si>
  <si>
    <t>PS25091707</t>
  </si>
  <si>
    <t>PS25091711</t>
  </si>
  <si>
    <t>PS25091712</t>
  </si>
  <si>
    <t>JB22509170004</t>
  </si>
  <si>
    <t>PWA-PRD-RO-250917-0014</t>
  </si>
  <si>
    <t>JBO2509160018</t>
  </si>
  <si>
    <t xml:space="preserve">LINEN (034-84-05) COLORO            </t>
  </si>
  <si>
    <t>10/8</t>
  </si>
  <si>
    <t>MYCLW001250917001</t>
  </si>
  <si>
    <t>MYCPW030250917001</t>
  </si>
  <si>
    <t>MYCLR028250917001</t>
  </si>
  <si>
    <t>PSC25091701</t>
  </si>
  <si>
    <t>PWI2-PRD-RO-250917-0012</t>
  </si>
  <si>
    <t>BYCPW010250917001</t>
  </si>
  <si>
    <t>PS25091801</t>
  </si>
  <si>
    <t>N2025095042NB REPRO/135010229C</t>
  </si>
  <si>
    <t>U5747JD-D</t>
  </si>
  <si>
    <t>MYCMP033250918001</t>
  </si>
  <si>
    <t>PS25091802</t>
  </si>
  <si>
    <t>N00073-30</t>
  </si>
  <si>
    <t>MR530V1(D)(23S1-1)(CK)</t>
  </si>
  <si>
    <t>MYCHI024250918001</t>
  </si>
  <si>
    <t>PSC25091802</t>
  </si>
  <si>
    <t>U2025065432NB-FOC7/135010034C</t>
  </si>
  <si>
    <t>BYCMP034250918001</t>
  </si>
  <si>
    <t>PS25091904</t>
  </si>
  <si>
    <t>PS25091910</t>
  </si>
  <si>
    <t>U2025099090NB REPRO/108032200C</t>
  </si>
  <si>
    <t>SFI-PRD-UO-250919-0011</t>
  </si>
  <si>
    <t>PC9060ER-M</t>
  </si>
  <si>
    <t>MYCMP034250919001</t>
  </si>
  <si>
    <t>MYCPW020250919001</t>
  </si>
  <si>
    <t>PS25091901</t>
  </si>
  <si>
    <t>PS25091902</t>
  </si>
  <si>
    <t>PS25091903</t>
  </si>
  <si>
    <t>JBO2509180009</t>
  </si>
  <si>
    <t>JB22509190010</t>
  </si>
  <si>
    <t>JB22509190011</t>
  </si>
  <si>
    <t xml:space="preserve">GREY MATTER (017-79-00)        </t>
  </si>
  <si>
    <t>MYCLR028250919001</t>
  </si>
  <si>
    <t>MYCLR028250919002</t>
  </si>
  <si>
    <t>MYCLR028250919003</t>
  </si>
  <si>
    <t>PSC25091902</t>
  </si>
  <si>
    <t>BYCHA002250919001</t>
  </si>
  <si>
    <t>MYCMP034250922001</t>
  </si>
  <si>
    <t>PS25092214</t>
  </si>
  <si>
    <t xml:space="preserve">GREY MATTER (017-79-00)          </t>
  </si>
  <si>
    <t>MYCLW001250922002</t>
  </si>
  <si>
    <t>PS25092213</t>
  </si>
  <si>
    <t>MYCLW001250922001</t>
  </si>
  <si>
    <t>PS25092201</t>
  </si>
  <si>
    <t>PS25092210</t>
  </si>
  <si>
    <t>PS25092211</t>
  </si>
  <si>
    <t>PS25092209</t>
  </si>
  <si>
    <t>PS25092202</t>
  </si>
  <si>
    <t>PS25092204</t>
  </si>
  <si>
    <t>PS25092212</t>
  </si>
  <si>
    <t>PS25092203</t>
  </si>
  <si>
    <t>IDNB11648</t>
  </si>
  <si>
    <t>JBO2509030060</t>
  </si>
  <si>
    <t>JBO2509110087</t>
  </si>
  <si>
    <t>N2025095157NB/108032186C REPRO</t>
  </si>
  <si>
    <t>N2025095193NB/135010229C REPRO</t>
  </si>
  <si>
    <t>PWI2-PRD-RO-250919-0036</t>
  </si>
  <si>
    <t>SFI-PRB-UO-250922-0002</t>
  </si>
  <si>
    <t>U2025099130NB/135010034C REPRO</t>
  </si>
  <si>
    <t xml:space="preserve">TIMBERWOLF (032-76-04) COLORO          </t>
  </si>
  <si>
    <t>ML574V3</t>
  </si>
  <si>
    <t>ML574EVW</t>
  </si>
  <si>
    <t>10/13</t>
  </si>
  <si>
    <t>10/9</t>
  </si>
  <si>
    <t>MYCDI024250922001</t>
  </si>
  <si>
    <t>MYCLR028250922001</t>
  </si>
  <si>
    <t>MYCLR028250922002</t>
  </si>
  <si>
    <t>MYCMP033250922002</t>
  </si>
  <si>
    <t>MYCMP033250922001</t>
  </si>
  <si>
    <t>MYCPW010250922001</t>
  </si>
  <si>
    <t>MYCPW020250922001</t>
  </si>
  <si>
    <t>MYCMP034250922002</t>
  </si>
  <si>
    <t>PS25092302</t>
  </si>
  <si>
    <t>PS25092303</t>
  </si>
  <si>
    <t>PS25092304</t>
  </si>
  <si>
    <t>U2025099158NB/130064046C</t>
  </si>
  <si>
    <t>U2025099167NB/130064046C REPRO</t>
  </si>
  <si>
    <t>PWI2-PRD-RO-250922-0052</t>
  </si>
  <si>
    <t>MYCMP034250923001</t>
  </si>
  <si>
    <t>MYCMP034250923002</t>
  </si>
  <si>
    <t>MYCPW010250923001</t>
  </si>
  <si>
    <t>PS25092305</t>
  </si>
  <si>
    <t>PS25092307</t>
  </si>
  <si>
    <t>PS25092308</t>
  </si>
  <si>
    <t>PS25092309</t>
  </si>
  <si>
    <t>PS25092310</t>
  </si>
  <si>
    <t>PS25092311</t>
  </si>
  <si>
    <t xml:space="preserve">PO# RCCP DRAFT-05 ERP : 0776/PO-SAI/IX/2025	</t>
  </si>
  <si>
    <t>PW25907GNJ/1AJ11506</t>
  </si>
  <si>
    <t>PW25907H3J/1AJ11506</t>
  </si>
  <si>
    <t>PW25907KGJ/1AJ11506</t>
  </si>
  <si>
    <t>PW25907KYJ/1AJ11506</t>
  </si>
  <si>
    <t>PW25907L8J/1AJ11506</t>
  </si>
  <si>
    <t xml:space="preserve">NB NAVY (124-23-11)  </t>
  </si>
  <si>
    <t>ML373XB2, M3734R9, M373253</t>
  </si>
  <si>
    <t>W3736LY</t>
  </si>
  <si>
    <t>G080(M)</t>
  </si>
  <si>
    <t>G0803N4-M</t>
  </si>
  <si>
    <t>G080(W)</t>
  </si>
  <si>
    <t>G0803N4-W</t>
  </si>
  <si>
    <t>M080(D)</t>
  </si>
  <si>
    <t>M0809DR-D</t>
  </si>
  <si>
    <t>P080(M=D)</t>
  </si>
  <si>
    <t>P0801XE-M</t>
  </si>
  <si>
    <t>P080 (W)</t>
  </si>
  <si>
    <t>P0801XE-W</t>
  </si>
  <si>
    <t>10/14</t>
  </si>
  <si>
    <t>MYCSD047250923001</t>
  </si>
  <si>
    <t>MYCSD047250923002</t>
  </si>
  <si>
    <t>MYCSD047250923003</t>
  </si>
  <si>
    <t>MYCSH001250923001</t>
  </si>
  <si>
    <t>MYCSH001250923002</t>
  </si>
  <si>
    <t>MYCSH001250923003</t>
  </si>
  <si>
    <t>MYCSH001250923004</t>
  </si>
  <si>
    <t>MYCSH001250923005</t>
  </si>
  <si>
    <t>PSC25092301</t>
  </si>
  <si>
    <t>U2025087754NB-FOC/130064046C</t>
  </si>
  <si>
    <t>BYCMP034250923001</t>
  </si>
  <si>
    <t>CANCEL ORDER 09/24</t>
  </si>
  <si>
    <t>U480P5K1</t>
  </si>
  <si>
    <t>MYCSD047250924003</t>
  </si>
  <si>
    <t>PS25092416</t>
  </si>
  <si>
    <t>PS25092417</t>
  </si>
  <si>
    <t>PS25092419</t>
  </si>
  <si>
    <t>PS25092403</t>
  </si>
  <si>
    <t>PS25092404</t>
  </si>
  <si>
    <t>PS25092405</t>
  </si>
  <si>
    <t>PS25092406</t>
  </si>
  <si>
    <t>PS25092407</t>
  </si>
  <si>
    <t>PS25092408</t>
  </si>
  <si>
    <t>PS25092409</t>
  </si>
  <si>
    <t>PS25092410</t>
  </si>
  <si>
    <t>PS25092411</t>
  </si>
  <si>
    <t>PS25092412</t>
  </si>
  <si>
    <t>PS25092413</t>
  </si>
  <si>
    <t>PS25092414</t>
  </si>
  <si>
    <t>PS25092415</t>
  </si>
  <si>
    <t>JBO2509220083</t>
  </si>
  <si>
    <t>JBO2509220090</t>
  </si>
  <si>
    <t xml:space="preserve">PO# RCCP DRAFT-05-A ERP : 	0727/PO-SAI/IX/2025	</t>
  </si>
  <si>
    <t>U2025099250NB/130064051C</t>
  </si>
  <si>
    <t>U2025099251NB/101132310C REPRO</t>
  </si>
  <si>
    <t>U2025099266NB/130064051C</t>
  </si>
  <si>
    <t>U2025099270NB-DFLT/101132310C</t>
  </si>
  <si>
    <t>U2025099270NB-DFLT/130064051C</t>
  </si>
  <si>
    <t>U2025099269NB/101132310C</t>
  </si>
  <si>
    <t>U2025099268NB/101132304C</t>
  </si>
  <si>
    <t>U2025099268NB/101132310C</t>
  </si>
  <si>
    <t>U2025099268NB/130064037C</t>
  </si>
  <si>
    <t>U2025099268NB/130064051C</t>
  </si>
  <si>
    <t>U2025099268NB/135010229C</t>
  </si>
  <si>
    <t>U2025099267NB/101132310C</t>
  </si>
  <si>
    <t>U2025099267NB/130064051C</t>
  </si>
  <si>
    <t xml:space="preserve">LINEN (034-84-05) COLORO              </t>
  </si>
  <si>
    <t>GS530V1_KL</t>
  </si>
  <si>
    <t>GS5309LW(FIN)</t>
  </si>
  <si>
    <t>M5152YB-D</t>
  </si>
  <si>
    <t>ML574RVG-D</t>
  </si>
  <si>
    <t>M5152YB-2E</t>
  </si>
  <si>
    <t>M515873-D</t>
  </si>
  <si>
    <t>10/15</t>
  </si>
  <si>
    <t>MYCLR028250924001</t>
  </si>
  <si>
    <t>MYCLR028250924002</t>
  </si>
  <si>
    <t>MYCSD047250924001</t>
  </si>
  <si>
    <t>MYCSD047250924002</t>
  </si>
  <si>
    <t>MYCMP034250924001</t>
  </si>
  <si>
    <t>MYCMP034250924002</t>
  </si>
  <si>
    <t>MYCMP034250924003</t>
  </si>
  <si>
    <t>MYCMP034250924004</t>
  </si>
  <si>
    <t>MYCMP034250924005</t>
  </si>
  <si>
    <t>MYCMP034250924006</t>
  </si>
  <si>
    <t>MYCMP034250924007</t>
  </si>
  <si>
    <t>MYCMP034250924008</t>
  </si>
  <si>
    <t>MYCMP034250924009</t>
  </si>
  <si>
    <t>MYCMP034250924010</t>
  </si>
  <si>
    <t>MYCMP034250924011</t>
  </si>
  <si>
    <t>MYCMP034250924012</t>
  </si>
  <si>
    <t>MYCMP034250924013</t>
  </si>
  <si>
    <t>MYCMP034250924014</t>
  </si>
  <si>
    <t>already approved impactiva waiting for packing</t>
  </si>
  <si>
    <t>PS25092501</t>
  </si>
  <si>
    <t>PS25092502</t>
  </si>
  <si>
    <t>U2025099302NB/108032208CREPRO</t>
  </si>
  <si>
    <t>U2025099302NB/140058002C REPRO</t>
  </si>
  <si>
    <t>MYCMP034250925001</t>
  </si>
  <si>
    <t>MYCMP034250925002</t>
  </si>
  <si>
    <t>PS25092503</t>
  </si>
  <si>
    <t>PS25092504</t>
  </si>
  <si>
    <t>PS25092505</t>
  </si>
  <si>
    <t>PS25092506</t>
  </si>
  <si>
    <t>PS25092507</t>
  </si>
  <si>
    <t>PS25092508</t>
  </si>
  <si>
    <t>PS25092509</t>
  </si>
  <si>
    <t>PS25092510</t>
  </si>
  <si>
    <t>PS25092511</t>
  </si>
  <si>
    <t>PS25092512</t>
  </si>
  <si>
    <t>PS25092513</t>
  </si>
  <si>
    <t>PS25092514</t>
  </si>
  <si>
    <t xml:space="preserve">PO# 2635~3274-11-13-A ERP : 0335/PO-SAI/IX/2025	</t>
  </si>
  <si>
    <t>N2025095358NB/101132310C</t>
  </si>
  <si>
    <t>N2025095358NB/108032186C</t>
  </si>
  <si>
    <t>N2025095358NB/108032190C</t>
  </si>
  <si>
    <t>N2025095358NB/108032200C</t>
  </si>
  <si>
    <t>N2025095358NB/108032215C</t>
  </si>
  <si>
    <t>N2025095358NB/108032228C</t>
  </si>
  <si>
    <t>N2025095358NB/135010034C</t>
  </si>
  <si>
    <t>N2025095358NB/140192002C</t>
  </si>
  <si>
    <t>N2025095358NB/140192010C</t>
  </si>
  <si>
    <t>N2025095359NB/108032186C</t>
  </si>
  <si>
    <t>N2025095359NB/135010034C</t>
  </si>
  <si>
    <t xml:space="preserve">NEW PHANTOM (134-25-00)     </t>
  </si>
  <si>
    <t>UN417BGC</t>
  </si>
  <si>
    <t>UN101PS</t>
  </si>
  <si>
    <t>UN440HTW</t>
  </si>
  <si>
    <t>UN600PWG</t>
  </si>
  <si>
    <t>UN440BC0</t>
  </si>
  <si>
    <t>UN808RUP</t>
  </si>
  <si>
    <t>NM272BWD</t>
  </si>
  <si>
    <t>UN574VBA</t>
  </si>
  <si>
    <t>10/16</t>
  </si>
  <si>
    <t>MYCSD047250925001</t>
  </si>
  <si>
    <t>MYCSD047250925002</t>
  </si>
  <si>
    <t>MYCMP033250925001</t>
  </si>
  <si>
    <t>MYCMP033250925002</t>
  </si>
  <si>
    <t>MYCMP033250925003</t>
  </si>
  <si>
    <t>MYCMP033250925004</t>
  </si>
  <si>
    <t>MYCMP033250925005</t>
  </si>
  <si>
    <t>MYCMP033250925006</t>
  </si>
  <si>
    <t>MYCMP033250925007</t>
  </si>
  <si>
    <t>MYCMP033250925008</t>
  </si>
  <si>
    <t>MYCMP033250925009</t>
  </si>
  <si>
    <t>MYCMP033250925010</t>
  </si>
  <si>
    <t>MYCMP033250925011</t>
  </si>
  <si>
    <t>S25092501</t>
  </si>
  <si>
    <t>PW25907RNJ-DEV NB</t>
  </si>
  <si>
    <t>MS237GA</t>
  </si>
  <si>
    <t>SYCSH001250925001</t>
  </si>
  <si>
    <t>PS25092602</t>
  </si>
  <si>
    <t>PS25092603</t>
  </si>
  <si>
    <t>PS25092604</t>
  </si>
  <si>
    <t>PS25092605</t>
  </si>
  <si>
    <t>PS25092606</t>
  </si>
  <si>
    <t>PS25092607</t>
  </si>
  <si>
    <t>PS25092608</t>
  </si>
  <si>
    <t>PS25092610</t>
  </si>
  <si>
    <t>PS25092611</t>
  </si>
  <si>
    <t>PS25092612</t>
  </si>
  <si>
    <t>PS25092613</t>
  </si>
  <si>
    <t>PS25092614</t>
  </si>
  <si>
    <t>PS25092615</t>
  </si>
  <si>
    <t>PS25092616</t>
  </si>
  <si>
    <t>PWI2-PRD-RO-250925-0024</t>
  </si>
  <si>
    <t>PO# 8843~2329-11-18-A ERP :0941/PO-SAI/IX/2025</t>
  </si>
  <si>
    <t>U2025099465NB-DFLT/108032200C</t>
  </si>
  <si>
    <t>U2025099465NB-DFLT/130064037C</t>
  </si>
  <si>
    <t>U2025099465NB-DFLT/130064051C</t>
  </si>
  <si>
    <t>U2025099465NB-DFLT/135010229C</t>
  </si>
  <si>
    <t>U2025099465NB-DFLT/140058002C</t>
  </si>
  <si>
    <t>N2025095767NB/101132304C</t>
  </si>
  <si>
    <t>N2025095767NB/108032186C</t>
  </si>
  <si>
    <t>N2025095767NB/135010034C</t>
  </si>
  <si>
    <t>N2025095767NB/135010229C</t>
  </si>
  <si>
    <t>N2025095767NB/140058002C</t>
  </si>
  <si>
    <t>IB22509260609</t>
  </si>
  <si>
    <t>JBO2509240077</t>
  </si>
  <si>
    <t xml:space="preserve">MOONBEAM (026-79-03) COLORO          </t>
  </si>
  <si>
    <t xml:space="preserve">NB NAVY (124-23-11)    </t>
  </si>
  <si>
    <t xml:space="preserve">SLATE GREY (000-55-00)           </t>
  </si>
  <si>
    <t xml:space="preserve">LINEN (034-84-05) COLORO                </t>
  </si>
  <si>
    <t xml:space="preserve">MAGIC BLUE (121-35-17)      </t>
  </si>
  <si>
    <t xml:space="preserve">ANGORA (039-90-05) COLORO        </t>
  </si>
  <si>
    <t>W327V1</t>
  </si>
  <si>
    <t>W327240-B</t>
  </si>
  <si>
    <t>U480L66K</t>
  </si>
  <si>
    <t>ML515GRY-4E,ML515GRY-D</t>
  </si>
  <si>
    <t>M5153C7-2E,M5153C7-4E,M5153C7-D,M515873-2E,M515873-D</t>
  </si>
  <si>
    <t>M5152YB-2E,M5152YB-4E,M5152YB-D</t>
  </si>
  <si>
    <t>G57450H-M,G57450H-W,P57485G-M,P57485G-W</t>
  </si>
  <si>
    <t>ML515BLK-4E,ML515BLK-D</t>
  </si>
  <si>
    <t>P5746WH-M</t>
  </si>
  <si>
    <t>G57450H-M</t>
  </si>
  <si>
    <t>WL515HBK-B</t>
  </si>
  <si>
    <t>10/17</t>
  </si>
  <si>
    <t>MYCPW010250926001</t>
  </si>
  <si>
    <t>MYCPW010250926002</t>
  </si>
  <si>
    <t>MYCSD047250926001</t>
  </si>
  <si>
    <t>MYCSD047250926002</t>
  </si>
  <si>
    <t>MYCMP034250926001</t>
  </si>
  <si>
    <t>MYCMP034250926002</t>
  </si>
  <si>
    <t>MYCMP034250926003</t>
  </si>
  <si>
    <t>MYCMP034250926004</t>
  </si>
  <si>
    <t>MYCMP034250926005</t>
  </si>
  <si>
    <t>MYCMP033250926001</t>
  </si>
  <si>
    <t>MYCMP033250926002</t>
  </si>
  <si>
    <t>MYCMP033250926003</t>
  </si>
  <si>
    <t>MYCMP033250926004</t>
  </si>
  <si>
    <t>MYCMP033250926005</t>
  </si>
  <si>
    <t>MYCLW001250926001</t>
  </si>
  <si>
    <t>MYCLR028250926001</t>
  </si>
  <si>
    <t>PS25092901</t>
  </si>
  <si>
    <t>PS25092905</t>
  </si>
  <si>
    <t>PS25092906</t>
  </si>
  <si>
    <t>PS25092907</t>
  </si>
  <si>
    <t>PS25092908</t>
  </si>
  <si>
    <t>PS25092909</t>
  </si>
  <si>
    <t>PS25092910</t>
  </si>
  <si>
    <t>PS25092911</t>
  </si>
  <si>
    <t>PS25092912</t>
  </si>
  <si>
    <t>PS25092913</t>
  </si>
  <si>
    <t>PS25092914</t>
  </si>
  <si>
    <t>PS25092915</t>
  </si>
  <si>
    <t>PS25092916</t>
  </si>
  <si>
    <t>PS25092917</t>
  </si>
  <si>
    <t>PS25092918</t>
  </si>
  <si>
    <t>PS25092919</t>
  </si>
  <si>
    <t>PS25092920</t>
  </si>
  <si>
    <t>PS25092921</t>
  </si>
  <si>
    <t>PS25092922</t>
  </si>
  <si>
    <t>PS25092923</t>
  </si>
  <si>
    <t>PS25092924</t>
  </si>
  <si>
    <t>PS25092931</t>
  </si>
  <si>
    <t xml:space="preserve">PO# 9079~7561-12-2-A (SDI) ERP : 0983/PO-SAI/IX/2025	</t>
  </si>
  <si>
    <t>N2025096163NB/101132310C</t>
  </si>
  <si>
    <t>N2025096163NB/108032190C</t>
  </si>
  <si>
    <t>N2025096163NB/108032200C</t>
  </si>
  <si>
    <t>N2025096163NB/108032208C</t>
  </si>
  <si>
    <t>N2025096163NB/108032228C</t>
  </si>
  <si>
    <t>N2025096163NB/140151064C</t>
  </si>
  <si>
    <t>N2025096163NB/140192002C</t>
  </si>
  <si>
    <t>N2025096163NB/140192010C</t>
  </si>
  <si>
    <t>N2025096373NB/101132310C</t>
  </si>
  <si>
    <t>N2025096373NB/108032200C</t>
  </si>
  <si>
    <t>N2025096373NB/140192010C</t>
  </si>
  <si>
    <t>N2025096390NB/108032208C</t>
  </si>
  <si>
    <t>N2025096390NB/108032228C</t>
  </si>
  <si>
    <t>N2025096001NB/101132310C</t>
  </si>
  <si>
    <t>N2025096001NB/108032200C</t>
  </si>
  <si>
    <t>N2025096001NB/108032228C</t>
  </si>
  <si>
    <t>N2025096001NB/140151064C</t>
  </si>
  <si>
    <t>N2025096001NB/140192002C</t>
  </si>
  <si>
    <t>N2025096001NB/140192010C</t>
  </si>
  <si>
    <t>N2025095914NB/135010229C</t>
  </si>
  <si>
    <t>U2025099549NB</t>
  </si>
  <si>
    <t xml:space="preserve">NEW PHANTOM (134-25-00)       </t>
  </si>
  <si>
    <t>UN272WDG-2E</t>
  </si>
  <si>
    <t>WL515WH-B</t>
  </si>
  <si>
    <t>UN306SBB</t>
  </si>
  <si>
    <t>UN272WDG</t>
  </si>
  <si>
    <t>UN508WBG</t>
  </si>
  <si>
    <t>UN306CSN</t>
  </si>
  <si>
    <t>10/24</t>
  </si>
  <si>
    <t>10/20</t>
  </si>
  <si>
    <t>10/21</t>
  </si>
  <si>
    <t>MYCSD047250929001</t>
  </si>
  <si>
    <t>MYCMP033250929001</t>
  </si>
  <si>
    <t>MYCMP033250929002</t>
  </si>
  <si>
    <t>MYCMP033250929004</t>
  </si>
  <si>
    <t>MYCMP033250929005</t>
  </si>
  <si>
    <t>MYCMP033250929006</t>
  </si>
  <si>
    <t>MYCMP033250929007</t>
  </si>
  <si>
    <t>MYCMP033250929008</t>
  </si>
  <si>
    <t>MYCMP033250929009</t>
  </si>
  <si>
    <t>MYCMP033250929010</t>
  </si>
  <si>
    <t>MYCMP033250929011</t>
  </si>
  <si>
    <t>MYCMP033250929012</t>
  </si>
  <si>
    <t>MYCMP033250929013</t>
  </si>
  <si>
    <t>MYCMP033250929014</t>
  </si>
  <si>
    <t>MYCMP033250929015</t>
  </si>
  <si>
    <t>MYCMP033250929016</t>
  </si>
  <si>
    <t>MYCMP033250929017</t>
  </si>
  <si>
    <t>MYCMP033250929018</t>
  </si>
  <si>
    <t>MYCMP033250929019</t>
  </si>
  <si>
    <t>MYCMP033250929020</t>
  </si>
  <si>
    <t>MYCMP034250929001</t>
  </si>
  <si>
    <t>MYCMP034250929002</t>
  </si>
  <si>
    <t>130064037C</t>
  </si>
  <si>
    <t>130064051C</t>
  </si>
  <si>
    <t>PS25093009</t>
  </si>
  <si>
    <t>PS25093006</t>
  </si>
  <si>
    <t>PS25093002</t>
  </si>
  <si>
    <t>PS25093004</t>
  </si>
  <si>
    <t>U2025099378NB/108032208C</t>
  </si>
  <si>
    <t>U2025099756NB/101132322C</t>
  </si>
  <si>
    <t>PWI2-PRD-RO-250929-0052</t>
  </si>
  <si>
    <t>PWI2-PRD-UO-250929-0121</t>
  </si>
  <si>
    <t>WL515WHT-D</t>
  </si>
  <si>
    <t>M5158NH-D</t>
  </si>
  <si>
    <t>MYCMP034250930002</t>
  </si>
  <si>
    <t>MYCMP034250930001</t>
  </si>
  <si>
    <t>MYCPW010250930001</t>
  </si>
  <si>
    <t>MYCPW010250930002</t>
  </si>
  <si>
    <t>PSC25093002</t>
  </si>
  <si>
    <t>PSC25093003</t>
  </si>
  <si>
    <t>N2025055116NB-FOC</t>
  </si>
  <si>
    <t>N2025069601NB-FOC</t>
  </si>
  <si>
    <t>BYCMP033250930001</t>
  </si>
  <si>
    <t>BYCMP033250930002</t>
  </si>
  <si>
    <t>PS25100104</t>
  </si>
  <si>
    <t>PS25100105</t>
  </si>
  <si>
    <t>PS25100106</t>
  </si>
  <si>
    <t>PS25100107</t>
  </si>
  <si>
    <t>U2025099894NB/130064051C</t>
  </si>
  <si>
    <t>U2025099885NB/130064046</t>
  </si>
  <si>
    <t>U2025098579B-FOC/130064046C</t>
  </si>
  <si>
    <t xml:space="preserve">LINEN (034-84-05) COLORO                  </t>
  </si>
  <si>
    <t xml:space="preserve">MOONSTRUCK (14-4500 TCX)      </t>
  </si>
  <si>
    <t>ML574EVB-D</t>
  </si>
  <si>
    <t>MYCMP034251001001</t>
  </si>
  <si>
    <t>MYCMP034251001002</t>
  </si>
  <si>
    <t>MYCMP034251001003</t>
  </si>
  <si>
    <t>MYCMP034251001004</t>
  </si>
  <si>
    <t>10/22</t>
  </si>
  <si>
    <t>STOCK 330</t>
  </si>
  <si>
    <t>STOCK 400</t>
  </si>
  <si>
    <t>PS25100205</t>
  </si>
  <si>
    <t>PS25100206</t>
  </si>
  <si>
    <t>PS25100207</t>
  </si>
  <si>
    <t>PWI2-PRD-RO-251001-0035</t>
  </si>
  <si>
    <t>U2025109978NB/130064046C</t>
  </si>
  <si>
    <t>N2025096559NBREPRO/135010229C</t>
  </si>
  <si>
    <t xml:space="preserve">MOONSTRUCK (14-4500 TCX)        </t>
  </si>
  <si>
    <t>10/23</t>
  </si>
  <si>
    <t>MYCPW010251002001</t>
  </si>
  <si>
    <t>MYCMP034251002001</t>
  </si>
  <si>
    <t>MYCMP033251002001</t>
  </si>
  <si>
    <t>S25100203</t>
  </si>
  <si>
    <t>S25100204</t>
  </si>
  <si>
    <t>S25100205</t>
  </si>
  <si>
    <t>SAIDEV-25-0001667 ERP : 0034/PO-SAI/X/2025</t>
  </si>
  <si>
    <t>SAIDEV-25-0001829 ERP 0050/PO-SAI/X/2025</t>
  </si>
  <si>
    <t>SAIDEV-25-0001668 ERP 0035/PO-SAI/X/2025</t>
  </si>
  <si>
    <t>ML515BLK</t>
  </si>
  <si>
    <t>WL515WHT</t>
  </si>
  <si>
    <t>M5158ZX</t>
  </si>
  <si>
    <t>M515917</t>
  </si>
  <si>
    <t>ML515AGR</t>
  </si>
  <si>
    <t>ML515GRY</t>
  </si>
  <si>
    <t>ML515NVY</t>
  </si>
  <si>
    <t>ML515WHT</t>
  </si>
  <si>
    <t>W5159ZJ</t>
  </si>
  <si>
    <t>SYCSD047251002001</t>
  </si>
  <si>
    <t>SYCSD047251002002</t>
  </si>
  <si>
    <t>SYCSD047251002003</t>
  </si>
  <si>
    <t>SYCSD047251002004</t>
  </si>
  <si>
    <t>SYCSD047251002005</t>
  </si>
  <si>
    <t>SYCSD047251002006</t>
  </si>
  <si>
    <t>SYCSD047251002007</t>
  </si>
  <si>
    <t>SYCSD047251002008</t>
  </si>
  <si>
    <t>SYCSD047251002009</t>
  </si>
  <si>
    <t>SYCSD047251002010</t>
  </si>
  <si>
    <t>SYCSD047251002011</t>
  </si>
  <si>
    <t>PS25100301</t>
  </si>
  <si>
    <t>PS25100304</t>
  </si>
  <si>
    <t>U2025099269NB/130064051C</t>
  </si>
  <si>
    <t>U2025100059NB/140058000C</t>
  </si>
  <si>
    <t xml:space="preserve">NB NAVY (124-23-11)      </t>
  </si>
  <si>
    <t>ML515NVY-4E</t>
  </si>
  <si>
    <t>MYCMP034251003001</t>
  </si>
  <si>
    <t>MYCMP034251003002</t>
  </si>
  <si>
    <t>PSC25100302</t>
  </si>
  <si>
    <t>PSC25100303</t>
  </si>
  <si>
    <t>U2025098595NB-FOC</t>
  </si>
  <si>
    <t>U2025098595NB-FOC/108032200C</t>
  </si>
  <si>
    <t xml:space="preserve">SLATE GREY (000-55-00)             </t>
  </si>
  <si>
    <t>BYCMP034251003001</t>
  </si>
  <si>
    <t>BYCMP034251003002</t>
  </si>
  <si>
    <t>cancel order 10/03, cfm from metro to process 10/06</t>
  </si>
  <si>
    <t>cancel order 10/03, confirm to process order from MPI 10/06</t>
  </si>
  <si>
    <t>DOUBLE INPUT</t>
  </si>
  <si>
    <t>PS25100602</t>
  </si>
  <si>
    <t>PS25100603</t>
  </si>
  <si>
    <t>JB22510060001</t>
  </si>
  <si>
    <t>U2025100033NB/130064046C REPRO</t>
  </si>
  <si>
    <t>U5307VI (FIN)</t>
  </si>
  <si>
    <t>MYCLW001251006001</t>
  </si>
  <si>
    <t>MYCMP034251006001</t>
  </si>
  <si>
    <t>10/27</t>
  </si>
  <si>
    <t>MYCMP033251007001</t>
  </si>
  <si>
    <t>U2025099894NB REPRO/108032208C</t>
  </si>
  <si>
    <t>PS25100701</t>
  </si>
  <si>
    <t>PS25100703</t>
  </si>
  <si>
    <t>PS25100704</t>
  </si>
  <si>
    <t xml:space="preserve">PO# 9079~7561-12-2-B ERP : 0194/PO-SAI/X/2025	</t>
  </si>
  <si>
    <t>PWI2-PRD-RO-251006-0019</t>
  </si>
  <si>
    <t>U2025100121NB/135010229C</t>
  </si>
  <si>
    <t>10/28</t>
  </si>
  <si>
    <t>MYCSD047251007001</t>
  </si>
  <si>
    <t>MYCPW010251007001</t>
  </si>
  <si>
    <t>MYCMP034251007001</t>
  </si>
  <si>
    <t>PSC25100702</t>
  </si>
  <si>
    <t>PSC25100703</t>
  </si>
  <si>
    <t>"PO# RCCP DRAFT-05 ERP : 0776/PO-SAI/IX/2025	"</t>
  </si>
  <si>
    <t xml:space="preserve">SEA SALT (036-90-02) COLORO          </t>
  </si>
  <si>
    <t>BYCSD047251007001</t>
  </si>
  <si>
    <t>BYCSD047251007002</t>
  </si>
  <si>
    <t>BYCSD047251007003</t>
  </si>
  <si>
    <t>PS25100802</t>
  </si>
  <si>
    <t>PS25100803</t>
  </si>
  <si>
    <t xml:space="preserve">PO# 1401-12-3-A ERP : 0237/PO-SAI/X/2025	</t>
  </si>
  <si>
    <t>N2025106895NB/135010229C</t>
  </si>
  <si>
    <t xml:space="preserve">MOONBEAM (026-79-03) COLORO            </t>
  </si>
  <si>
    <t>MYCSD047251008001</t>
  </si>
  <si>
    <t>MYCMP033251008001</t>
  </si>
  <si>
    <t>MINTA KIRIM TGL 13</t>
  </si>
  <si>
    <t>MINTA KIRIM TGL 09</t>
  </si>
  <si>
    <t>PS25100809</t>
  </si>
  <si>
    <t>PS25100901</t>
  </si>
  <si>
    <t>N2025106895/140192002C</t>
  </si>
  <si>
    <t xml:space="preserve">PO# 2841~1434-12-8-A ERP : 0307/PO-SAI/X/2025	</t>
  </si>
  <si>
    <t>11/3</t>
  </si>
  <si>
    <t>MYCSD047251009001</t>
  </si>
  <si>
    <t>PS25101001</t>
  </si>
  <si>
    <t>PS25101002</t>
  </si>
  <si>
    <t>PS25101004</t>
  </si>
  <si>
    <t>PS25101005</t>
  </si>
  <si>
    <t>PS25101006</t>
  </si>
  <si>
    <t>PS25101007</t>
  </si>
  <si>
    <t>PS25101008</t>
  </si>
  <si>
    <t>PS25101009</t>
  </si>
  <si>
    <t>PS25101010</t>
  </si>
  <si>
    <t>PS25101011</t>
  </si>
  <si>
    <t>U2025100516NB/101132322C</t>
  </si>
  <si>
    <t>BLK1912/25-8857839</t>
  </si>
  <si>
    <t>U2025100496NB/135010012C</t>
  </si>
  <si>
    <t>U2025100495NB/101132322C</t>
  </si>
  <si>
    <t>U2025100494NB/101132322C</t>
  </si>
  <si>
    <t>N2025107011NB/101132310C</t>
  </si>
  <si>
    <t>N2025107226NB-DFLT/108032208C</t>
  </si>
  <si>
    <t>U2025100197NB/130064046C</t>
  </si>
  <si>
    <t xml:space="preserve">CASTLEROCK (149-40-00)          </t>
  </si>
  <si>
    <t>LI U1906NV1 UTILITY2</t>
  </si>
  <si>
    <t>U19064UM-GEI</t>
  </si>
  <si>
    <t>W574688-B</t>
  </si>
  <si>
    <t>UN440NRU-2E</t>
  </si>
  <si>
    <t>M515YB-D</t>
  </si>
  <si>
    <t>MYCMP034251010001</t>
  </si>
  <si>
    <t>MYCSL045251010001</t>
  </si>
  <si>
    <t>MYCMP034251010002</t>
  </si>
  <si>
    <t>MYCMP034251010003</t>
  </si>
  <si>
    <t>MYCMP034251010004</t>
  </si>
  <si>
    <t>MYCMP034251010005</t>
  </si>
  <si>
    <t>MYCMP033251010001</t>
  </si>
  <si>
    <t>MYCMP033251010002</t>
  </si>
  <si>
    <t>MYCMP034251010006</t>
  </si>
  <si>
    <t>MYCMP034251010007</t>
  </si>
  <si>
    <t>PSC25101001</t>
  </si>
  <si>
    <t>PSC25101002</t>
  </si>
  <si>
    <t>PSC25101003</t>
  </si>
  <si>
    <t>THIN0819</t>
  </si>
  <si>
    <t>THIN0924</t>
  </si>
  <si>
    <t>THIN0926</t>
  </si>
  <si>
    <t>BYCHI024251010001</t>
  </si>
  <si>
    <t>BYCHI024251010002</t>
  </si>
  <si>
    <t>BYCHI024251010003</t>
  </si>
  <si>
    <t>MYCMP033251010003</t>
  </si>
  <si>
    <t>N2025107037NB/140192010C</t>
  </si>
  <si>
    <t>U2025100197NBREPRO/101132310C</t>
  </si>
  <si>
    <t>PS25101307</t>
  </si>
  <si>
    <t>MYCMP033251013001</t>
  </si>
  <si>
    <t>PS25101301</t>
  </si>
  <si>
    <t>PS25101308</t>
  </si>
  <si>
    <t>U2025100489NB/130064046C</t>
  </si>
  <si>
    <t>U2025100644NB/135010157C</t>
  </si>
  <si>
    <t xml:space="preserve">NEW PHANTOM (134-25-00)         </t>
  </si>
  <si>
    <t>ML574EVB-2E</t>
  </si>
  <si>
    <t>MYCMP034251013001</t>
  </si>
  <si>
    <t>MYCMP034251013002</t>
  </si>
  <si>
    <t>2000 URGENT</t>
  </si>
  <si>
    <t>PS25101401</t>
  </si>
  <si>
    <t xml:space="preserve">PO#2841~1434-12-8-B ERP : 	0446/PO-SAI/X/2025	</t>
  </si>
  <si>
    <t>11/4</t>
  </si>
  <si>
    <t>MYCSD047251014001</t>
  </si>
  <si>
    <t>MYCSD047251014002</t>
  </si>
  <si>
    <t>PS25101402</t>
  </si>
  <si>
    <t>PS25101403</t>
  </si>
  <si>
    <t>PS25101404</t>
  </si>
  <si>
    <t>PS25101405</t>
  </si>
  <si>
    <t>PS25101406</t>
  </si>
  <si>
    <t>PS25101407</t>
  </si>
  <si>
    <t>PS25101408</t>
  </si>
  <si>
    <t>PS25101409</t>
  </si>
  <si>
    <t>U2025100318NB/101132304C</t>
  </si>
  <si>
    <t>U2025100318NB/130064046C</t>
  </si>
  <si>
    <t>U2025100318NB/135010229C</t>
  </si>
  <si>
    <t>U2025100596NB/135010229C</t>
  </si>
  <si>
    <t>U2025100614NB/130064046C</t>
  </si>
  <si>
    <t>U2025100297NB/130064051C</t>
  </si>
  <si>
    <t>N2025107518NB/135010229C</t>
  </si>
  <si>
    <t>N2025107517NB/135010229C</t>
  </si>
  <si>
    <t xml:space="preserve">MOONSTRUCK (14-4500TCX)        </t>
  </si>
  <si>
    <t>MYCMP034251014001</t>
  </si>
  <si>
    <t>MYCMP034251014002</t>
  </si>
  <si>
    <t>MYCMP034251014003</t>
  </si>
  <si>
    <t>MYCMP034251014004</t>
  </si>
  <si>
    <t>MYCMP034251014005</t>
  </si>
  <si>
    <t>MYCMP034251014006</t>
  </si>
  <si>
    <t>MYCMP033251014001</t>
  </si>
  <si>
    <t>MYCMP033251014002</t>
  </si>
  <si>
    <t>PS25101507</t>
  </si>
  <si>
    <t>PS25101508</t>
  </si>
  <si>
    <t>PS25101509</t>
  </si>
  <si>
    <t>U2025100629NB/101132310C</t>
  </si>
  <si>
    <t>U2025100629NB/140058002C</t>
  </si>
  <si>
    <t>SFI-PRD-RO-251014-0015</t>
  </si>
  <si>
    <t xml:space="preserve">Split Suede SALIVA </t>
  </si>
  <si>
    <t>IC574EVW-M</t>
  </si>
  <si>
    <t>MYCMP034251015002</t>
  </si>
  <si>
    <t>MYCMP034251015003</t>
  </si>
  <si>
    <t>MYCPW020251015001</t>
  </si>
  <si>
    <t>MYCPW020251015002</t>
  </si>
  <si>
    <t>MYCPW020251015003</t>
  </si>
  <si>
    <t>PS25101503</t>
  </si>
  <si>
    <t>PS25101504</t>
  </si>
  <si>
    <t>PS25101505</t>
  </si>
  <si>
    <t>PS25101506</t>
  </si>
  <si>
    <t>PS25101510</t>
  </si>
  <si>
    <t>PS25101511</t>
  </si>
  <si>
    <t>N2025107586NB-DFLT/108032186C</t>
  </si>
  <si>
    <t>N2025107588NB/140058002C</t>
  </si>
  <si>
    <t>N2025107587NB-DFLT/108032186C</t>
  </si>
  <si>
    <t>U2025100645NB/135010229C</t>
  </si>
  <si>
    <t>JB22509250007</t>
  </si>
  <si>
    <t>PWI2-PRD-RO-251015-0010</t>
  </si>
  <si>
    <t xml:space="preserve">MAGIC BLUE (121-35-17)        </t>
  </si>
  <si>
    <t>UYS30NBG-M</t>
  </si>
  <si>
    <t>UN306CSP</t>
  </si>
  <si>
    <t>P57485G-M</t>
  </si>
  <si>
    <t xml:space="preserve">MT410V5	</t>
  </si>
  <si>
    <t>11/5</t>
  </si>
  <si>
    <t>MYCMP033251015001</t>
  </si>
  <si>
    <t>MYCMP033251015002</t>
  </si>
  <si>
    <t>MYCMP033251015003</t>
  </si>
  <si>
    <t>MYCMP034251015001</t>
  </si>
  <si>
    <t>MYCLW001251015001</t>
  </si>
  <si>
    <t>MYCPW010251015001</t>
  </si>
  <si>
    <t>PSC25101502</t>
  </si>
  <si>
    <t>N2025094534NB-FOC//135010229C</t>
  </si>
  <si>
    <t>BYCMP033251015001</t>
  </si>
  <si>
    <t>PS25101601</t>
  </si>
  <si>
    <t>PS25101602</t>
  </si>
  <si>
    <t>U2025100772NB/130064037C</t>
  </si>
  <si>
    <t>U2025100772NB/130064051C</t>
  </si>
  <si>
    <t xml:space="preserve">LINEN (034-84-05) COLORO                    </t>
  </si>
  <si>
    <t>10/30</t>
  </si>
  <si>
    <t>MYCMP034251016001</t>
  </si>
  <si>
    <t>MYCMP034251016002</t>
  </si>
  <si>
    <t>PS25101603</t>
  </si>
  <si>
    <t>SFI-PRB-UO-251015-0001</t>
  </si>
  <si>
    <t>ML574EVW-2</t>
  </si>
  <si>
    <t>MYCPW020251016001</t>
  </si>
  <si>
    <t>PSC25101601</t>
  </si>
  <si>
    <t>PSC25101605</t>
  </si>
  <si>
    <t>PSC25101606</t>
  </si>
  <si>
    <t>PSC25101607</t>
  </si>
  <si>
    <t>PSC25101608</t>
  </si>
  <si>
    <t>PSC25101609</t>
  </si>
  <si>
    <t>PSC25101610</t>
  </si>
  <si>
    <t>PSC25101611</t>
  </si>
  <si>
    <t>U2025099465NB-DFLT FOC/140058002C</t>
  </si>
  <si>
    <t>U2025099268NB-FOC/101132304C</t>
  </si>
  <si>
    <t>U2025099268NBFOC/135010229C</t>
  </si>
  <si>
    <t>U2025099268NBFOC/101132304C</t>
  </si>
  <si>
    <t>U2025100059NBFOC/140058000C</t>
  </si>
  <si>
    <t>U2025100121NBFOC/135010229C</t>
  </si>
  <si>
    <t>U2025099465NB-DFLTFOC/130064037C</t>
  </si>
  <si>
    <t>BYCMP034251016001</t>
  </si>
  <si>
    <t>BYCMP033251016001</t>
  </si>
  <si>
    <t>BYCMP034251016002</t>
  </si>
  <si>
    <t>BYCMP034251016003</t>
  </si>
  <si>
    <t>BYCMP034251016004</t>
  </si>
  <si>
    <t>BYCMP034251016005</t>
  </si>
  <si>
    <t>BYCMP034251016006</t>
  </si>
  <si>
    <t>BYCMP034251016007</t>
  </si>
  <si>
    <t>PS25101703</t>
  </si>
  <si>
    <t>SFI-PRB-UO-251017-0005</t>
  </si>
  <si>
    <t>11/7</t>
  </si>
  <si>
    <t>MYCPW020251017001</t>
  </si>
  <si>
    <t>PSC25101706</t>
  </si>
  <si>
    <t>U2025099268NB-FOC/135010229C</t>
  </si>
  <si>
    <t>BYCMP034251017001</t>
  </si>
  <si>
    <t>PS25101705</t>
  </si>
  <si>
    <t>PW25A086HJ/1AJ11585</t>
  </si>
  <si>
    <t>MYCSH001251017001</t>
  </si>
  <si>
    <t>PS25102001</t>
  </si>
  <si>
    <t>PS25102002</t>
  </si>
  <si>
    <t>PS25102004</t>
  </si>
  <si>
    <t>SFI-PRD-UO-251020-0001</t>
  </si>
  <si>
    <t>U2025100980NB/108032208C</t>
  </si>
  <si>
    <t>N2025107589NB-DFLT/135010034C</t>
  </si>
  <si>
    <t>WL574IPK-B, WL574IPK-D</t>
  </si>
  <si>
    <t>11/10</t>
  </si>
  <si>
    <t>MYCPW020251020001</t>
  </si>
  <si>
    <t>MYCMP034251020001</t>
  </si>
  <si>
    <t>MYCMP033251020001</t>
  </si>
  <si>
    <t>PSC25102001</t>
  </si>
  <si>
    <t>U2025098595NBFOC/130064046C</t>
  </si>
  <si>
    <t>BYCMP034251020001</t>
  </si>
  <si>
    <t>PS25102101</t>
  </si>
  <si>
    <t>U2025100944NB/101132311C</t>
  </si>
  <si>
    <t>MYCMP034251021001</t>
  </si>
  <si>
    <t>11/11</t>
  </si>
  <si>
    <t>PSC25102103</t>
  </si>
  <si>
    <t>SFI-PRD-UO-250919-0011 FOC</t>
  </si>
  <si>
    <t>BYCPW020251021001</t>
  </si>
  <si>
    <t>PS25102203</t>
  </si>
  <si>
    <t>PS25102204</t>
  </si>
  <si>
    <t>PS25102205</t>
  </si>
  <si>
    <t>PS25102206</t>
  </si>
  <si>
    <t>PS25102207</t>
  </si>
  <si>
    <t>PS25102208</t>
  </si>
  <si>
    <t>PS25102209</t>
  </si>
  <si>
    <t>N2025107856NB REPRO/108032186C</t>
  </si>
  <si>
    <t>PWI2-PRD-RO-251021-0028</t>
  </si>
  <si>
    <t>U2025101048NB REPRO/101132310C</t>
  </si>
  <si>
    <t>U2025101048NB REPRO/101132311C</t>
  </si>
  <si>
    <t>U2025101048NB REPRO/101132322C</t>
  </si>
  <si>
    <t>U2025101048NB REPRO/135010033C</t>
  </si>
  <si>
    <t>U2025101048NB REPRO/140058002C</t>
  </si>
  <si>
    <t>MYCMP033251022001</t>
  </si>
  <si>
    <t>MYCPW010251022001</t>
  </si>
  <si>
    <t>MYCMP034251022001</t>
  </si>
  <si>
    <t>MYCMP034251022002</t>
  </si>
  <si>
    <t>MYCMP034251022003</t>
  </si>
  <si>
    <t>MYCMP034251022004</t>
  </si>
  <si>
    <t>MYCMP034251022005</t>
  </si>
  <si>
    <t>PSC25102201</t>
  </si>
  <si>
    <t>PSC25102202</t>
  </si>
  <si>
    <t>U2025098739NB-FOC/130064046C</t>
  </si>
  <si>
    <t>U2025099465NB-FOC/108032200C</t>
  </si>
  <si>
    <t>BYCMP034251022001</t>
  </si>
  <si>
    <t>BYCMP034251022002</t>
  </si>
  <si>
    <t>PSC25102301</t>
  </si>
  <si>
    <t>N2025060403NB-FOC/101132304C</t>
  </si>
  <si>
    <t>BYCMP033251023001</t>
  </si>
  <si>
    <t>PS25102401</t>
  </si>
  <si>
    <t>PS25102402</t>
  </si>
  <si>
    <t xml:space="preserve">PO# 3442~7956-12-10-A ERP : 	0764/PO-SAI/X/2025	</t>
  </si>
  <si>
    <t>SFI-PRD-UO-251024-0005</t>
  </si>
  <si>
    <t>MYCSD047251024001</t>
  </si>
  <si>
    <t>MYCSD047251024002</t>
  </si>
  <si>
    <t>MYCPW020251024001</t>
  </si>
  <si>
    <t>PSC25102402</t>
  </si>
  <si>
    <t>PSC25102403</t>
  </si>
  <si>
    <t>PSC25102404</t>
  </si>
  <si>
    <t>U2025100496NB FOC / 135010012C</t>
  </si>
  <si>
    <t>U2025099756NB FOC / 101132322C</t>
  </si>
  <si>
    <t>COM FOC IMP 1024</t>
  </si>
  <si>
    <t xml:space="preserve">SLATE GREY (000-55-00    </t>
  </si>
  <si>
    <t xml:space="preserve">MOONBEAM (026-79-03) COLORO              </t>
  </si>
  <si>
    <t>BYCMP034251024001</t>
  </si>
  <si>
    <t>BYCMP034251024002</t>
  </si>
  <si>
    <t>BYCSD047251024001</t>
  </si>
  <si>
    <t>BYCSD047251024002</t>
  </si>
  <si>
    <t>BYCSD047251024003</t>
  </si>
  <si>
    <t>BYCSD047251024004</t>
  </si>
  <si>
    <t>BYCSD047251024005</t>
  </si>
  <si>
    <t>BYCSD047251024006</t>
  </si>
  <si>
    <t>BYCSD047251024007</t>
  </si>
  <si>
    <t>BYCSD047251024008</t>
  </si>
  <si>
    <t>BYCSD047251024009</t>
  </si>
  <si>
    <t>PS25102702</t>
  </si>
  <si>
    <t>PS25102703</t>
  </si>
  <si>
    <t>N00092-1</t>
  </si>
  <si>
    <t>N2025108175NB/140192010C</t>
  </si>
  <si>
    <t>11/18</t>
  </si>
  <si>
    <t>MYCHI024251027001</t>
  </si>
  <si>
    <t>MYCMP033251027001</t>
  </si>
  <si>
    <t>PSC25102701</t>
  </si>
  <si>
    <t>PSC25102702</t>
  </si>
  <si>
    <t>THIN0826 FOC</t>
  </si>
  <si>
    <t>4000044362 FOC</t>
  </si>
  <si>
    <t>BYCHI024251027001</t>
  </si>
  <si>
    <t>BYCHA002251027001</t>
  </si>
  <si>
    <t>PS25102902</t>
  </si>
  <si>
    <t>PWI2-PRD-RO-251028-0051</t>
  </si>
  <si>
    <t xml:space="preserve">TIMBERWOLF (032-76-04) COLORO     </t>
  </si>
  <si>
    <t>WL996TV2</t>
  </si>
  <si>
    <t>MYCPW010251029001</t>
  </si>
  <si>
    <t>MYCPW010251029002</t>
  </si>
  <si>
    <t>PS25102901</t>
  </si>
  <si>
    <t>11/21</t>
  </si>
  <si>
    <t>11/17</t>
  </si>
  <si>
    <t>11/13</t>
  </si>
  <si>
    <t>MYCSL045251029001</t>
  </si>
  <si>
    <t>PS25102801</t>
  </si>
  <si>
    <t>PS25102806</t>
  </si>
  <si>
    <t>PO# 3442~7956-12-10-B ERP : 0860/PO-SAI/X/2025</t>
  </si>
  <si>
    <t xml:space="preserve">PO# 3442~7956-12-10-1-A ERP : 0898/PO-SAI/X/2025	</t>
  </si>
  <si>
    <t>GSB480NS</t>
  </si>
  <si>
    <t>U480L5K1, U480L74K, GB48076Z</t>
  </si>
  <si>
    <t>MYCSD047251028001</t>
  </si>
  <si>
    <t>MYCSD047251028002</t>
  </si>
  <si>
    <t>MYCSD047251028003</t>
  </si>
  <si>
    <t>MYCSD047251028004</t>
  </si>
  <si>
    <t>PSC25102802</t>
  </si>
  <si>
    <t>PSC25102803</t>
  </si>
  <si>
    <t>PSC25102804</t>
  </si>
  <si>
    <t>N2025095358NB-DFLT FOC / 108032200C</t>
  </si>
  <si>
    <t>N2025095358NB-DFLT FOC / 108032186C</t>
  </si>
  <si>
    <t>BYCMP034251028001</t>
  </si>
  <si>
    <t>BYCMP033251028001</t>
  </si>
  <si>
    <t>BYCMP033251028002</t>
  </si>
  <si>
    <t>BLK2047/25</t>
  </si>
  <si>
    <t>PS25103009</t>
  </si>
  <si>
    <t>PS25103010</t>
  </si>
  <si>
    <t>PS25103011</t>
  </si>
  <si>
    <t>PS25103012</t>
  </si>
  <si>
    <t>PS25103013</t>
  </si>
  <si>
    <t>PS25103014</t>
  </si>
  <si>
    <t>PS25103015</t>
  </si>
  <si>
    <t>PS25103016</t>
  </si>
  <si>
    <t>PS25103018</t>
  </si>
  <si>
    <t>PS25103017</t>
  </si>
  <si>
    <t>PS25103007</t>
  </si>
  <si>
    <t>PS25103008</t>
  </si>
  <si>
    <t>PS25103021</t>
  </si>
  <si>
    <t>PS25103020</t>
  </si>
  <si>
    <t>PS25103002</t>
  </si>
  <si>
    <t>PS25103001</t>
  </si>
  <si>
    <t>PS25103019</t>
  </si>
  <si>
    <t>PS25103022</t>
  </si>
  <si>
    <t>PS25103004</t>
  </si>
  <si>
    <t>PS25103005</t>
  </si>
  <si>
    <t>PS25103006</t>
  </si>
  <si>
    <t>N2025108686NB/101132310C</t>
  </si>
  <si>
    <t>N2025108686NB/108032186C</t>
  </si>
  <si>
    <t>N2025108686NB/108032215C</t>
  </si>
  <si>
    <t>N2025108686NB/108032228C</t>
  </si>
  <si>
    <t>N2025108686NB/135010034C</t>
  </si>
  <si>
    <t>N2025108686NB/140151064C</t>
  </si>
  <si>
    <t>N2025108686NB/140192002C</t>
  </si>
  <si>
    <t>N2025108686NB/140192010C</t>
  </si>
  <si>
    <t>PWI2-PRD-RO-251029-0024</t>
  </si>
  <si>
    <t>PWI2-PRD-UO-251029-0001</t>
  </si>
  <si>
    <t>PWI2-PRD-UO-251029-0128</t>
  </si>
  <si>
    <t>PWI2-PRD-UO-251029-0129</t>
  </si>
  <si>
    <t>PWI2-PRD-UO-251030-0060</t>
  </si>
  <si>
    <t>PWI2-PRD-UO-251030-0061</t>
  </si>
  <si>
    <t xml:space="preserve">PO# 4011~5902-1-11-1-A ERP : 	0975/PO-SAI/X/2025	</t>
  </si>
  <si>
    <t>BLK2096/25-8857839</t>
  </si>
  <si>
    <t>BLK2128/25-8857839</t>
  </si>
  <si>
    <t>U2025101399NB-DFLT/101132310C</t>
  </si>
  <si>
    <t>U2025101399NB-DFLT/130064037C</t>
  </si>
  <si>
    <t>U2025101399NB-DFLT/130064051C</t>
  </si>
  <si>
    <t xml:space="preserve">NEW PHANTOM (134-25-00)           </t>
  </si>
  <si>
    <t xml:space="preserve">NB NAVY (124-23-11)        </t>
  </si>
  <si>
    <t>NM272BWD-2E</t>
  </si>
  <si>
    <t>UN440HTW-2E</t>
  </si>
  <si>
    <t>UN574VBA-2E</t>
  </si>
  <si>
    <t>WL996TBE-D</t>
  </si>
  <si>
    <t>WTTTRSV1</t>
  </si>
  <si>
    <t>WTTTRSLW-B</t>
  </si>
  <si>
    <t>U204L86W-D</t>
  </si>
  <si>
    <t>WTTRSV1</t>
  </si>
  <si>
    <t>WTTTRSLW-8</t>
  </si>
  <si>
    <t>U204L5AV-D</t>
  </si>
  <si>
    <t>WL515BLK</t>
  </si>
  <si>
    <t>UTILITY2 U19064J0-GEI</t>
  </si>
  <si>
    <t>U1906NV1</t>
  </si>
  <si>
    <t>UTILITY2 U19064UM-GEI</t>
  </si>
  <si>
    <t>LI U1906NV1</t>
  </si>
  <si>
    <t>M515873-2E</t>
  </si>
  <si>
    <t>11/20</t>
  </si>
  <si>
    <t>MYCMP033251030001</t>
  </si>
  <si>
    <t>MYCMP033251030002</t>
  </si>
  <si>
    <t>MYCMP033251030003</t>
  </si>
  <si>
    <t>MYCMP033251030004</t>
  </si>
  <si>
    <t>MYCMP033251030005</t>
  </si>
  <si>
    <t>MYCMP033251030006</t>
  </si>
  <si>
    <t>MYCMP033251030007</t>
  </si>
  <si>
    <t>MYCMP033251030008</t>
  </si>
  <si>
    <t>MYCPW010251030005</t>
  </si>
  <si>
    <t>MYCPW010251030004</t>
  </si>
  <si>
    <t>MYCPW010251030001</t>
  </si>
  <si>
    <t>MYCPW010251030002</t>
  </si>
  <si>
    <t>MYCPW010251030007</t>
  </si>
  <si>
    <t>MYCPW010251030008</t>
  </si>
  <si>
    <t>MYCPW010251030006</t>
  </si>
  <si>
    <t>MYCHA002251030001</t>
  </si>
  <si>
    <t>MYCSD047251030001</t>
  </si>
  <si>
    <t>MYCSD047251030002</t>
  </si>
  <si>
    <t>MYCSD047251030003</t>
  </si>
  <si>
    <t>MYCSL045251030001</t>
  </si>
  <si>
    <t>MYCSL045251030002</t>
  </si>
  <si>
    <t>MYCMP034251030001</t>
  </si>
  <si>
    <t>MYCMP034251030002</t>
  </si>
  <si>
    <t>MYCMP034251030003</t>
  </si>
  <si>
    <t>PSC25103001</t>
  </si>
  <si>
    <t>PSC25103002</t>
  </si>
  <si>
    <t>N2025095358NB-DFLT FOC/101132310C</t>
  </si>
  <si>
    <t>N2025095767NB FOC /135010229C</t>
  </si>
  <si>
    <t xml:space="preserve">SEA SALT (036-90-02) COLORO            </t>
  </si>
  <si>
    <t>BYCMP033251030001</t>
  </si>
  <si>
    <t>BYCMP033251030002</t>
  </si>
  <si>
    <t>S25103003</t>
  </si>
  <si>
    <t>S25103004</t>
  </si>
  <si>
    <t>SAIDEV-25-0001695 1063/PO-SAI/IX/2025</t>
  </si>
  <si>
    <t>U480P8D8</t>
  </si>
  <si>
    <t>U480P2FM</t>
  </si>
  <si>
    <t>U480P5HU</t>
  </si>
  <si>
    <t>SYCSD047251030001</t>
  </si>
  <si>
    <t>SYCSD047251030002</t>
  </si>
  <si>
    <t>SYCSD047251030003</t>
  </si>
  <si>
    <t>SYCSD047251030004</t>
  </si>
  <si>
    <t>SYCSD047251030005</t>
  </si>
  <si>
    <t>SYCSD047251030006</t>
  </si>
  <si>
    <t>SYCSD047251030007</t>
  </si>
  <si>
    <t>PS25103105</t>
  </si>
  <si>
    <t>PS25103106</t>
  </si>
  <si>
    <t>PS25103107</t>
  </si>
  <si>
    <t>PS25103108</t>
  </si>
  <si>
    <t>U2025101429NBREPRO/101132310C</t>
  </si>
  <si>
    <t>U2025101429NBREPRO/101132311C</t>
  </si>
  <si>
    <t>U2025101429NBREPRO/101132322C</t>
  </si>
  <si>
    <t>U2025101429NBREPRO/130064051C</t>
  </si>
  <si>
    <t>11/14</t>
  </si>
  <si>
    <t>MYCMP034251031001</t>
  </si>
  <si>
    <t>MYCMP034251031002</t>
  </si>
  <si>
    <t>MYCMP034251031003</t>
  </si>
  <si>
    <t>MYCMP034251031004</t>
  </si>
  <si>
    <t>PS25103101</t>
  </si>
  <si>
    <t>PS25103102</t>
  </si>
  <si>
    <t>PS25103103</t>
  </si>
  <si>
    <t>PS25103104</t>
  </si>
  <si>
    <t>PS25103109</t>
  </si>
  <si>
    <t>PS25103110</t>
  </si>
  <si>
    <t>PS25103111</t>
  </si>
  <si>
    <t>PS25103112</t>
  </si>
  <si>
    <t>PS25103114</t>
  </si>
  <si>
    <t>N2025108868NB/140192010C</t>
  </si>
  <si>
    <t>N2025108862NB-DFLT/101132310C</t>
  </si>
  <si>
    <t>N2025108862NB-DFLT/130064051C</t>
  </si>
  <si>
    <t>N2025108862NB-DFLT/140058002C</t>
  </si>
  <si>
    <t>SFI-PRD-UO-251030-0118</t>
  </si>
  <si>
    <t>N00100-30</t>
  </si>
  <si>
    <t>PWI2-PRD-UO-251030-0088</t>
  </si>
  <si>
    <t>U2025101506/101132311C</t>
  </si>
  <si>
    <t>PWA-PRD-UO-251030-0007</t>
  </si>
  <si>
    <t xml:space="preserve">MUSHROOM (028-47-06) COLORO  </t>
  </si>
  <si>
    <t xml:space="preserve">RAINCLOUD (000-68-00)          </t>
  </si>
  <si>
    <t>GC9060EX-M</t>
  </si>
  <si>
    <t>MTTRSL-G-2E</t>
  </si>
  <si>
    <t>WTTRS6KM-B</t>
  </si>
  <si>
    <t>11/25</t>
  </si>
  <si>
    <t>12/23</t>
  </si>
  <si>
    <t>MYCMP033251031001</t>
  </si>
  <si>
    <t>MYCMP033251031002</t>
  </si>
  <si>
    <t>MYCMP033251031003</t>
  </si>
  <si>
    <t>MYCMP033251031004</t>
  </si>
  <si>
    <t>MYCPW020251031001</t>
  </si>
  <si>
    <t>MYCHI024251031001</t>
  </si>
  <si>
    <t>MYCHI024251031002</t>
  </si>
  <si>
    <t>MYCPW010251031001</t>
  </si>
  <si>
    <t>MYCPW010251031002</t>
  </si>
  <si>
    <t>MYCPW010251031003</t>
  </si>
  <si>
    <t>MYCMP034251031005</t>
  </si>
  <si>
    <t>MYCPW030251031001</t>
  </si>
  <si>
    <t>PSC25103102</t>
  </si>
  <si>
    <t>PSC25103103</t>
  </si>
  <si>
    <t>N2025095358NB-DFLT FOC / 108032228C</t>
  </si>
  <si>
    <t>N2025095767NB FOC/135010229C</t>
  </si>
  <si>
    <t xml:space="preserve">NEW PHANTOM (134-25-00)             </t>
  </si>
  <si>
    <t>BYCMP033251031001</t>
  </si>
  <si>
    <t>BYCMP033251031002</t>
  </si>
  <si>
    <t>PS25110310</t>
  </si>
  <si>
    <t>PS25110314</t>
  </si>
  <si>
    <t>PS25110315</t>
  </si>
  <si>
    <t>N2025109045NB REPRO/108032186C</t>
  </si>
  <si>
    <t>U2025101509NB REPRO/135010229C</t>
  </si>
  <si>
    <t>U2025101534NBREPRO/130064051C</t>
  </si>
  <si>
    <t>MYCMP033251103001</t>
  </si>
  <si>
    <t>MYCMP034251103001</t>
  </si>
  <si>
    <t>MYCMP034251103002</t>
  </si>
  <si>
    <t>PS25110311</t>
  </si>
  <si>
    <t>PS25110309</t>
  </si>
  <si>
    <t>PWA-PRD-UO-251031-0099</t>
  </si>
  <si>
    <t>N00101-16</t>
  </si>
  <si>
    <t xml:space="preserve">SILVER BIRCH (13-4403 TCX)            </t>
  </si>
  <si>
    <t xml:space="preserve">RAINCLOUD (000-68-00)            </t>
  </si>
  <si>
    <t>WS327FE-B</t>
  </si>
  <si>
    <t>11/24</t>
  </si>
  <si>
    <t>MYCPW030251103001</t>
  </si>
  <si>
    <t>MYCHI024251103001</t>
  </si>
  <si>
    <t>PS25110402</t>
  </si>
  <si>
    <t>U2025111712NB REPRO/130064037C</t>
  </si>
  <si>
    <t>MYCMP034251104001</t>
  </si>
  <si>
    <t>PSC25110402</t>
  </si>
  <si>
    <t>PSC25110403</t>
  </si>
  <si>
    <t>PSC25110404</t>
  </si>
  <si>
    <t>PSC25110405</t>
  </si>
  <si>
    <t>U2025099465NB-DFLT FOC 130064051C</t>
  </si>
  <si>
    <t>N2025095358NB-DFLT FOC 140192010C</t>
  </si>
  <si>
    <t>N2025096001NB FOC 140192010C</t>
  </si>
  <si>
    <t>N2025096001NB FOC /108032228C</t>
  </si>
  <si>
    <t>BYCMP034251104001</t>
  </si>
  <si>
    <t>BYCMP033251104002</t>
  </si>
  <si>
    <t>BYCMP033251104003</t>
  </si>
  <si>
    <t>BYCMP033251104004</t>
  </si>
  <si>
    <t>PS25110503</t>
  </si>
  <si>
    <t>PS25110504</t>
  </si>
  <si>
    <t>PS25110505</t>
  </si>
  <si>
    <t>PS25110506</t>
  </si>
  <si>
    <t>FNA7-251103/1AJ11720</t>
  </si>
  <si>
    <t>FNA7-251029/1AJ11167</t>
  </si>
  <si>
    <t>PWI2-PRD-RO-251104-0050</t>
  </si>
  <si>
    <t>PWI2-PRD-UO-251105-0001</t>
  </si>
  <si>
    <t xml:space="preserve">MUSHROOM (028-47-06) COLORO    </t>
  </si>
  <si>
    <t>WS237(B)</t>
  </si>
  <si>
    <t>NB</t>
  </si>
  <si>
    <t>M080 (D)</t>
  </si>
  <si>
    <t>11/26</t>
  </si>
  <si>
    <t>MYCSH001251105001</t>
  </si>
  <si>
    <t>MYCSH001251105002</t>
  </si>
  <si>
    <t>MYCPW010251105001</t>
  </si>
  <si>
    <t>MYCPW010251105002</t>
  </si>
  <si>
    <t>MYCPW010251106001</t>
  </si>
  <si>
    <t>PSC25110601</t>
  </si>
  <si>
    <t>PSC25110603</t>
  </si>
  <si>
    <t>PSC25110604</t>
  </si>
  <si>
    <t>PSC25110605</t>
  </si>
  <si>
    <t>U2025099266NB FOC/130064051C</t>
  </si>
  <si>
    <t>N2025060011NB-FOC7/101132310C</t>
  </si>
  <si>
    <t>N2025095359NB FOC /108032186C</t>
  </si>
  <si>
    <t>N2025095767NB FOC /101132304C</t>
  </si>
  <si>
    <t>BYCMP034251106001</t>
  </si>
  <si>
    <t>BYCMP033251106001</t>
  </si>
  <si>
    <t>BYCMP033251106002</t>
  </si>
  <si>
    <t>BYCMP033251106003</t>
  </si>
  <si>
    <t>MYCPW020251103001</t>
  </si>
  <si>
    <t>PS25110705</t>
  </si>
  <si>
    <t>PS25110706</t>
  </si>
  <si>
    <t>PS25110707</t>
  </si>
  <si>
    <t>N2025119551NB/101132304C</t>
  </si>
  <si>
    <t>N2025119551NB/108032228C</t>
  </si>
  <si>
    <t>U2025111823NB/135010033C</t>
  </si>
  <si>
    <t>U7401N2-D</t>
  </si>
  <si>
    <t>11/28</t>
  </si>
  <si>
    <t>MYCMP033251107001</t>
  </si>
  <si>
    <t>MYCMP033251107002</t>
  </si>
  <si>
    <t>MYCMP034251107001</t>
  </si>
  <si>
    <t>PSC25110703</t>
  </si>
  <si>
    <t>PSC25110704</t>
  </si>
  <si>
    <t>SFI-PRB-UO-250922-0002 FOC</t>
  </si>
  <si>
    <t>U2025111839NB-FOC/135010033C</t>
  </si>
  <si>
    <t>BYCPW020251107001</t>
  </si>
  <si>
    <t>BYCMP034251107001</t>
  </si>
  <si>
    <t>PS25111002</t>
  </si>
  <si>
    <t>PS25111004</t>
  </si>
  <si>
    <t>PS25111005</t>
  </si>
  <si>
    <t>PS25111006</t>
  </si>
  <si>
    <t>PS25111008</t>
  </si>
  <si>
    <t>U2025111867NB REPRO/101132310C</t>
  </si>
  <si>
    <t>U2025111867NB REPRO/130064051C</t>
  </si>
  <si>
    <t>U2025111894NB REPRO/101132310C</t>
  </si>
  <si>
    <t>U2025111894NB REPRO/130064051C</t>
  </si>
  <si>
    <t>U2025111905NB REPRO</t>
  </si>
  <si>
    <t>MYCMP034251110001</t>
  </si>
  <si>
    <t>MYCMP034251110002</t>
  </si>
  <si>
    <t>MYCMP034251110003</t>
  </si>
  <si>
    <t>MYCMP034251110004</t>
  </si>
  <si>
    <t>MYCMP034251110005</t>
  </si>
  <si>
    <t>12/1</t>
  </si>
  <si>
    <t>PSC25111101</t>
  </si>
  <si>
    <t>PSC25111102</t>
  </si>
  <si>
    <t>PSC25111103</t>
  </si>
  <si>
    <t>PSC25111104</t>
  </si>
  <si>
    <t>PWI2-250829-0060 FOC</t>
  </si>
  <si>
    <t>PWI2-250901-0042 FOC</t>
  </si>
  <si>
    <t>N2025095767NB FOC/140058002C</t>
  </si>
  <si>
    <t>N2025095767NB FOC / 135010034C</t>
  </si>
  <si>
    <t xml:space="preserve">SILVER BIRCH (13-4403 TCX)              </t>
  </si>
  <si>
    <t xml:space="preserve">BLACK (145-17-00)              </t>
  </si>
  <si>
    <t>BYCPW010251111001</t>
  </si>
  <si>
    <t>BYCPW010251111002</t>
  </si>
  <si>
    <t>BYCMP033251111001</t>
  </si>
  <si>
    <t>BYCMP033251111002</t>
  </si>
  <si>
    <t>PS25111201</t>
  </si>
  <si>
    <t>PS25111204</t>
  </si>
  <si>
    <t>PS25111205</t>
  </si>
  <si>
    <t>PS25111206</t>
  </si>
  <si>
    <t>U2025111960NBREPRO/135010229C</t>
  </si>
  <si>
    <t>SFI-PRD-RO-251112-0014</t>
  </si>
  <si>
    <t>PWA-PRD-UO-251112-0001</t>
  </si>
  <si>
    <t>CM997HV1</t>
  </si>
  <si>
    <t>M997H90-D</t>
  </si>
  <si>
    <t>MYCMP034251112001</t>
  </si>
  <si>
    <t>MYCPW020251112001</t>
  </si>
  <si>
    <t>MYCPW030251112001</t>
  </si>
  <si>
    <t>MYCPW030251112002</t>
  </si>
  <si>
    <t>MYCPW020251112002</t>
  </si>
  <si>
    <t>MYCPW020251112003</t>
  </si>
  <si>
    <t>12/3</t>
  </si>
  <si>
    <t>PSC25111201</t>
  </si>
  <si>
    <t>PSC25111202</t>
  </si>
  <si>
    <t>PSC25111203</t>
  </si>
  <si>
    <t>N2025096163NB FOC/108032208C</t>
  </si>
  <si>
    <t>N2025107586NB-DFLT FOC 108032186C</t>
  </si>
  <si>
    <t>BYCMP033251112001</t>
  </si>
  <si>
    <t>BYCMP033251112002</t>
  </si>
  <si>
    <t>PS25111304</t>
  </si>
  <si>
    <t>N02569-108</t>
  </si>
  <si>
    <t>U509V1</t>
  </si>
  <si>
    <t>12/4</t>
  </si>
  <si>
    <t>MYCDI024251113001</t>
  </si>
  <si>
    <t>PS25111401</t>
  </si>
  <si>
    <t>PS25111402</t>
  </si>
  <si>
    <t>N2025110100NB REPRO/135010229C</t>
  </si>
  <si>
    <t>U2025112117NB REPRO/108032208C</t>
  </si>
  <si>
    <t>MYCMP033251114001</t>
  </si>
  <si>
    <t>MYCMP034251114001</t>
  </si>
  <si>
    <t>PSC25111401</t>
  </si>
  <si>
    <t>BYCMP033251114001</t>
  </si>
  <si>
    <t>PS25111701</t>
  </si>
  <si>
    <t>PS25111709</t>
  </si>
  <si>
    <t>BLK2191/25-8857839</t>
  </si>
  <si>
    <t>U2025112174NB REPRO/135010229C</t>
  </si>
  <si>
    <t xml:space="preserve">MAGIC BLUE (121-35-17)          </t>
  </si>
  <si>
    <t>UTILITY2 LI U1906NV1</t>
  </si>
  <si>
    <t>U19064J0-GEI</t>
  </si>
  <si>
    <t>MYCSL045251117001</t>
  </si>
  <si>
    <t>MYCMP034251117001</t>
  </si>
  <si>
    <t>PSC25111701</t>
  </si>
  <si>
    <t>PSC25111702</t>
  </si>
  <si>
    <t>PSC25111704</t>
  </si>
  <si>
    <t>PSC25111705</t>
  </si>
  <si>
    <t>N2025108686NB FOC/108032186C</t>
  </si>
  <si>
    <t>N2025096390NB FOC/108032228C</t>
  </si>
  <si>
    <t>U2025112138NB-FOC 135010033C</t>
  </si>
  <si>
    <t>N2025095358NB-DFLT FOC / 135010034C</t>
  </si>
  <si>
    <t xml:space="preserve">NEW PHANTOM (134-25-00)               </t>
  </si>
  <si>
    <t xml:space="preserve">SEA SALT (036-90-02) COLORO              </t>
  </si>
  <si>
    <t>BYCMP033251117001</t>
  </si>
  <si>
    <t>BYCMP033251117002</t>
  </si>
  <si>
    <t>BYCMP034251117001</t>
  </si>
  <si>
    <t>BYCMP033251117003</t>
  </si>
  <si>
    <t>PS25111801</t>
  </si>
  <si>
    <t>PS25111808</t>
  </si>
  <si>
    <t>N2025096390NB/140192010C</t>
  </si>
  <si>
    <t>PWI2-PRD-RO-251117-0026</t>
  </si>
  <si>
    <t>12/2</t>
  </si>
  <si>
    <t>12/9</t>
  </si>
  <si>
    <t>MYCMP033251118001</t>
  </si>
  <si>
    <t>MYCPW010251118001</t>
  </si>
  <si>
    <t>PSC25111802</t>
  </si>
  <si>
    <t>PSC25111803</t>
  </si>
  <si>
    <t>PSC25111804</t>
  </si>
  <si>
    <t>PSC25111806</t>
  </si>
  <si>
    <t>N2025060011NB-FOC5/101132310C</t>
  </si>
  <si>
    <t>U2025101429NB-FOC/101132311C</t>
  </si>
  <si>
    <t>N2025095358NB-DFLT FOC 108032186C</t>
  </si>
  <si>
    <t>U2025101048NB-FOC1/101132322C</t>
  </si>
  <si>
    <t xml:space="preserve">SEA SALT (036-90-02) COLORO                </t>
  </si>
  <si>
    <t>BYCMP033251118001</t>
  </si>
  <si>
    <t>BYCMP034251118001</t>
  </si>
  <si>
    <t>BYCMP033251118002</t>
  </si>
  <si>
    <t>BYCMP034251118002</t>
  </si>
  <si>
    <t>BYCMP033251113001</t>
  </si>
  <si>
    <t>PSC25111901</t>
  </si>
  <si>
    <t>PSC25111903</t>
  </si>
  <si>
    <t>U2025111823NB FOC/135010033C</t>
  </si>
  <si>
    <t>N2025095358NB-DFLT FOC / 140192002C</t>
  </si>
  <si>
    <t>BYCMP034251119001</t>
  </si>
  <si>
    <t>BYCMP033251119002</t>
  </si>
  <si>
    <t>PS25112002</t>
  </si>
  <si>
    <t>PS25112003</t>
  </si>
  <si>
    <t>PS25112004</t>
  </si>
  <si>
    <t>PS25112005</t>
  </si>
  <si>
    <t>PS25112006</t>
  </si>
  <si>
    <t>PS25112007</t>
  </si>
  <si>
    <t>U2025112210NB REPRO/130064046C</t>
  </si>
  <si>
    <t>U2025112306NB REPRO/101132310C</t>
  </si>
  <si>
    <t>U2025112306NB REPRO/101132311C</t>
  </si>
  <si>
    <t>U2025112306NB REPRO/130064037C</t>
  </si>
  <si>
    <t>U2025112306NB REPRO/130064046C</t>
  </si>
  <si>
    <t>U2025112306NB REPRO/130064051C</t>
  </si>
  <si>
    <t xml:space="preserve">LINEN (034-84-05) COLORO     </t>
  </si>
  <si>
    <t>ML574EVN-D</t>
  </si>
  <si>
    <t>MYCMP034251120001</t>
  </si>
  <si>
    <t>MYCMP034251120002</t>
  </si>
  <si>
    <t>MYCMP034251120003</t>
  </si>
  <si>
    <t>MYCMP034251120004</t>
  </si>
  <si>
    <t>MYCMP034251120005</t>
  </si>
  <si>
    <t>MYCMP034251120006</t>
  </si>
  <si>
    <t>PS25112009</t>
  </si>
  <si>
    <t>PS25112010</t>
  </si>
  <si>
    <t>FNA7-251107 / 1AJ11506</t>
  </si>
  <si>
    <t>PWI2-PRD-RO-251120-0023</t>
  </si>
  <si>
    <t>JW080-B</t>
  </si>
  <si>
    <t>12/11</t>
  </si>
  <si>
    <t>MYCSH001251120001</t>
  </si>
  <si>
    <t>MYCPW010251121001</t>
  </si>
  <si>
    <t>PS25112104</t>
  </si>
  <si>
    <t>PS25112105</t>
  </si>
  <si>
    <t>PS25112106</t>
  </si>
  <si>
    <t>U2025112388NB REPRO/130064037C</t>
  </si>
  <si>
    <t>U2025112388NB REPRO/130064046C</t>
  </si>
  <si>
    <t>U2025112356NB REPRO/135010033C</t>
  </si>
  <si>
    <t>M515873-4E</t>
  </si>
  <si>
    <t>U5740F2-D</t>
  </si>
  <si>
    <t>12/12</t>
  </si>
  <si>
    <t>12/5</t>
  </si>
  <si>
    <t>MYCMP034251121001</t>
  </si>
  <si>
    <t>MYCMP034251121002</t>
  </si>
  <si>
    <t>MYCMP034251121003</t>
  </si>
  <si>
    <t>PSC25112101</t>
  </si>
  <si>
    <t>N2025107589NB-DFLT FOC/135010034C</t>
  </si>
  <si>
    <t>BYCMP033251121001</t>
  </si>
  <si>
    <t>PSC25112103</t>
  </si>
  <si>
    <t>N2025107011NB FOC/101132310C</t>
  </si>
  <si>
    <t>BYCMP033251121003</t>
  </si>
  <si>
    <t>PSC25112104</t>
  </si>
  <si>
    <t>N2025096163NB FOC / 140192002C</t>
  </si>
  <si>
    <t>BYCMP033251121004</t>
  </si>
  <si>
    <t>PSC25112105</t>
  </si>
  <si>
    <t>N2025107518NB FOC / 135010229C</t>
  </si>
  <si>
    <t>BYCMP033251121005</t>
  </si>
  <si>
    <t xml:space="preserve">PO# 9919~7781-12-7-FOC ERP : 0583/PO-SAI/XI/2025	</t>
  </si>
  <si>
    <t>BYCSD047251124001</t>
  </si>
  <si>
    <t>PSC25112401</t>
  </si>
  <si>
    <t>PS25112404</t>
  </si>
  <si>
    <t>SFI-PRB-UO-251120-0009</t>
  </si>
  <si>
    <t xml:space="preserve">W603V1_LI	</t>
  </si>
  <si>
    <t>W6038GJ-B</t>
  </si>
  <si>
    <t>W6039DJ-B</t>
  </si>
  <si>
    <t>12/15</t>
  </si>
  <si>
    <t>MYCPW020251124001</t>
  </si>
  <si>
    <t>MYCPW020251124002</t>
  </si>
  <si>
    <t>PS25112501</t>
  </si>
  <si>
    <t>PO# 623O~7239-1-14-2 ERP : 0654/PO-SAI/XI/2025</t>
  </si>
  <si>
    <t>U480P1BB, U480P5K1</t>
  </si>
  <si>
    <t>W37399U</t>
  </si>
  <si>
    <t>W37330S</t>
  </si>
  <si>
    <t>MYCSD047251125001</t>
  </si>
  <si>
    <t>MYCSD047251125003</t>
  </si>
  <si>
    <t>MYCSD047251125004</t>
  </si>
  <si>
    <t>PSC25112501</t>
  </si>
  <si>
    <t>JB22511250001 FOC</t>
  </si>
  <si>
    <t>BYCLW001251125001</t>
  </si>
  <si>
    <t>MYCSD047251126001</t>
  </si>
  <si>
    <t>PS25112603</t>
  </si>
  <si>
    <t>PS25112604</t>
  </si>
  <si>
    <t>PS25112605</t>
  </si>
  <si>
    <t>PS25112606</t>
  </si>
  <si>
    <t>PWI2-PRD-UO-251125-0088</t>
  </si>
  <si>
    <t>U2025112551NB / 101132310C</t>
  </si>
  <si>
    <t>U2025112551NB / 130064051C</t>
  </si>
  <si>
    <t>U2025112551NB / 135010014C</t>
  </si>
  <si>
    <t>U204LMMC-D</t>
  </si>
  <si>
    <t>M5152YB-4E</t>
  </si>
  <si>
    <t>M5157I4-D</t>
  </si>
  <si>
    <t>12/17</t>
  </si>
  <si>
    <t>MYCPW010251126001</t>
  </si>
  <si>
    <t>MYCMP034251126001</t>
  </si>
  <si>
    <t>MYCMP034251126002</t>
  </si>
  <si>
    <t>MYCMP034251126003</t>
  </si>
  <si>
    <t>PS25112701</t>
  </si>
  <si>
    <t>U2025112586NB REPRO/135010046C</t>
  </si>
  <si>
    <t>MYCMP034251127001</t>
  </si>
  <si>
    <t>PS25112703</t>
  </si>
  <si>
    <t>PS25112704</t>
  </si>
  <si>
    <t>PS25112705</t>
  </si>
  <si>
    <t>PS25112706</t>
  </si>
  <si>
    <t>PS25112707</t>
  </si>
  <si>
    <t>PS25112708</t>
  </si>
  <si>
    <t>PS25112709</t>
  </si>
  <si>
    <t>PS25112710</t>
  </si>
  <si>
    <t>PS25112711</t>
  </si>
  <si>
    <t>PS25112712</t>
  </si>
  <si>
    <t>PS25112713</t>
  </si>
  <si>
    <t>PS25112718</t>
  </si>
  <si>
    <t>PS25112714</t>
  </si>
  <si>
    <t>PS25112715</t>
  </si>
  <si>
    <t>PS25112716</t>
  </si>
  <si>
    <t>PS25112717</t>
  </si>
  <si>
    <t>PS25112719</t>
  </si>
  <si>
    <t>N2025111191NB/101132310C</t>
  </si>
  <si>
    <t>N2025111191NB/108032186C</t>
  </si>
  <si>
    <t>N2025111191NB/108032194C</t>
  </si>
  <si>
    <t>N2025111191NB/108032208C</t>
  </si>
  <si>
    <t>N2025111191NB/135010014C</t>
  </si>
  <si>
    <t>N2025111191NB/135010046C</t>
  </si>
  <si>
    <t>N2025111191NB/135010168C</t>
  </si>
  <si>
    <t>N2025111191NB/135010229C</t>
  </si>
  <si>
    <t>N2025111191NB/140058002C</t>
  </si>
  <si>
    <t>N2025111191NB/140151104C</t>
  </si>
  <si>
    <t>N2025111191NB/140192010C</t>
  </si>
  <si>
    <t>N2025110660NB / 140192010C</t>
  </si>
  <si>
    <t>SFI-PRD-UO-251126-0055</t>
  </si>
  <si>
    <t>SFI-PRD-UO-251127-0001</t>
  </si>
  <si>
    <t>SFI-PRD-UO-251127-0002</t>
  </si>
  <si>
    <t>SFI-PRD-UO-251127-0003</t>
  </si>
  <si>
    <t xml:space="preserve">PO#9818~0552-1-15-1 ERP : 0826/PO-SAI/XI/2025	</t>
  </si>
  <si>
    <t>U574805-D</t>
  </si>
  <si>
    <t>NM440BNG-2E</t>
  </si>
  <si>
    <t>NM480MGC-2E</t>
  </si>
  <si>
    <t>UN508ANO</t>
  </si>
  <si>
    <t>U57465SG-D</t>
  </si>
  <si>
    <t>U5745DJ-D</t>
  </si>
  <si>
    <t>W574VA-B</t>
  </si>
  <si>
    <t>UN480HGB</t>
  </si>
  <si>
    <t>GC574V1, WL574V3	, ML574V3</t>
  </si>
  <si>
    <t>GC574EVW-M, WL574EVW-B, ML574EVW-2E</t>
  </si>
  <si>
    <t xml:space="preserve">U574V2	</t>
  </si>
  <si>
    <t>U5744M1-D</t>
  </si>
  <si>
    <t>U204L5YB-D</t>
  </si>
  <si>
    <t>U204LSC-D</t>
  </si>
  <si>
    <t>ML515BLK, WL515BLK</t>
  </si>
  <si>
    <t>W5156ZL</t>
  </si>
  <si>
    <t>W5159ZJ, W51511Y</t>
  </si>
  <si>
    <t>12/18</t>
  </si>
  <si>
    <t>MYCMP033251127001</t>
  </si>
  <si>
    <t>MYCMP033251127002</t>
  </si>
  <si>
    <t>MYCMP033251127003</t>
  </si>
  <si>
    <t>MYCMP033251127004</t>
  </si>
  <si>
    <t>MYCMP033251127005</t>
  </si>
  <si>
    <t>MYCMP033251127006</t>
  </si>
  <si>
    <t>MYCMP033251127007</t>
  </si>
  <si>
    <t>MYCMP033251127008</t>
  </si>
  <si>
    <t>MYCMP033251127009</t>
  </si>
  <si>
    <t>MYCMP033251127010</t>
  </si>
  <si>
    <t>MYCMP033251127011</t>
  </si>
  <si>
    <t>MYCPW020251127001</t>
  </si>
  <si>
    <t>MYCPW020251127002</t>
  </si>
  <si>
    <t>MYCPW020251127003</t>
  </si>
  <si>
    <t>MYCPW020251127004</t>
  </si>
  <si>
    <t>MYCPW020251127005</t>
  </si>
  <si>
    <t>MYCPW020251127006</t>
  </si>
  <si>
    <t>MYCPW020251127007</t>
  </si>
  <si>
    <t>MYCSD047251127001</t>
  </si>
  <si>
    <t>MYCSD047251127002</t>
  </si>
  <si>
    <t>MYCSD047251127003</t>
  </si>
  <si>
    <t>MYCSD047251127004</t>
  </si>
  <si>
    <t>PSC25112701</t>
  </si>
  <si>
    <t>PSC25112702</t>
  </si>
  <si>
    <t>FNA7-251029 FOC</t>
  </si>
  <si>
    <t xml:space="preserve">TORNADO (030-37-02)  </t>
  </si>
  <si>
    <t>BYCSH001251127001</t>
  </si>
  <si>
    <t>BYCMP033251127001</t>
  </si>
  <si>
    <t>MYCMP033251128004</t>
  </si>
  <si>
    <t>PS25112801</t>
  </si>
  <si>
    <t>PS25112802</t>
  </si>
  <si>
    <t>PS25112804</t>
  </si>
  <si>
    <t>PS25112805</t>
  </si>
  <si>
    <t>N2025111313NB/135010157C</t>
  </si>
  <si>
    <t>N2025111314NB/135010168C</t>
  </si>
  <si>
    <t>FNA7-251127-01</t>
  </si>
  <si>
    <t xml:space="preserve">NEW LINEN (034-84-05)  </t>
  </si>
  <si>
    <t>MYCMP033251128001</t>
  </si>
  <si>
    <t>MYCMP033251128002</t>
  </si>
  <si>
    <t>MYCMP033251128003</t>
  </si>
  <si>
    <t>MYCSH001251128001</t>
  </si>
  <si>
    <t>PSC25112801</t>
  </si>
  <si>
    <t>PSC25112803</t>
  </si>
  <si>
    <t>PO# 623O~7239-1-14-2 FOC</t>
  </si>
  <si>
    <t>N2025108686NB FOC/135010034C</t>
  </si>
  <si>
    <t>BYCSD047251128001</t>
  </si>
  <si>
    <t>BYCMP033251128001</t>
  </si>
  <si>
    <t>N2025111255/135010157C</t>
  </si>
  <si>
    <t>PS25120105</t>
  </si>
  <si>
    <t>PS25120106</t>
  </si>
  <si>
    <t>PS25120103</t>
  </si>
  <si>
    <t>PS25120107</t>
  </si>
  <si>
    <t>PS25120108</t>
  </si>
  <si>
    <t>PS25120104</t>
  </si>
  <si>
    <t>PS25120102</t>
  </si>
  <si>
    <t>N2025111401NB / 108032208C</t>
  </si>
  <si>
    <t>N2025111401NB/135010012C</t>
  </si>
  <si>
    <t>PWI2-PRD-RO-251128-0043</t>
  </si>
  <si>
    <t>PWA-PRD-UO-251128-0056</t>
  </si>
  <si>
    <t>PWA-PRD-UO-251128-0082</t>
  </si>
  <si>
    <t>PW25B0ADJ7/1AJ11506</t>
  </si>
  <si>
    <t>U2025112817NB REPRO/135010033C</t>
  </si>
  <si>
    <t>W574VY-B</t>
  </si>
  <si>
    <t>PS327FE-M, PS327FE-W</t>
  </si>
  <si>
    <t>12/22</t>
  </si>
  <si>
    <t>12/24</t>
  </si>
  <si>
    <t>12/19</t>
  </si>
  <si>
    <t>MYCMP033251201001</t>
  </si>
  <si>
    <t>MYCMP033251201002</t>
  </si>
  <si>
    <t>MYCPW010251201001</t>
  </si>
  <si>
    <t>MYCPW030251201001</t>
  </si>
  <si>
    <t>MYCPW030251201002</t>
  </si>
  <si>
    <t>MYCPW030251201003</t>
  </si>
  <si>
    <t>MYCSH001251201001</t>
  </si>
  <si>
    <t>MYCMP034251201002</t>
  </si>
  <si>
    <t>PS25120205</t>
  </si>
  <si>
    <t>SFI-PRB-UO-251201-0008</t>
  </si>
  <si>
    <t>CW 1030</t>
  </si>
  <si>
    <t>COLOR WINDOW GARRY D</t>
  </si>
  <si>
    <t>MYCPW020251202001</t>
  </si>
  <si>
    <t>PS25120208</t>
  </si>
  <si>
    <t>PS25120209</t>
  </si>
  <si>
    <t>U2025122859NB REPRO/101132310C</t>
  </si>
  <si>
    <t>U2025122859NB REPRO/130064051C</t>
  </si>
  <si>
    <t>MYCMP034251202001</t>
  </si>
  <si>
    <t>MYCMP034251202002</t>
  </si>
  <si>
    <t>PSC25120203</t>
  </si>
  <si>
    <t>N2025096163NB FOC / 140151064C</t>
  </si>
  <si>
    <t>BYCMP033251202001</t>
  </si>
  <si>
    <t>S25120201</t>
  </si>
  <si>
    <t>PWI2-DEV-SO-251202-0024</t>
  </si>
  <si>
    <t xml:space="preserve">MUSHROOM (028-47-06) COLORO      </t>
  </si>
  <si>
    <t>U204L2SZ</t>
  </si>
  <si>
    <t>U204L</t>
  </si>
  <si>
    <t>U204L4HH</t>
  </si>
  <si>
    <t>U204LMMA</t>
  </si>
  <si>
    <t>U204LMMB</t>
  </si>
  <si>
    <t>U204LMMC</t>
  </si>
  <si>
    <t>SYCPW010251202001</t>
  </si>
  <si>
    <t>SYCPW010251202002</t>
  </si>
  <si>
    <t>SYCPW010251202003</t>
  </si>
  <si>
    <t>SYCPW010251202004</t>
  </si>
  <si>
    <t>SYCPW010251202005</t>
  </si>
  <si>
    <t>SYCPW010251202006</t>
  </si>
  <si>
    <t>SYCPW010251202007</t>
  </si>
  <si>
    <t>PS25120302</t>
  </si>
  <si>
    <t>PS25120303</t>
  </si>
  <si>
    <t>PS25120304</t>
  </si>
  <si>
    <t>PWA-DEV-SO-251202-0008</t>
  </si>
  <si>
    <t>IB22511280202</t>
  </si>
  <si>
    <t>IB22511280203</t>
  </si>
  <si>
    <t>CW GARRY DU</t>
  </si>
  <si>
    <t>MYCPW030251203001</t>
  </si>
  <si>
    <t>MYCLW001251203001</t>
  </si>
  <si>
    <t>MYCLW001251203002</t>
  </si>
  <si>
    <t>PSC25120301</t>
  </si>
  <si>
    <t>PSC25120302</t>
  </si>
  <si>
    <t>PSC25120303</t>
  </si>
  <si>
    <t>4004098836 FOC</t>
  </si>
  <si>
    <t>U2025111960NB FOC/ 135010229C</t>
  </si>
  <si>
    <t>N2025108686NB FOC/108032228C</t>
  </si>
  <si>
    <t>BYCGS009251203001</t>
  </si>
  <si>
    <t>BYCMP033251203001</t>
  </si>
  <si>
    <t>10 MB020014275</t>
  </si>
  <si>
    <t>PS25120402</t>
  </si>
  <si>
    <t>JB22512040010</t>
  </si>
  <si>
    <t xml:space="preserve">CASTLEROCK (149-40-00)            </t>
  </si>
  <si>
    <t>1/5</t>
  </si>
  <si>
    <t>MYCLW001251204001</t>
  </si>
  <si>
    <t>PSC25120401</t>
  </si>
  <si>
    <t>PSC25120402</t>
  </si>
  <si>
    <t>PSC25120403</t>
  </si>
  <si>
    <t>N00092-1/N00100-30 FOC</t>
  </si>
  <si>
    <t>SFI-PRD-RO-251112-0014 FOC</t>
  </si>
  <si>
    <t>SFI-PRD-UO-251030-0118 FOC</t>
  </si>
  <si>
    <t>BYCHI024251204001</t>
  </si>
  <si>
    <t>BYCPW020251204001</t>
  </si>
  <si>
    <t>BYCPW020251204002</t>
  </si>
  <si>
    <t>BYCMP033251204001</t>
  </si>
  <si>
    <t>cancel order 12/9</t>
  </si>
  <si>
    <t>PS25120803</t>
  </si>
  <si>
    <t>PS25120804</t>
  </si>
  <si>
    <t>N2025121768NB REPRO/108032186C</t>
  </si>
  <si>
    <t>N2025121769NB REPRO/108032200C</t>
  </si>
  <si>
    <t>MYCMP033251208001</t>
  </si>
  <si>
    <t>MYCMP033251208002</t>
  </si>
  <si>
    <t>PS25120903</t>
  </si>
  <si>
    <t>PW25B089SJ / 1AJ11506</t>
  </si>
  <si>
    <t>MYCSH001251209001</t>
  </si>
  <si>
    <t>N2025111400NB-FOC/135010224C</t>
  </si>
  <si>
    <t>PS25121001</t>
  </si>
  <si>
    <t>PS25121002</t>
  </si>
  <si>
    <t>PS25121003</t>
  </si>
  <si>
    <t>PS25121006</t>
  </si>
  <si>
    <t>U2025123088NB/135010033C</t>
  </si>
  <si>
    <t>SFI-PRD-UO-251209-0005</t>
  </si>
  <si>
    <t>N2025122112NB / 135010034C</t>
  </si>
  <si>
    <t>PWI2-PRD-RO-251209-0019</t>
  </si>
  <si>
    <t>WL574XD2-B</t>
  </si>
  <si>
    <t>W603V1_LI</t>
  </si>
  <si>
    <t>W6038GJ - B</t>
  </si>
  <si>
    <t>U204L4HH-D</t>
  </si>
  <si>
    <t>1/7</t>
  </si>
  <si>
    <t>1/15</t>
  </si>
  <si>
    <t>MYCMP034251210001</t>
  </si>
  <si>
    <t>MYCPW020251210001</t>
  </si>
  <si>
    <t>MYCPW020251210002</t>
  </si>
  <si>
    <t>MYCMP033251210001</t>
  </si>
  <si>
    <t>MYCPW010251210001</t>
  </si>
  <si>
    <t>PS25121101</t>
  </si>
  <si>
    <t>PS25121102</t>
  </si>
  <si>
    <t>PS25121103</t>
  </si>
  <si>
    <t>PS25121106</t>
  </si>
  <si>
    <t>PS25121107</t>
  </si>
  <si>
    <t>PW25C02R8J / 1AJ11506</t>
  </si>
  <si>
    <t>PW25C02XEJ / 1AJ11506</t>
  </si>
  <si>
    <t>PW25C02XJJ / 1AJ11506</t>
  </si>
  <si>
    <t>N2025122151NB REPRO/135010152C</t>
  </si>
  <si>
    <t>U2025123150NB / 135010014C</t>
  </si>
  <si>
    <t>U5742KF-D</t>
  </si>
  <si>
    <t>W51550B-B</t>
  </si>
  <si>
    <t>1/8</t>
  </si>
  <si>
    <t>MYCSH001251211001</t>
  </si>
  <si>
    <t>MYCSH001251211002</t>
  </si>
  <si>
    <t>MYCSH001251211003</t>
  </si>
  <si>
    <t>MYCMP033251211001</t>
  </si>
  <si>
    <t>MYCMP034251211001</t>
  </si>
  <si>
    <t>PSC25121101</t>
  </si>
  <si>
    <t>PSC25121102</t>
  </si>
  <si>
    <t>SAMPLECONFIRM FOC</t>
  </si>
  <si>
    <t>12/25</t>
  </si>
  <si>
    <t>BYCMP034251211001</t>
  </si>
  <si>
    <t>BYCPW020251211001</t>
  </si>
  <si>
    <t>PS25121202</t>
  </si>
  <si>
    <t>PWA-PRD-UO-251211-0035</t>
  </si>
  <si>
    <t>1/9</t>
  </si>
  <si>
    <t>MYCPW030251212001</t>
  </si>
  <si>
    <t>PSC25121202</t>
  </si>
  <si>
    <t>PSC25121203</t>
  </si>
  <si>
    <t>PSC25121204</t>
  </si>
  <si>
    <t>N2025129512NBD-FOC / 101132310C</t>
  </si>
  <si>
    <t>N2025129512NBD-FOC / 140192002C</t>
  </si>
  <si>
    <t>PWI2-PRD-UO-251029-0129 FOC</t>
  </si>
  <si>
    <t>SKU:, SR:, ,</t>
  </si>
  <si>
    <t>BYCMP033251212001</t>
  </si>
  <si>
    <t>BYCMP033251212002</t>
  </si>
  <si>
    <t>BYCPW010251212001</t>
  </si>
  <si>
    <t>S25121201</t>
  </si>
  <si>
    <t>PW25C04M5J-NB DEV</t>
  </si>
  <si>
    <t>W0808VN</t>
  </si>
  <si>
    <t>W0804MM</t>
  </si>
  <si>
    <t>SYCSH001251212001</t>
  </si>
  <si>
    <t>SYCSH001251212002</t>
  </si>
  <si>
    <t>PS25121511</t>
  </si>
  <si>
    <t>PS25121512</t>
  </si>
  <si>
    <t>PS25121516</t>
  </si>
  <si>
    <t>N2025122231NB REPRO/108032228C</t>
  </si>
  <si>
    <t>PWI2-PRD-RO-251212-0029</t>
  </si>
  <si>
    <t>SFI-PRD-RO-251212-0036</t>
  </si>
  <si>
    <t>U204L5C-D</t>
  </si>
  <si>
    <t>1/12</t>
  </si>
  <si>
    <t>MYCMP033251215001</t>
  </si>
  <si>
    <t>MYCPW010251215001</t>
  </si>
  <si>
    <t>MYCPW020251215001</t>
  </si>
  <si>
    <t>MYCPW020251215002</t>
  </si>
  <si>
    <t>PS25121517</t>
  </si>
  <si>
    <t>PS25121602</t>
  </si>
  <si>
    <t>PS25121606</t>
  </si>
  <si>
    <t>J522-NB251212LS</t>
  </si>
  <si>
    <t xml:space="preserve">PO# 2864~7177-2-12 ERP : 0600/PO-SAI/XII/2025	</t>
  </si>
  <si>
    <t>MYCPW020251215003</t>
  </si>
  <si>
    <t>MYCSH001251216001</t>
  </si>
  <si>
    <t>MYCSD047251216001</t>
  </si>
  <si>
    <t>PS25121703</t>
  </si>
  <si>
    <t>PS25121705</t>
  </si>
  <si>
    <t>PS25121707</t>
  </si>
  <si>
    <t>PW25C05LKJ / 1AJ11506</t>
  </si>
  <si>
    <t>N2025129801NBD 135010034C</t>
  </si>
  <si>
    <t>PO#2864~7177-5-3 0601/PO-SAI/XII/2025</t>
  </si>
  <si>
    <t>W080-B</t>
  </si>
  <si>
    <t>1/14</t>
  </si>
  <si>
    <t>1/13</t>
  </si>
  <si>
    <t>MYCSH001251217001</t>
  </si>
  <si>
    <t>MYCMP033251217001</t>
  </si>
  <si>
    <t>MYCSD047251217001</t>
  </si>
  <si>
    <t>PSC25121701</t>
  </si>
  <si>
    <t>PSC25121702</t>
  </si>
  <si>
    <t>SFI-PRB-UO-251120-0009 FOC</t>
  </si>
  <si>
    <t>SFI-PRD-UO-251127-0001 FOC</t>
  </si>
  <si>
    <t>BYCPW020251217001</t>
  </si>
  <si>
    <t>BYCPW020251217002</t>
  </si>
  <si>
    <t>PS25121805</t>
  </si>
  <si>
    <t>PS25121806</t>
  </si>
  <si>
    <t>PS25121807</t>
  </si>
  <si>
    <t>PW25C068CJ/1AJ11506</t>
  </si>
  <si>
    <t>FNA7-251217P/1AJ11705</t>
  </si>
  <si>
    <t>PWA-PRD-UO-251218-0016</t>
  </si>
  <si>
    <t>MYCSH001251218001</t>
  </si>
  <si>
    <t>MYCSH001251218002</t>
  </si>
  <si>
    <t>MYCPW030251218001</t>
  </si>
  <si>
    <t>PSC25121801</t>
  </si>
  <si>
    <t>PSC25121802</t>
  </si>
  <si>
    <t>PSC25121803</t>
  </si>
  <si>
    <t>PSC25121804</t>
  </si>
  <si>
    <t>PSC25121805</t>
  </si>
  <si>
    <t>PSC25121806</t>
  </si>
  <si>
    <t>N2025108686NBFOC / 140192010C</t>
  </si>
  <si>
    <t>N2025096390NB FOC / 140192010C</t>
  </si>
  <si>
    <t>N2025108686NB FOC / 101132310C</t>
  </si>
  <si>
    <t>N2025108686NBFOC/140192002C</t>
  </si>
  <si>
    <t>N2025110100NB FOC / 135010229C</t>
  </si>
  <si>
    <t>N2025108686NBFOC/108032228C</t>
  </si>
  <si>
    <t>Optik Suede</t>
  </si>
  <si>
    <t xml:space="preserve">MAGIC BLUE (121-35-17)            </t>
  </si>
  <si>
    <t>BYCMP033251218001</t>
  </si>
  <si>
    <t>BYCMP033251218002</t>
  </si>
  <si>
    <t>BYCMP033251218003</t>
  </si>
  <si>
    <t>BYCMP033251218004</t>
  </si>
  <si>
    <t>BYCMP033251218005</t>
  </si>
  <si>
    <t>BYCMP033251218006</t>
  </si>
  <si>
    <t>S25121801</t>
  </si>
  <si>
    <t>S25121802</t>
  </si>
  <si>
    <t>S25121803</t>
  </si>
  <si>
    <t>PWI2-DEV-SO-251209-0072</t>
  </si>
  <si>
    <t>PWI2-PRD-RO-251217-0025</t>
  </si>
  <si>
    <t>PWI2-DEV-SO-251217-0059</t>
  </si>
  <si>
    <t xml:space="preserve">LINEN (034-84-05) COLORO       </t>
  </si>
  <si>
    <t>U204LMM</t>
  </si>
  <si>
    <t>U204L2SZ-D</t>
  </si>
  <si>
    <t>U204L155</t>
  </si>
  <si>
    <t>U204L42A</t>
  </si>
  <si>
    <t>SYCPW010251218001</t>
  </si>
  <si>
    <t>SYCPW010251218002</t>
  </si>
  <si>
    <t>SYCPW010251218003</t>
  </si>
  <si>
    <t>SYCPW010251218004</t>
  </si>
  <si>
    <t>SYCPW010251218005</t>
  </si>
  <si>
    <t>SYCPW010251218006</t>
  </si>
  <si>
    <t>SYCPW010251218007</t>
  </si>
  <si>
    <t>etd 01/06</t>
  </si>
  <si>
    <t>kirim 6 jan</t>
  </si>
  <si>
    <t>PS25121901</t>
  </si>
  <si>
    <t>PS25121902</t>
  </si>
  <si>
    <t>PS25121903</t>
  </si>
  <si>
    <t>PS25121907</t>
  </si>
  <si>
    <t>PS25121908</t>
  </si>
  <si>
    <t>PS25121905</t>
  </si>
  <si>
    <t>PS25121909</t>
  </si>
  <si>
    <t>U2025123333NB REPRO/130064046C</t>
  </si>
  <si>
    <t>U2025123288NB REPRO/130064051C</t>
  </si>
  <si>
    <t>N2025123288NB REPRO/135010014C</t>
  </si>
  <si>
    <t>U2025123554NB REPRO / 130064046C</t>
  </si>
  <si>
    <t>U2025123563NB REPRO/108032208C</t>
  </si>
  <si>
    <t>N2025122580NB / 108032186C</t>
  </si>
  <si>
    <t>SFI-PRB-UO-251219-0004</t>
  </si>
  <si>
    <t xml:space="preserve">REFLECTION (043-89-00)              </t>
  </si>
  <si>
    <t>M515714-D</t>
  </si>
  <si>
    <t>UN40BST</t>
  </si>
  <si>
    <t>MYCMP034251219001</t>
  </si>
  <si>
    <t>MYCMP034251219002</t>
  </si>
  <si>
    <t>MYCMP034251219003</t>
  </si>
  <si>
    <t>MYCMP034251219004</t>
  </si>
  <si>
    <t>MYCMP034251219005</t>
  </si>
  <si>
    <t>MYCMP033251219001</t>
  </si>
  <si>
    <t>MYCPW020251219001</t>
  </si>
  <si>
    <t>PSC25121901</t>
  </si>
  <si>
    <t>PWA-PRD-UO-251030-0007-0099FOC</t>
  </si>
  <si>
    <t>BYCPW030251219001</t>
  </si>
  <si>
    <t>S25121901</t>
  </si>
  <si>
    <t>PW25C07W1J-NB DEV / BB80V2</t>
  </si>
  <si>
    <t>G08030V; P0801SY; P08099V; I08037W</t>
  </si>
  <si>
    <t>SYCSH001251219001</t>
  </si>
  <si>
    <t>S25121902</t>
  </si>
  <si>
    <t>PW25C07W2J-NB DEV / BB80V2</t>
  </si>
  <si>
    <t>G0809VU; P0807WQ; P0806CN; I080700</t>
  </si>
  <si>
    <t>SYCSH001251219002</t>
  </si>
  <si>
    <t>PS25122210</t>
  </si>
  <si>
    <t>PS25122211</t>
  </si>
  <si>
    <t>PS25122212</t>
  </si>
  <si>
    <t>PS25122213</t>
  </si>
  <si>
    <t>PS25122216</t>
  </si>
  <si>
    <t>PS25122214</t>
  </si>
  <si>
    <t>N2025122763NB REPRO/135010136C</t>
  </si>
  <si>
    <t>N2025122807NB / 108032186C</t>
  </si>
  <si>
    <t>N2025122812NB / 135010157C</t>
  </si>
  <si>
    <t>N2025123108NB / 135010157C</t>
  </si>
  <si>
    <t>N2025123189NB / 135010033C</t>
  </si>
  <si>
    <t>PWI2-PRD-RO-251219-0031</t>
  </si>
  <si>
    <t>U5746SG-D</t>
  </si>
  <si>
    <t>1/16</t>
  </si>
  <si>
    <t>MYCMP033251222001</t>
  </si>
  <si>
    <t>MYCMP033251222002</t>
  </si>
  <si>
    <t>MYCMP033251222003</t>
  </si>
  <si>
    <t>MYCMP033251222004</t>
  </si>
  <si>
    <t>MYCMP033251222005</t>
  </si>
  <si>
    <t>MYCPW010251222001</t>
  </si>
  <si>
    <t>PS25122308</t>
  </si>
  <si>
    <t>PS25122310</t>
  </si>
  <si>
    <t>PS25122309</t>
  </si>
  <si>
    <t>PS25122311</t>
  </si>
  <si>
    <t>PS25122312</t>
  </si>
  <si>
    <t>PS25122313</t>
  </si>
  <si>
    <t>PS25122314</t>
  </si>
  <si>
    <t>PS25122315</t>
  </si>
  <si>
    <t>PS25122318</t>
  </si>
  <si>
    <t>U2025123717NB / 135010017C</t>
  </si>
  <si>
    <t>U2025123714NB REPRO/130064046C</t>
  </si>
  <si>
    <t>PO #9893~9617-2-14-A ERP : 0921/PO-SAI/XII/2025</t>
  </si>
  <si>
    <t xml:space="preserve">LINEN (034-84-05)  </t>
  </si>
  <si>
    <t>N2025123297NB / 135010012C</t>
  </si>
  <si>
    <t>N2025123297NB / 135010168C</t>
  </si>
  <si>
    <t>N2025123298NB / 135010012C</t>
  </si>
  <si>
    <t>N2025123298NB / 135010168C</t>
  </si>
  <si>
    <t>PWI2-PRD-RO-251223-0020</t>
  </si>
  <si>
    <t>4004122547</t>
  </si>
  <si>
    <t>M603V1_LI</t>
  </si>
  <si>
    <t>M603107-D</t>
  </si>
  <si>
    <t>M6032OD-D</t>
  </si>
  <si>
    <t>MYCMP034251223001</t>
  </si>
  <si>
    <t>MYCMP034251223002</t>
  </si>
  <si>
    <t>MYCSD047251223001</t>
  </si>
  <si>
    <t>MYCSD047251223002</t>
  </si>
  <si>
    <t>MYCMP033251223001</t>
  </si>
  <si>
    <t>MYCMP033251223002</t>
  </si>
  <si>
    <t>MYCMP033251223003</t>
  </si>
  <si>
    <t>MYCMP033251223004</t>
  </si>
  <si>
    <t>MYCPW010251223001</t>
  </si>
  <si>
    <t>MYCPW010251223002</t>
  </si>
  <si>
    <t>MYCGS009251223001</t>
  </si>
  <si>
    <t>MYCGS009251223002</t>
  </si>
  <si>
    <t>MYCGS009251223003</t>
  </si>
  <si>
    <t>MYCGS009251223004</t>
  </si>
  <si>
    <t>MYCGS009251223005</t>
  </si>
  <si>
    <t xml:space="preserve">10 MB020020035_x000D_
</t>
  </si>
  <si>
    <t xml:space="preserve">20 MB020019530_x000D_
_x000D_
</t>
  </si>
  <si>
    <t xml:space="preserve">30 MB020019530_x000D_
_x000D_
</t>
  </si>
  <si>
    <t xml:space="preserve">40 MB020020035_x000D_
_x000D_
_x000D_
</t>
  </si>
  <si>
    <t xml:space="preserve">50 MB020019530_x000D_
_x000D_
_x000D_
_x000D_
</t>
  </si>
  <si>
    <t>PSC25122302</t>
  </si>
  <si>
    <t>PSC25122303</t>
  </si>
  <si>
    <t>PSC25122304</t>
  </si>
  <si>
    <t>N20251210166NBD-FOC / 140151080C</t>
  </si>
  <si>
    <t>N20251210166NBD-FOC / 108032186C</t>
  </si>
  <si>
    <t>N20251210166NBD-FOC / 140151046C</t>
  </si>
  <si>
    <t>BYCMP033251223006</t>
  </si>
  <si>
    <t>BYCMP033251223007</t>
  </si>
  <si>
    <t>BYCMP033251223008</t>
  </si>
  <si>
    <t>PS25122401</t>
  </si>
  <si>
    <t>PS25122402</t>
  </si>
  <si>
    <t>PWI2-PRD-RO-251223-0045</t>
  </si>
  <si>
    <t>PWI2-PRB-UO-251223-0030</t>
  </si>
  <si>
    <t xml:space="preserve">TIMBERWOLF (032-76-04) COLORO       </t>
  </si>
  <si>
    <t>MTTTRSLG-D</t>
  </si>
  <si>
    <t xml:space="preserve">U204LV1		</t>
  </si>
  <si>
    <t xml:space="preserve">MTTTRSV1		</t>
  </si>
  <si>
    <t>1/19</t>
  </si>
  <si>
    <t>MYCPW010251224001</t>
  </si>
  <si>
    <t>MYCPW010251224002</t>
  </si>
  <si>
    <t>MYCPW010251224003</t>
  </si>
  <si>
    <t>MYCPW010251224004</t>
  </si>
  <si>
    <t>MYCPW010251224005</t>
  </si>
  <si>
    <t>MYCPW010251224006</t>
  </si>
  <si>
    <t>MYCPW010251224007</t>
  </si>
  <si>
    <t>PSC25122403</t>
  </si>
  <si>
    <t>PSC25122404</t>
  </si>
  <si>
    <t>PSC25122405</t>
  </si>
  <si>
    <t>U2025112551NB FOC / 101132310C</t>
  </si>
  <si>
    <t>U2025112551NB FOC/135010014C</t>
  </si>
  <si>
    <t>PWA-PRD-UO-251128-0082 FOC</t>
  </si>
  <si>
    <t>BYCMP034251224001</t>
  </si>
  <si>
    <t>BYCMP034251224002</t>
  </si>
  <si>
    <t>BYCPW030251224001</t>
  </si>
  <si>
    <t>PS25122901</t>
  </si>
  <si>
    <t>PS25122902</t>
  </si>
  <si>
    <t>PS25122903</t>
  </si>
  <si>
    <t>PS25122904</t>
  </si>
  <si>
    <t>PS25122905</t>
  </si>
  <si>
    <t>PS25122919</t>
  </si>
  <si>
    <t>PS25122920</t>
  </si>
  <si>
    <t>PS25122921</t>
  </si>
  <si>
    <t>PS25122922</t>
  </si>
  <si>
    <t>PS25122923</t>
  </si>
  <si>
    <t>PS25122924</t>
  </si>
  <si>
    <t>PS25122908</t>
  </si>
  <si>
    <t>PS25122917</t>
  </si>
  <si>
    <t>PS25122909</t>
  </si>
  <si>
    <t>PS25122911</t>
  </si>
  <si>
    <t>PS25122912</t>
  </si>
  <si>
    <t>PS25122913</t>
  </si>
  <si>
    <t>PS25122914</t>
  </si>
  <si>
    <t>PS25122915</t>
  </si>
  <si>
    <t>PS25122918</t>
  </si>
  <si>
    <t>PS25122910</t>
  </si>
  <si>
    <t>PS25122925</t>
  </si>
  <si>
    <t>PS25122927</t>
  </si>
  <si>
    <t>N2025123538NB/108032186C</t>
  </si>
  <si>
    <t>N2025123538NB/135010034C</t>
  </si>
  <si>
    <t>N2025123538NB/140058002C</t>
  </si>
  <si>
    <t>N2025123538NB/140151104C</t>
  </si>
  <si>
    <t>N2025123537NB-DFLT/108032186C</t>
  </si>
  <si>
    <t>N2025123988NB/140058002C</t>
  </si>
  <si>
    <t>N2025123986NB/108032186C</t>
  </si>
  <si>
    <t>N2025123986NB/135010034C</t>
  </si>
  <si>
    <t>N2025123973NB/108032186C</t>
  </si>
  <si>
    <t>N2025123973NB/135010034C</t>
  </si>
  <si>
    <t>N2025123973NB/140151104C</t>
  </si>
  <si>
    <t>PWI2-PRD-UO-251224-0057</t>
  </si>
  <si>
    <t>PWI2-PRD-UO-251226-0219</t>
  </si>
  <si>
    <t>PO#9893-9617-2-14-2-A ERP : 1101/PO-SAI/XII/2025</t>
  </si>
  <si>
    <t>PWA-PRD-UO-251225-0225</t>
  </si>
  <si>
    <t>PWA-PRD-UO-251225-0221</t>
  </si>
  <si>
    <t>SFI-PRD-UO-251226-0166</t>
  </si>
  <si>
    <t>SFI-PRD-UO-251226-0164</t>
  </si>
  <si>
    <t>SFI-PRD-UO-251229-0024</t>
  </si>
  <si>
    <t>BLK2763/25 - 8857839</t>
  </si>
  <si>
    <t>PW25C0FDEJPREMIUM</t>
  </si>
  <si>
    <t>H115607-Premium</t>
  </si>
  <si>
    <t>PW2C0GKNJ-PREMIUM/1AJ11506</t>
  </si>
  <si>
    <t xml:space="preserve">CASTLEROCK (149-40-00)   </t>
  </si>
  <si>
    <t xml:space="preserve">TIMBERWOLF (032-76-04) COLORO         </t>
  </si>
  <si>
    <t>UN340YRW</t>
  </si>
  <si>
    <t>Y306BSD-M</t>
  </si>
  <si>
    <t>UN480BST</t>
  </si>
  <si>
    <t>UN1010A</t>
  </si>
  <si>
    <t>MTTRSLG-D</t>
  </si>
  <si>
    <t>MTTRSLK-2E</t>
  </si>
  <si>
    <t>U204L8D3-D</t>
  </si>
  <si>
    <t>W37330S, M373253</t>
  </si>
  <si>
    <t>U3732LL</t>
  </si>
  <si>
    <t>W515901, U480P8YG</t>
  </si>
  <si>
    <t>M5327V1</t>
  </si>
  <si>
    <t>M5327CTB-D</t>
  </si>
  <si>
    <t>MS327V1</t>
  </si>
  <si>
    <t>M515V3</t>
  </si>
  <si>
    <t>M515917-D</t>
  </si>
  <si>
    <t>UTILITY2</t>
  </si>
  <si>
    <t>8ZG</t>
  </si>
  <si>
    <t>1/23</t>
  </si>
  <si>
    <t>MYCMP033251229001</t>
  </si>
  <si>
    <t>MYCMP033251229002</t>
  </si>
  <si>
    <t>MYCMP033251229003</t>
  </si>
  <si>
    <t>MYCMP033251229004</t>
  </si>
  <si>
    <t>MYCMP033251229005</t>
  </si>
  <si>
    <t>MYCMP033251229006</t>
  </si>
  <si>
    <t>MYCMP033251229007</t>
  </si>
  <si>
    <t>MYCMP033251229008</t>
  </si>
  <si>
    <t>MYCMP033251229009</t>
  </si>
  <si>
    <t>MYCMP033251229010</t>
  </si>
  <si>
    <t>MYCMP033251229011</t>
  </si>
  <si>
    <t>MYCPW010251229001</t>
  </si>
  <si>
    <t>MYCPW010251229002</t>
  </si>
  <si>
    <t>MYCPW010251229003</t>
  </si>
  <si>
    <t>MYCPW010251229004</t>
  </si>
  <si>
    <t>MYCSD047251229001</t>
  </si>
  <si>
    <t>MYCSD047251229002</t>
  </si>
  <si>
    <t>MYCSD047251229003</t>
  </si>
  <si>
    <t>MYCSD047251229004</t>
  </si>
  <si>
    <t>MYCPW030251229001</t>
  </si>
  <si>
    <t>MYCPW030251229003</t>
  </si>
  <si>
    <t>MYCPW020251229001</t>
  </si>
  <si>
    <t>MYCPW020251229002</t>
  </si>
  <si>
    <t>MYCPW020251229003</t>
  </si>
  <si>
    <t>MYCSL045251229001</t>
  </si>
  <si>
    <t>MYCSH001251229001</t>
  </si>
  <si>
    <t>MYCSH001251229002</t>
  </si>
  <si>
    <t>MYCSH001251229003</t>
  </si>
  <si>
    <t>PSC25122901</t>
  </si>
  <si>
    <t>PSC25122902</t>
  </si>
  <si>
    <t>PSC25122903</t>
  </si>
  <si>
    <t>PSC25122904</t>
  </si>
  <si>
    <t>PSC25122905</t>
  </si>
  <si>
    <t>PSC25122906</t>
  </si>
  <si>
    <t>PSC25122908</t>
  </si>
  <si>
    <t>FNA7-251127-01 FOC</t>
  </si>
  <si>
    <t>PW25B0ADJ7 FOC</t>
  </si>
  <si>
    <t>SFI-PRD-UO-251126-0055 FOC</t>
  </si>
  <si>
    <t>N2025111313NB FOC / 135010157C</t>
  </si>
  <si>
    <t>JB22512290027 FOC</t>
  </si>
  <si>
    <t>W080 (B)</t>
  </si>
  <si>
    <t>BYCSH001251229001</t>
  </si>
  <si>
    <t>BYCSH001251229002</t>
  </si>
  <si>
    <t>BYCPW020251229001</t>
  </si>
  <si>
    <t>BYCPW020251229002</t>
  </si>
  <si>
    <t>BYCPW020251229003</t>
  </si>
  <si>
    <t>BYCMP033251229001</t>
  </si>
  <si>
    <t>BYCLR028251229001</t>
  </si>
  <si>
    <t>PS25123001</t>
  </si>
  <si>
    <t>PS25123002</t>
  </si>
  <si>
    <t>PS25123003</t>
  </si>
  <si>
    <t>BLK2770/25 - 8857839</t>
  </si>
  <si>
    <t>J545-NB251230LS/1AJ11167</t>
  </si>
  <si>
    <t>SFI-PRD-UO-251230-0002</t>
  </si>
  <si>
    <t xml:space="preserve">CASTLEROCK (149-40-00)     </t>
  </si>
  <si>
    <t>1/20</t>
  </si>
  <si>
    <t>MYCSL045251230001</t>
  </si>
  <si>
    <t>MYCSH001251230001</t>
  </si>
  <si>
    <t>MYCPW020251230001</t>
  </si>
  <si>
    <t>PSC25123001</t>
  </si>
  <si>
    <t>PSC25123002</t>
  </si>
  <si>
    <t>PSC25123003</t>
  </si>
  <si>
    <t>PSC25123004</t>
  </si>
  <si>
    <t>N2025111191NBFOC/135010046C</t>
  </si>
  <si>
    <t>N2025111401NBFOC/135010012C</t>
  </si>
  <si>
    <t>N2025111313NB FOC/135010157C</t>
  </si>
  <si>
    <t>N2025111191NBFOC/140151104C</t>
  </si>
  <si>
    <t>BYCMP033251230001</t>
  </si>
  <si>
    <t>BYCMP033251230002</t>
  </si>
  <si>
    <t>BYCMP033251230003</t>
  </si>
  <si>
    <t>BYCMP033251230004</t>
  </si>
  <si>
    <t>S25123001</t>
  </si>
  <si>
    <t>PW25C0H85J-NB DEV</t>
  </si>
  <si>
    <t>G08030V</t>
  </si>
  <si>
    <t>SYCSH001251230001</t>
  </si>
  <si>
    <t>SYCSH001251230002</t>
  </si>
  <si>
    <t>PWI2</t>
  </si>
  <si>
    <t>PS25123101</t>
  </si>
  <si>
    <t>PS25123102</t>
  </si>
  <si>
    <t>PS25123103</t>
  </si>
  <si>
    <t>PWA-PRD-UO-251231-0001</t>
  </si>
  <si>
    <t>PWA-PRD-UO-251230-0009</t>
  </si>
  <si>
    <t>PWA-PRD-UO-251230-0014</t>
  </si>
  <si>
    <t xml:space="preserve">MS327CBW-D	</t>
  </si>
  <si>
    <t>GS327FE-M/GS327FE-W</t>
  </si>
  <si>
    <t>GS327FE-M, PS327FE-M</t>
  </si>
  <si>
    <t>MYCPW030251231001</t>
  </si>
  <si>
    <t>MYCPW030251231002</t>
  </si>
  <si>
    <t>MYCPW030251231003</t>
  </si>
  <si>
    <t>PSC25123101</t>
  </si>
  <si>
    <t>PSC25123102</t>
  </si>
  <si>
    <t>N2025111191NBFOC/135010168C</t>
  </si>
  <si>
    <t>N2025111191NBFOC/108032208C</t>
  </si>
  <si>
    <t xml:space="preserve">LINEN (034-84-05) COLORO         </t>
  </si>
  <si>
    <t xml:space="preserve">REFLECTION (043-89-00)                </t>
  </si>
  <si>
    <t>BYCMP033251231001</t>
  </si>
  <si>
    <t>BYCMP033251231002</t>
  </si>
  <si>
    <t>PICK UP 01/08</t>
  </si>
  <si>
    <t>PS26010501</t>
  </si>
  <si>
    <t>PS26010502</t>
  </si>
  <si>
    <t>PS26010503</t>
  </si>
  <si>
    <t>PS26010504</t>
  </si>
  <si>
    <t>PS26010505</t>
  </si>
  <si>
    <t>PS26010506</t>
  </si>
  <si>
    <t>IB22601050001</t>
  </si>
  <si>
    <t>H122547PREM/1AJ11167</t>
  </si>
  <si>
    <t>N2026010017NB/108032186C</t>
  </si>
  <si>
    <t>PO #9893~9617-2-12-A ERP : 0601/PO-SAI/XII/2025</t>
  </si>
  <si>
    <t xml:space="preserve">PO#8131~F138-3-8-A ERP : 0032/PO-SAI/I/2026	</t>
  </si>
  <si>
    <t>U2025124451NB/130064046C</t>
  </si>
  <si>
    <t xml:space="preserve">CASTLEROCK (149-40-00)       </t>
  </si>
  <si>
    <t>JM0808ZG-D 8ZG</t>
  </si>
  <si>
    <t>UN306CXW</t>
  </si>
  <si>
    <t>1/26</t>
  </si>
  <si>
    <t>MYCLW001260105001</t>
  </si>
  <si>
    <t>MYCLW001260105002</t>
  </si>
  <si>
    <t>MYCSH001260105001</t>
  </si>
  <si>
    <t>MYCMP033260105001</t>
  </si>
  <si>
    <t>MYCSD047260105001</t>
  </si>
  <si>
    <t>MYCSD047260105002</t>
  </si>
  <si>
    <t>MYCMP034260105001</t>
  </si>
  <si>
    <t>PSC26010501</t>
  </si>
  <si>
    <t>PSC26010502</t>
  </si>
  <si>
    <t>U2026010008NB-FOC/135010015C</t>
  </si>
  <si>
    <t xml:space="preserve">NB NAVY (124-23-11)          </t>
  </si>
  <si>
    <t>BYCMP034260105001</t>
  </si>
  <si>
    <t>BYCMP033260105001</t>
  </si>
  <si>
    <t>udah minta kamisah untuk packing kesini 01/06</t>
  </si>
  <si>
    <t>PS26010601</t>
  </si>
  <si>
    <t>PS26010602</t>
  </si>
  <si>
    <t>BLK091/26-8857839</t>
  </si>
  <si>
    <t>UTILITY2 U19064J0</t>
  </si>
  <si>
    <t>1/27</t>
  </si>
  <si>
    <t>MYCGS009260106001</t>
  </si>
  <si>
    <t>MYCSL045260106001</t>
  </si>
  <si>
    <t>S26010601</t>
  </si>
  <si>
    <t>PW25C0G22J/BB80V2</t>
  </si>
  <si>
    <t>SYCSH001260106001</t>
  </si>
  <si>
    <t xml:space="preserve">TORNADO (030-37-02) COLORO  </t>
  </si>
  <si>
    <t>QYCPW010260106001</t>
  </si>
  <si>
    <t>Cashmere Suede</t>
  </si>
  <si>
    <t>SYQMP033260106001</t>
  </si>
  <si>
    <t>SPRAY FOLLOW C/S</t>
  </si>
  <si>
    <t>SPRAY FOLLOW MCS</t>
  </si>
  <si>
    <t>RYAN</t>
  </si>
  <si>
    <t>THICKNESS 1.4-1.6 QTY 3323.9 SF</t>
  </si>
  <si>
    <t xml:space="preserve">THICKNESS 1.4-1.6  </t>
  </si>
  <si>
    <t>PICK UP 01/07</t>
  </si>
  <si>
    <t>PSC26010701</t>
  </si>
  <si>
    <t>1/21</t>
  </si>
  <si>
    <t>BYCPW020260107001</t>
  </si>
  <si>
    <t>S26010702</t>
  </si>
  <si>
    <t>PWI2-DEV-SO-260106-0037</t>
  </si>
  <si>
    <t>W603</t>
  </si>
  <si>
    <t>W6034CF</t>
  </si>
  <si>
    <t>SYCPW010260107001</t>
  </si>
  <si>
    <t>S25122901</t>
  </si>
  <si>
    <t>PW25C0G22J-NB DEV</t>
  </si>
  <si>
    <t>SYCSH001251229001</t>
  </si>
  <si>
    <t>PWI2-PRD-RO-250807-0028</t>
  </si>
  <si>
    <t>PSR26010601</t>
  </si>
  <si>
    <t>SR26010601</t>
  </si>
  <si>
    <t>MASTER RETURN (KRISTINA)</t>
  </si>
  <si>
    <t>Neptune Grey(138-39-02)</t>
  </si>
  <si>
    <t>N2025120488NBD-FOC</t>
  </si>
  <si>
    <t>PS26010901</t>
  </si>
  <si>
    <t>PS26010902</t>
  </si>
  <si>
    <t xml:space="preserve">PO#958T~1445-3-13 ERP : 0374/PO-SAI/I/2026	</t>
  </si>
  <si>
    <t>PWI2-PRD-UO-260108-0064</t>
  </si>
  <si>
    <t>1/29</t>
  </si>
  <si>
    <t>MYCSD047260109001</t>
  </si>
  <si>
    <t>MYCSD047260109002</t>
  </si>
  <si>
    <t>MYCPW010260109001</t>
  </si>
  <si>
    <t>PSR26010901</t>
  </si>
  <si>
    <t>IDNB10685</t>
  </si>
  <si>
    <t xml:space="preserve">THUNDER-BROWN (029-44-05)  </t>
  </si>
  <si>
    <t>QYCDI024260109001</t>
  </si>
  <si>
    <t>BU ONA</t>
  </si>
  <si>
    <t>WRONG MATERIAL SEND</t>
  </si>
  <si>
    <t>KIRIM MATERIAL PENGGANTI DARI THCN, THCN SALAH KIRIM MATERIAL KE DIAMOND ACTUALNYA CORTADO</t>
  </si>
  <si>
    <t>PS26011202</t>
  </si>
  <si>
    <t>PS26011203</t>
  </si>
  <si>
    <t>PS26011204</t>
  </si>
  <si>
    <t>U2026010358NB REPRO/130064046C</t>
  </si>
  <si>
    <t>N2026011026NB/135010157C</t>
  </si>
  <si>
    <t>N2026011025NB/135010132C</t>
  </si>
  <si>
    <t>U574605-D</t>
  </si>
  <si>
    <t>MYCMP034260112001</t>
  </si>
  <si>
    <t>MYCMP033260112001</t>
  </si>
  <si>
    <t>MYCMP033260112002</t>
  </si>
  <si>
    <t>PSC26011201</t>
  </si>
  <si>
    <t>PSC26011202</t>
  </si>
  <si>
    <t>PSC26011203</t>
  </si>
  <si>
    <t>007/SAI-THIN-S/2025</t>
  </si>
  <si>
    <t>PW25C05LKJ / 1AJ11506  FOC</t>
  </si>
  <si>
    <t>N2025123189NB-FOC/ 135010033C</t>
  </si>
  <si>
    <t xml:space="preserve">TIMBERWOLF (032-76-04) COLORO           </t>
  </si>
  <si>
    <t>BYCSD047260112001</t>
  </si>
  <si>
    <t>BYCSD047260112002</t>
  </si>
  <si>
    <t>BYCSD047260112003</t>
  </si>
  <si>
    <t>BYCSD047260112004</t>
  </si>
  <si>
    <t>BYCSD047260112005</t>
  </si>
  <si>
    <t>BYCSD047260112006</t>
  </si>
  <si>
    <t>BYCSH001260112001</t>
  </si>
  <si>
    <t>BYCMP033260112001</t>
  </si>
  <si>
    <t>PS26011301</t>
  </si>
  <si>
    <t>PS26011302</t>
  </si>
  <si>
    <t>PS26011303</t>
  </si>
  <si>
    <t>PS26011304</t>
  </si>
  <si>
    <t>PS26011305</t>
  </si>
  <si>
    <t>PS26011306</t>
  </si>
  <si>
    <t>PS26011307</t>
  </si>
  <si>
    <t>PS26011308</t>
  </si>
  <si>
    <t>PS26011309</t>
  </si>
  <si>
    <t>PS26011310</t>
  </si>
  <si>
    <t>PS26011311</t>
  </si>
  <si>
    <t>PS26011312</t>
  </si>
  <si>
    <t>IB22601120067</t>
  </si>
  <si>
    <t>PW26101TWJ/1AJ11167</t>
  </si>
  <si>
    <t>PW26101U0J / 1AJ11167</t>
  </si>
  <si>
    <t>PW2610TVJ / 1AJ11167</t>
  </si>
  <si>
    <t>PW26101TPJ / 1AJ11167</t>
  </si>
  <si>
    <t>JBO2601120084</t>
  </si>
  <si>
    <t>JBO2601120085</t>
  </si>
  <si>
    <t>U2026010700NB/135010017C</t>
  </si>
  <si>
    <t>PWI2-PRD-RO-260113-0019</t>
  </si>
  <si>
    <t>U2026010722NB/135010012C</t>
  </si>
  <si>
    <t>U2026010722NB/135010132C</t>
  </si>
  <si>
    <t>U2026010722NB/135010233C</t>
  </si>
  <si>
    <t xml:space="preserve">NEW STONEWARE 034-62-06  </t>
  </si>
  <si>
    <t>U530SCB (FIN)</t>
  </si>
  <si>
    <t>JM0808ZG-D</t>
  </si>
  <si>
    <t>M0808ZG-D</t>
  </si>
  <si>
    <t>JP0809G3-M</t>
  </si>
  <si>
    <t>P0809G3-M</t>
  </si>
  <si>
    <t>U204LMMA-D</t>
  </si>
  <si>
    <t>U5746O5-D</t>
  </si>
  <si>
    <t>U5746SG-D,W5746J3-B,W574VA-B</t>
  </si>
  <si>
    <t>1/28</t>
  </si>
  <si>
    <t>2/3</t>
  </si>
  <si>
    <t>MYCLW001260113001</t>
  </si>
  <si>
    <t>MYCSH001260113001</t>
  </si>
  <si>
    <t>MYCSH001260113002</t>
  </si>
  <si>
    <t>MYCSH001260113003</t>
  </si>
  <si>
    <t>MYCSH001260113004</t>
  </si>
  <si>
    <t>MYCLR028260113001</t>
  </si>
  <si>
    <t>MYCLR028260113002</t>
  </si>
  <si>
    <t>MYCMP034260113001</t>
  </si>
  <si>
    <t>MYCPW010260113001</t>
  </si>
  <si>
    <t>MYCPW010260113002</t>
  </si>
  <si>
    <t>MYCPW010260113003</t>
  </si>
  <si>
    <t>MYCPW010260113004</t>
  </si>
  <si>
    <t>MYCPW010260113005</t>
  </si>
  <si>
    <t>MYCMP034260113002</t>
  </si>
  <si>
    <t>MYCMP034260113003</t>
  </si>
  <si>
    <t>MYCMP034260113004</t>
  </si>
  <si>
    <t>PSC26011301</t>
  </si>
  <si>
    <t>U2025112551NB-FOC2/101132310C</t>
  </si>
  <si>
    <t>BYCMP034260113001</t>
  </si>
  <si>
    <t>S26011301</t>
  </si>
  <si>
    <t>N20260100209NBD/135010033C</t>
  </si>
  <si>
    <t>SYCMP033260113001</t>
  </si>
  <si>
    <t>S26011302</t>
  </si>
  <si>
    <t>N20260100209NBD/135010130C</t>
  </si>
  <si>
    <t xml:space="preserve">DRIFTWOOD (022-60-08)  </t>
  </si>
  <si>
    <t>SYCMP033260113002</t>
  </si>
  <si>
    <t>S26011303</t>
  </si>
  <si>
    <t>N20260100208NBD/108032190C</t>
  </si>
  <si>
    <t>SYCMP033260113003</t>
  </si>
  <si>
    <t>S26011304</t>
  </si>
  <si>
    <t>N20260100208NBD/140151052C</t>
  </si>
  <si>
    <t>SYCMP033260113004</t>
  </si>
  <si>
    <t>S26011305</t>
  </si>
  <si>
    <t>N20260100208NBD/140151158C</t>
  </si>
  <si>
    <t>SYCMP033260113005</t>
  </si>
  <si>
    <t>S26011306</t>
  </si>
  <si>
    <t>N20260100207NBD/135010033C</t>
  </si>
  <si>
    <t>SYCMP033260113006</t>
  </si>
  <si>
    <t>S26011307</t>
  </si>
  <si>
    <t>N20260100207NBD/135010034C</t>
  </si>
  <si>
    <t>SYCMP033260113007</t>
  </si>
  <si>
    <t>S26011308</t>
  </si>
  <si>
    <t>N20260100207NBD/135010038C</t>
  </si>
  <si>
    <t>SYCMP033260113008</t>
  </si>
  <si>
    <t>LONGWELL</t>
  </si>
  <si>
    <t>PS26011401</t>
  </si>
  <si>
    <t>PS26011402</t>
  </si>
  <si>
    <t>PS26011403</t>
  </si>
  <si>
    <t>U2026010678NB/135010033C</t>
  </si>
  <si>
    <t>U2026010701NB REPRO/135010132C</t>
  </si>
  <si>
    <t>N2026011102NB/135010033C</t>
  </si>
  <si>
    <t>MYCMP034260114001</t>
  </si>
  <si>
    <t>MYCMP034260114002</t>
  </si>
  <si>
    <t>MYCMP033260114001</t>
  </si>
  <si>
    <t>PSC26011402</t>
  </si>
  <si>
    <t>PSC26011403</t>
  </si>
  <si>
    <t>N2025111191NBFOC /108032194C</t>
  </si>
  <si>
    <t>N2025121768NBFOC / 108032186C</t>
  </si>
  <si>
    <t>BYCMP033260114001</t>
  </si>
  <si>
    <t>BYCMP033260114002</t>
  </si>
  <si>
    <t>BYCLW001260114001</t>
  </si>
  <si>
    <t>request ETD 01/20</t>
  </si>
  <si>
    <t>PS26011501</t>
  </si>
  <si>
    <t>PS26011502</t>
  </si>
  <si>
    <t>PS26011503</t>
  </si>
  <si>
    <t>BLK254/26-8857839</t>
  </si>
  <si>
    <t>U2026010678NB/130064046C</t>
  </si>
  <si>
    <t>U2026010678NB/135010012C</t>
  </si>
  <si>
    <t xml:space="preserve">CASTLEROCK (149-40-00)         </t>
  </si>
  <si>
    <t>1/22</t>
  </si>
  <si>
    <t>MYCSL045260115001</t>
  </si>
  <si>
    <t>MYCMP034260115001</t>
  </si>
  <si>
    <t>MYCMP034260115002</t>
  </si>
  <si>
    <t>PSC26011501</t>
  </si>
  <si>
    <t>PSC26011502</t>
  </si>
  <si>
    <t>U2025123150NBFOC/135010014C</t>
  </si>
  <si>
    <t>N2025111313NBFOC/135010157C</t>
  </si>
  <si>
    <t>BYCMP034260115001</t>
  </si>
  <si>
    <t>BYCMP033260115001</t>
  </si>
  <si>
    <t>PSR26011501</t>
  </si>
  <si>
    <t>PSR26011502</t>
  </si>
  <si>
    <t>PWI2-DEV-SO-251125-0071</t>
  </si>
  <si>
    <t>PWI2-DEV-SO-251126-0015</t>
  </si>
  <si>
    <t xml:space="preserve">BLACK CEMENT COLORO (008-24-00)  </t>
  </si>
  <si>
    <t xml:space="preserve">ORCHID AID COLORO (144-82-09)  </t>
  </si>
  <si>
    <t>REJECT TOO RED</t>
  </si>
  <si>
    <t>REJECT TOO LIGHT</t>
  </si>
  <si>
    <t>MCS</t>
  </si>
  <si>
    <t>QYCPW010260115001</t>
  </si>
  <si>
    <t>QYCPW010260115002</t>
  </si>
  <si>
    <t>KIRIM BALIK TANPA TREATMENT 01/19</t>
  </si>
  <si>
    <t>PSR26011902</t>
  </si>
  <si>
    <t>NH2025119159NB-FOC/135010272C</t>
  </si>
  <si>
    <t>QYCMP033260119002</t>
  </si>
  <si>
    <t>NEW BAYBERRY</t>
  </si>
  <si>
    <t>COLOR REJECT TOO YELLOW</t>
  </si>
  <si>
    <t>PS26011901</t>
  </si>
  <si>
    <t>PS26011902</t>
  </si>
  <si>
    <t>PS26011903</t>
  </si>
  <si>
    <t>N2026011233NBREPRO/108032186C</t>
  </si>
  <si>
    <t>N2026011233NBREPRO/108032194C</t>
  </si>
  <si>
    <t>N2026011267NBREPRO/135010033C</t>
  </si>
  <si>
    <t>UN600PPL</t>
  </si>
  <si>
    <t>UN306CYZ</t>
  </si>
  <si>
    <t>U9060ECA-D</t>
  </si>
  <si>
    <t>2/2</t>
  </si>
  <si>
    <t>MYCMP033260119001</t>
  </si>
  <si>
    <t>MYCMP033260119002</t>
  </si>
  <si>
    <t>MYCMP033260119003</t>
  </si>
  <si>
    <t>PSC26011902</t>
  </si>
  <si>
    <t>PSC26011903</t>
  </si>
  <si>
    <t>SFI-PRD-UO-251127-0002 FOC</t>
  </si>
  <si>
    <t>BYCPW020260119001</t>
  </si>
  <si>
    <t>BYCPW020260119002</t>
  </si>
  <si>
    <t>PS26012101</t>
  </si>
  <si>
    <t>PS26012102</t>
  </si>
  <si>
    <t>N2026011582NBREPRO/135010033C</t>
  </si>
  <si>
    <t>PW261048CJ-1AJ11167</t>
  </si>
  <si>
    <t>2/4</t>
  </si>
  <si>
    <t>MYCMP033260121001</t>
  </si>
  <si>
    <t>MYCSH001260121001</t>
  </si>
  <si>
    <t>SR26012102</t>
  </si>
  <si>
    <t>NF2026010027NBD-FOC/131152009C</t>
  </si>
  <si>
    <t>SR26012103</t>
  </si>
  <si>
    <t>NF2026010027NBD-FOC/135010167C</t>
  </si>
  <si>
    <t>SR26012104</t>
  </si>
  <si>
    <t>NF2026010027NBD-FOC/135010132c</t>
  </si>
  <si>
    <t>SR26012201</t>
  </si>
  <si>
    <t>NF2026010027NBD-FOC/135010251C</t>
  </si>
  <si>
    <t>SR26012202</t>
  </si>
  <si>
    <t>NF2026010027NBD-FOC/135010012C</t>
  </si>
  <si>
    <t xml:space="preserve">BLACK-S123(145-17-00)  </t>
  </si>
  <si>
    <t xml:space="preserve">HERON BLUE(117-47-13)  </t>
  </si>
  <si>
    <t xml:space="preserve">NB SLATE GREY(000-55-00)  </t>
  </si>
  <si>
    <t xml:space="preserve">CHERRY LEATHER(006-25-08)  </t>
  </si>
  <si>
    <t xml:space="preserve">NEW CASTLEROCK(149-40-00)  </t>
  </si>
  <si>
    <t>COLOR TOO LIGHT/NO IMPACTIVA STAMP</t>
  </si>
  <si>
    <t>SYQMP033260122003</t>
  </si>
  <si>
    <t>SYQMP033260122004</t>
  </si>
  <si>
    <t>SYQMP033260122005</t>
  </si>
  <si>
    <t>SYQMP033260122001</t>
  </si>
  <si>
    <t>SYQMP033260122002</t>
  </si>
  <si>
    <t>KETINGGALAN, DIKIRIM PAKAI ACTUAL MATERIAL BLACK</t>
  </si>
  <si>
    <t>PS26012201</t>
  </si>
  <si>
    <t>PS26012202</t>
  </si>
  <si>
    <t>PWI2-PRD-RO-260122-0003</t>
  </si>
  <si>
    <t>U2026011076NB/135010033C</t>
  </si>
  <si>
    <t>U204L9SI-D</t>
  </si>
  <si>
    <t>2/6</t>
  </si>
  <si>
    <t>2/12</t>
  </si>
  <si>
    <t>MYCPW010260122001</t>
  </si>
  <si>
    <t>MYCMP034260122001</t>
  </si>
  <si>
    <t>PS26012307</t>
  </si>
  <si>
    <t>U2026011092NBREPRO/135010033C</t>
  </si>
  <si>
    <t>MYCMP034260123001</t>
  </si>
  <si>
    <t>PSC26012301</t>
  </si>
  <si>
    <t>PSC26012302</t>
  </si>
  <si>
    <t>U2025123717NB-FOC/135010017C</t>
  </si>
  <si>
    <t>N2025123538NBFOC/140151104C</t>
  </si>
  <si>
    <t>BYCMP034260123001</t>
  </si>
  <si>
    <t>BYCMP033260126001</t>
  </si>
  <si>
    <t>PSC26012601</t>
  </si>
  <si>
    <t>BYCPW020260126001</t>
  </si>
  <si>
    <t>PSR26012601</t>
  </si>
  <si>
    <t>NF2026010037NBDFOC/135010132C</t>
  </si>
  <si>
    <t>QYCMP033260126001</t>
  </si>
  <si>
    <t>SLATE GREY</t>
  </si>
  <si>
    <t>PS26012701</t>
  </si>
  <si>
    <t>SFI-PRB-UO-260126-0001</t>
  </si>
  <si>
    <t>2/20</t>
  </si>
  <si>
    <t>MYCPW020260127001</t>
  </si>
  <si>
    <t>PS26012801</t>
  </si>
  <si>
    <t>PS26012802</t>
  </si>
  <si>
    <t>PS26012806</t>
  </si>
  <si>
    <t>PS26012803</t>
  </si>
  <si>
    <t>PS26012805</t>
  </si>
  <si>
    <t>PWI2-PRD-RO-260127-0054</t>
  </si>
  <si>
    <t>PO#2563-3-15-1-A ERP : 1313/PO-SAI/I/2026</t>
  </si>
  <si>
    <t xml:space="preserve">PO#0963~5960-3-16-A ERP : 1318/PO-SAI/I/2026	</t>
  </si>
  <si>
    <t>S11260128-1</t>
  </si>
  <si>
    <t>A20260128-1</t>
  </si>
  <si>
    <t xml:space="preserve">U204LV1			</t>
  </si>
  <si>
    <t>W51543J</t>
  </si>
  <si>
    <t>U480P2YH</t>
  </si>
  <si>
    <t>M5154OH</t>
  </si>
  <si>
    <t>WL515GRY</t>
  </si>
  <si>
    <t>U509V1(D)(S126-1)-163(UPPER)</t>
  </si>
  <si>
    <t>2/11</t>
  </si>
  <si>
    <t>MYCPW010260128001</t>
  </si>
  <si>
    <t>MYCSD047260128001</t>
  </si>
  <si>
    <t>MYCSD047260128002</t>
  </si>
  <si>
    <t>MYCSD047260128003</t>
  </si>
  <si>
    <t>MYCSD047260128004</t>
  </si>
  <si>
    <t>MYCSD047260128005</t>
  </si>
  <si>
    <t>MYCSD047260128006</t>
  </si>
  <si>
    <t>MYCHI024260128001</t>
  </si>
  <si>
    <t>MYCHI024260128002</t>
  </si>
  <si>
    <t>PSC26012801</t>
  </si>
  <si>
    <t>PSC26012802</t>
  </si>
  <si>
    <t>PSC26012803</t>
  </si>
  <si>
    <t>PSC26012804</t>
  </si>
  <si>
    <t>PSC26012805</t>
  </si>
  <si>
    <t>PS26012804</t>
  </si>
  <si>
    <t>PW25C05LKJ / 1AJ11506 FOC</t>
  </si>
  <si>
    <t>N2025111191NBFOC/135010229C</t>
  </si>
  <si>
    <t>N2025111191NBFOC/108032186C</t>
  </si>
  <si>
    <t>N2025108862NB-DFLTFOC/140058002C</t>
  </si>
  <si>
    <t xml:space="preserve">NEW PHANTOM (134-25-00)                 </t>
  </si>
  <si>
    <t>BYCSH001260128001</t>
  </si>
  <si>
    <t>BYCSH001260128002</t>
  </si>
  <si>
    <t>BYCMP033260128002</t>
  </si>
  <si>
    <t>BYCMP033260128003</t>
  </si>
  <si>
    <t>BYCMP033260128004</t>
  </si>
  <si>
    <t>MYCMP033260128001</t>
  </si>
  <si>
    <t>PS26012901</t>
  </si>
  <si>
    <t>PS26012902</t>
  </si>
  <si>
    <t>PS26012903</t>
  </si>
  <si>
    <t>PS26012904</t>
  </si>
  <si>
    <t>PS26012905</t>
  </si>
  <si>
    <t>PS26012906</t>
  </si>
  <si>
    <t>PS26012907</t>
  </si>
  <si>
    <t>PS26012908</t>
  </si>
  <si>
    <t>PS26012909</t>
  </si>
  <si>
    <t>PS26012910</t>
  </si>
  <si>
    <t>PS26012913</t>
  </si>
  <si>
    <t>PS26012914</t>
  </si>
  <si>
    <t>PS26012911</t>
  </si>
  <si>
    <t>PS26012912</t>
  </si>
  <si>
    <t>PS26012917</t>
  </si>
  <si>
    <t>N2026012429NB-DFLT/108032186C</t>
  </si>
  <si>
    <t>N2026012460NB/108032186C</t>
  </si>
  <si>
    <t>N2026012460NB/108032194C</t>
  </si>
  <si>
    <t>N2026012461NB/135010034C</t>
  </si>
  <si>
    <t>N2026012461NB/140151104C</t>
  </si>
  <si>
    <t>N2026012475NB/108032186C</t>
  </si>
  <si>
    <t>N2026012475NB/135010034C</t>
  </si>
  <si>
    <t>N2026012475NB/140058002C</t>
  </si>
  <si>
    <t>N2026012493NB-DFLT/135010034C</t>
  </si>
  <si>
    <t>N2026012533NBREPRO/108032328C</t>
  </si>
  <si>
    <t>N2026012525NBREPRO/108032186C</t>
  </si>
  <si>
    <t>N2026012525NBREPRO/108032194C</t>
  </si>
  <si>
    <t>PWI2-PRD-UO-260128-0040</t>
  </si>
  <si>
    <t xml:space="preserve">PO#6048~2884 3-17-A ERP : 1385/PO-SAI/I/2026	</t>
  </si>
  <si>
    <t>SFI-PRB-UO-260129-0001</t>
  </si>
  <si>
    <t>NM480SBW,UN1010A</t>
  </si>
  <si>
    <t>U90604U4-D</t>
  </si>
  <si>
    <t>UN480HGB,UN480HGB-2E</t>
  </si>
  <si>
    <t>U90604U4-D,Y440BLK-M</t>
  </si>
  <si>
    <t>UN600CRM</t>
  </si>
  <si>
    <t>2/23</t>
  </si>
  <si>
    <t>3/5</t>
  </si>
  <si>
    <t>3/12</t>
  </si>
  <si>
    <t>3/19</t>
  </si>
  <si>
    <t>MYCMP033260129001</t>
  </si>
  <si>
    <t>MYCMP033260129002</t>
  </si>
  <si>
    <t>MYCMP033260129003</t>
  </si>
  <si>
    <t>MYCMP033260129004</t>
  </si>
  <si>
    <t>MYCMP033260129005</t>
  </si>
  <si>
    <t>MYCMP033260129006</t>
  </si>
  <si>
    <t>MYCMP033260129007</t>
  </si>
  <si>
    <t>MYCMP033260129008</t>
  </si>
  <si>
    <t>MYCMP033260129009</t>
  </si>
  <si>
    <t>MYCMP033260129010</t>
  </si>
  <si>
    <t>MYCMP033260129011</t>
  </si>
  <si>
    <t>MYCMP033260129012</t>
  </si>
  <si>
    <t>MYCPW010260129001</t>
  </si>
  <si>
    <t>MYCSD047260129001</t>
  </si>
  <si>
    <t>PSC26012901</t>
  </si>
  <si>
    <t>N2025108686NB-FOC1/108032215C</t>
  </si>
  <si>
    <t>BYCMP033260129001</t>
  </si>
  <si>
    <t>PW26107VBJ/1AJ11506  FOC</t>
  </si>
  <si>
    <t>PICK UP 02/05</t>
  </si>
  <si>
    <t>PS26013001</t>
  </si>
  <si>
    <t>PS26013002</t>
  </si>
  <si>
    <t>PS26013003</t>
  </si>
  <si>
    <t>PWI2-PRD-UO-260129-0170</t>
  </si>
  <si>
    <t>PWI2-PRD-UO-260129-0171</t>
  </si>
  <si>
    <t>SFI-PRD-UO-260129-0075</t>
  </si>
  <si>
    <t xml:space="preserve">M515V3	</t>
  </si>
  <si>
    <t>M515C5QO-D</t>
  </si>
  <si>
    <t>W515C5KE-B</t>
  </si>
  <si>
    <t>W515C5KE-D</t>
  </si>
  <si>
    <t>W60342R-B</t>
  </si>
  <si>
    <t>2/13</t>
  </si>
  <si>
    <t>3/6</t>
  </si>
  <si>
    <t>MYCPW010260130001</t>
  </si>
  <si>
    <t>MYCPW010260130002</t>
  </si>
  <si>
    <t>MYCPW010260130003</t>
  </si>
  <si>
    <t>MYCPW010260130004</t>
  </si>
  <si>
    <t>MYCPW020260130001</t>
  </si>
  <si>
    <t>MYCPW020260130002</t>
  </si>
  <si>
    <t>PSC26013001</t>
  </si>
  <si>
    <t>PSC26013002</t>
  </si>
  <si>
    <t>PSC26013003</t>
  </si>
  <si>
    <t>PSC26013004</t>
  </si>
  <si>
    <t>PSC26013005</t>
  </si>
  <si>
    <t>PSC26013006</t>
  </si>
  <si>
    <t>J545-NB251230LSFOC/1AJ11167??</t>
  </si>
  <si>
    <t>FNA7-251127-01 FOC2/1AJ11167??</t>
  </si>
  <si>
    <t>U2025123717NBFOC/135010017C</t>
  </si>
  <si>
    <t>001/SAI-THIN-S/2026</t>
  </si>
  <si>
    <t>N2025122580NBFOC/108032186C</t>
  </si>
  <si>
    <t>BYCSH001260130001</t>
  </si>
  <si>
    <t>BYCSH001260130002</t>
  </si>
  <si>
    <t>BYCSH001260130003</t>
  </si>
  <si>
    <t>BYCMP034260130001</t>
  </si>
  <si>
    <t>BYCSD047260130001</t>
  </si>
  <si>
    <t>BYCSD047260130002</t>
  </si>
  <si>
    <t>BYCMP033260130001</t>
  </si>
  <si>
    <t>BYCMP033260130002</t>
  </si>
  <si>
    <t>S26013001</t>
  </si>
  <si>
    <t>N20260100863NBD/135010034C</t>
  </si>
  <si>
    <t>SYCMP033260130001</t>
  </si>
  <si>
    <t>PS26020201</t>
  </si>
  <si>
    <t>PS26020202</t>
  </si>
  <si>
    <t>PS26020203</t>
  </si>
  <si>
    <t>PS26020204</t>
  </si>
  <si>
    <t>PS26020205</t>
  </si>
  <si>
    <t>PWI2-PRD-UO-260130-0037</t>
  </si>
  <si>
    <t>N2026013100NB/101132311C</t>
  </si>
  <si>
    <t>N2026013100NB/135010012C</t>
  </si>
  <si>
    <t>N2026013100NB/135010034C</t>
  </si>
  <si>
    <t>N2026013100NB/140058002C</t>
  </si>
  <si>
    <t>M515C5YQ-4E</t>
  </si>
  <si>
    <t>Y440BLK-M</t>
  </si>
  <si>
    <t>2/27</t>
  </si>
  <si>
    <t>MYCPW010260202001</t>
  </si>
  <si>
    <t>MYCMP033260202001</t>
  </si>
  <si>
    <t>MYCMP033260202002</t>
  </si>
  <si>
    <t>MYCMP033260202003</t>
  </si>
  <si>
    <t>MYCMP033260202004</t>
  </si>
  <si>
    <t>S26020201</t>
  </si>
  <si>
    <t>S26020202</t>
  </si>
  <si>
    <t>PWI2-DEV-SO-260202-0005</t>
  </si>
  <si>
    <t>PWI2-DEV-SO-260202-0006</t>
  </si>
  <si>
    <t xml:space="preserve">MAGNET (142-34-00)  </t>
  </si>
  <si>
    <t>2/16</t>
  </si>
  <si>
    <t xml:space="preserve">U204L		</t>
  </si>
  <si>
    <t>U204L5WZ</t>
  </si>
  <si>
    <t>SYCPW010260202001</t>
  </si>
  <si>
    <t>SYCPW010260202002</t>
  </si>
  <si>
    <t>SYCPW010260202003</t>
  </si>
  <si>
    <t>SYCPW010260202004</t>
  </si>
  <si>
    <t>SYCPW010260202005</t>
  </si>
  <si>
    <t>SYCPW010260202006</t>
  </si>
  <si>
    <t>SYCPW010260202007</t>
  </si>
  <si>
    <t>SYCPW010260202008</t>
  </si>
  <si>
    <t>SYCPW010260202009</t>
  </si>
  <si>
    <t>PWI2-PRD-UO-250910-0074</t>
  </si>
  <si>
    <t xml:space="preserve">QYCPW010260203001      </t>
  </si>
  <si>
    <t>COLOR REJECT</t>
  </si>
  <si>
    <t>ONA</t>
  </si>
  <si>
    <t>PT. MPI</t>
  </si>
  <si>
    <t>N2025111401NB-FOC/135010012C</t>
  </si>
  <si>
    <t xml:space="preserve">QYCMP033260202001        </t>
  </si>
  <si>
    <t>QYCMP033260202002</t>
  </si>
  <si>
    <t>PS26020301</t>
  </si>
  <si>
    <t>PS26020302</t>
  </si>
  <si>
    <t>PS26020304</t>
  </si>
  <si>
    <t>PS26020308</t>
  </si>
  <si>
    <t>PS26020306</t>
  </si>
  <si>
    <t>U2026021735NB/135010034C</t>
  </si>
  <si>
    <t>U2026021736NB/135010233C</t>
  </si>
  <si>
    <t>4004245239</t>
  </si>
  <si>
    <t>4004303232</t>
  </si>
  <si>
    <t>PWA-PRD-RO-260203-0012</t>
  </si>
  <si>
    <t xml:space="preserve">NEW STONEWARE 034-62-06    </t>
  </si>
  <si>
    <t>M0803B9-D</t>
  </si>
  <si>
    <t>2/17</t>
  </si>
  <si>
    <t>2/18</t>
  </si>
  <si>
    <t>MYCMP033260203001</t>
  </si>
  <si>
    <t>MYCMP034260203001</t>
  </si>
  <si>
    <t>MYCGS009260203001</t>
  </si>
  <si>
    <t>MYCGS009260203002</t>
  </si>
  <si>
    <t>MYCGS009260203003</t>
  </si>
  <si>
    <t>MYCPW030260203001</t>
  </si>
  <si>
    <t>PSC26020301</t>
  </si>
  <si>
    <t>U2026010152NB-FOC/135010015C</t>
  </si>
  <si>
    <t xml:space="preserve">NB NAVY (124-23-11)            </t>
  </si>
  <si>
    <t>BYCMP034260203001</t>
  </si>
  <si>
    <t>BYCMP033260202001</t>
  </si>
  <si>
    <t>PS26020401</t>
  </si>
  <si>
    <t>PS26020402</t>
  </si>
  <si>
    <t>PS26020403</t>
  </si>
  <si>
    <t>PS26020404</t>
  </si>
  <si>
    <t>PS26020405</t>
  </si>
  <si>
    <t>PS26020406</t>
  </si>
  <si>
    <t>PS26020407</t>
  </si>
  <si>
    <t>PS26020408</t>
  </si>
  <si>
    <t>N2026023355NB/135010012C</t>
  </si>
  <si>
    <t>N02940-1</t>
  </si>
  <si>
    <t>N2026023398NB/135010233C</t>
  </si>
  <si>
    <t xml:space="preserve">PO#7193~2890-4-16 ERP : 0176/PO-SAI/II/2026	</t>
  </si>
  <si>
    <t xml:space="preserve">PO#7193~2890-5-15 ERP : 0181/PO-SAI/II/2026	</t>
  </si>
  <si>
    <t xml:space="preserve">PO#7193~2890-6-7 ERP : 0183/PO-SAI/II/2026	</t>
  </si>
  <si>
    <t>PWI2-PRD-UO-260204-0018</t>
  </si>
  <si>
    <t xml:space="preserve">NEW STONEWARE 034-62-06      </t>
  </si>
  <si>
    <t>U5746SG-D,W574VA-B</t>
  </si>
  <si>
    <t>W5159O1, W51543J</t>
  </si>
  <si>
    <t>U204L1RC-D</t>
  </si>
  <si>
    <t>2/25</t>
  </si>
  <si>
    <t>3/2</t>
  </si>
  <si>
    <t>MYCMP033260204001</t>
  </si>
  <si>
    <t>MYCDI024260204001</t>
  </si>
  <si>
    <t>MYCMP033260204002</t>
  </si>
  <si>
    <t>MYCSD047260204001</t>
  </si>
  <si>
    <t>MYCSD047260204002</t>
  </si>
  <si>
    <t>MYCSD047260204003</t>
  </si>
  <si>
    <t>MYCSD047260204004</t>
  </si>
  <si>
    <t>MYCSD047260204005</t>
  </si>
  <si>
    <t>MYCPW010260204001</t>
  </si>
  <si>
    <t>MYCGS009260204001</t>
  </si>
  <si>
    <t>PSC26020401</t>
  </si>
  <si>
    <t>FOC-BLK200/26</t>
  </si>
  <si>
    <t>BYCSL045260204001</t>
  </si>
  <si>
    <t>PS26020501</t>
  </si>
  <si>
    <t>PS26020502</t>
  </si>
  <si>
    <t>PS26020503</t>
  </si>
  <si>
    <t>PS26020504</t>
  </si>
  <si>
    <t>PS26020505</t>
  </si>
  <si>
    <t>PS26020506</t>
  </si>
  <si>
    <t>PS26020507</t>
  </si>
  <si>
    <t xml:space="preserve">PO#7193~2890-4-16 ERP : 0238/PO-SAI/II/2026	</t>
  </si>
  <si>
    <t>N20260201074NBD/135010034C</t>
  </si>
  <si>
    <t>PWA-PRD-UO-260205-0001</t>
  </si>
  <si>
    <t>PW26201R5J/1AJ11167</t>
  </si>
  <si>
    <t>PW26201R7J/1AJ11167</t>
  </si>
  <si>
    <t>PW26201R4J/1AJ11167</t>
  </si>
  <si>
    <t>PW26201R6J/1AJ11167</t>
  </si>
  <si>
    <t>2/19</t>
  </si>
  <si>
    <t>MYCSD047260205001</t>
  </si>
  <si>
    <t>MYCMP033260205001</t>
  </si>
  <si>
    <t>MYCPW030260205001</t>
  </si>
  <si>
    <t>MYCSH001260205001</t>
  </si>
  <si>
    <t>MYCSH001260205002</t>
  </si>
  <si>
    <t>MYCSH001260205003</t>
  </si>
  <si>
    <t>MYCSH001260205004</t>
  </si>
  <si>
    <t>CANCEL ORDER 2/6</t>
  </si>
  <si>
    <t>PS26020901</t>
  </si>
  <si>
    <t>PS26020902</t>
  </si>
  <si>
    <t>N02971-105</t>
  </si>
  <si>
    <t>PWA-PRD-RO-260207-0007</t>
  </si>
  <si>
    <t>MYCDI024260209001</t>
  </si>
  <si>
    <t>MYCPW030260209001</t>
  </si>
  <si>
    <t>PSC26020901</t>
  </si>
  <si>
    <t>N2025123297NBFOC/135010168C</t>
  </si>
  <si>
    <t>BYCMP033260209001</t>
  </si>
  <si>
    <t>harus kirim jumat 2/13</t>
  </si>
  <si>
    <t>pick up 2/12</t>
  </si>
  <si>
    <t>PARTIAL 2/23 - 2/25</t>
  </si>
  <si>
    <t>11,169 2/11 - 1340 2/13</t>
  </si>
  <si>
    <t>PS26021001</t>
  </si>
  <si>
    <t>PWI2-PRD-RO-260209-0023</t>
  </si>
  <si>
    <t>MYCPW010260210001</t>
  </si>
  <si>
    <t>PS26021004</t>
  </si>
  <si>
    <t xml:space="preserve">PO#9999~6265-4-18 ERP : 0521/PO-SAI/II/2026	</t>
  </si>
  <si>
    <t>MYCSD047260210001</t>
  </si>
  <si>
    <t>PS26021101</t>
  </si>
  <si>
    <t>PS26021102</t>
  </si>
  <si>
    <t>PS26021103</t>
  </si>
  <si>
    <t>PS26021104</t>
  </si>
  <si>
    <t>PS26021105</t>
  </si>
  <si>
    <t>PS26021106</t>
  </si>
  <si>
    <t>N2026024023NB/140058002C</t>
  </si>
  <si>
    <t>N2026024013NB-DFLT/108032186C</t>
  </si>
  <si>
    <t>N2026024013NB-DFLT/135010034C</t>
  </si>
  <si>
    <t>SFI-PRD-RO-260211-0006</t>
  </si>
  <si>
    <t>PWI2-PRD-UO-260210-0079</t>
  </si>
  <si>
    <t>PWI2-PRD-UO-260210-0080</t>
  </si>
  <si>
    <t xml:space="preserve">GR997	</t>
  </si>
  <si>
    <t>GR997HWH-M</t>
  </si>
  <si>
    <t xml:space="preserve">PR997		</t>
  </si>
  <si>
    <t>PR997HWH-M</t>
  </si>
  <si>
    <t>3/4</t>
  </si>
  <si>
    <t>MYCMP033260211001</t>
  </si>
  <si>
    <t>MYCMP033260211002</t>
  </si>
  <si>
    <t>MYCMP033260211003</t>
  </si>
  <si>
    <t>MYCPW020260211001</t>
  </si>
  <si>
    <t>MYCPW010260211001</t>
  </si>
  <si>
    <t>MYCPW010260211002</t>
  </si>
  <si>
    <t>MYCPW010260211003</t>
  </si>
  <si>
    <t>MYCPW010260211004</t>
  </si>
  <si>
    <t>PS26021201</t>
  </si>
  <si>
    <t xml:space="preserve">PO#119A~F055-8-2 ERP : 0590/PO-SAI/II/2026	</t>
  </si>
  <si>
    <t>MYCSD047260212001</t>
  </si>
  <si>
    <t>PS26021203</t>
  </si>
  <si>
    <t>U2026022089NB/140058002C</t>
  </si>
  <si>
    <t>2/26</t>
  </si>
  <si>
    <t>MYCMP034260212001</t>
  </si>
  <si>
    <t>PSC26021202</t>
  </si>
  <si>
    <t>SFI-PRD-UO-251127-0002FOC</t>
  </si>
  <si>
    <t>BYCPW020260212001</t>
  </si>
  <si>
    <t>PSC26021203</t>
  </si>
  <si>
    <t>SFI-PRB-UO-251219-0004FOC</t>
  </si>
  <si>
    <t>BYCPW020260212002</t>
  </si>
  <si>
    <t>PSC26021204</t>
  </si>
  <si>
    <t>SFI-PRD-UO-251230-0002FOC</t>
  </si>
  <si>
    <t>BYCPW020260212003</t>
  </si>
  <si>
    <t>PS26021309</t>
  </si>
  <si>
    <t>PS26021302</t>
  </si>
  <si>
    <t>PS26021306</t>
  </si>
  <si>
    <t>PS26021307</t>
  </si>
  <si>
    <t>PS26021303</t>
  </si>
  <si>
    <t>PS26021304</t>
  </si>
  <si>
    <t>PS26021305</t>
  </si>
  <si>
    <t>N2026024293NB/135010034C</t>
  </si>
  <si>
    <t>PWA-PRD-RO-260213-0012</t>
  </si>
  <si>
    <t>PWA-PRD-UO-260213-0041</t>
  </si>
  <si>
    <t>PWA-PRD-UO-260213-0043</t>
  </si>
  <si>
    <t>SFI-PRD-UO-260212-0048</t>
  </si>
  <si>
    <t>U2026022209NBREPRO/140058002C</t>
  </si>
  <si>
    <t>U2026022228NBREPRO/101132311C</t>
  </si>
  <si>
    <t>PS327FE-W</t>
  </si>
  <si>
    <t xml:space="preserve">WL574V3	</t>
  </si>
  <si>
    <t>WL574EVW-B</t>
  </si>
  <si>
    <t>WL574EVW-D</t>
  </si>
  <si>
    <t>3/9</t>
  </si>
  <si>
    <t>3/13</t>
  </si>
  <si>
    <t>MYCMP033260213001</t>
  </si>
  <si>
    <t>MYCPW030260213001</t>
  </si>
  <si>
    <t>MYCPW030260213002</t>
  </si>
  <si>
    <t>MYCPW030260213003</t>
  </si>
  <si>
    <t>MYCPW030260213004</t>
  </si>
  <si>
    <t>MYCPW030260213005</t>
  </si>
  <si>
    <t>MYCPW020260213001</t>
  </si>
  <si>
    <t>MYCPW020260213002</t>
  </si>
  <si>
    <t>MYCMP034260213001</t>
  </si>
  <si>
    <t>MYCMP034260213002</t>
  </si>
  <si>
    <t>MYCPW020260130003</t>
  </si>
  <si>
    <t>PS26021807</t>
  </si>
  <si>
    <t>PWA-PRD-UO-260213-0061</t>
  </si>
  <si>
    <t>MYCPW030260218001</t>
  </si>
  <si>
    <t>MYCPW030260218002</t>
  </si>
  <si>
    <t>PS26021808</t>
  </si>
  <si>
    <t>SFI-PRD-UO-260213-0035</t>
  </si>
  <si>
    <t>ML574V3, WL574V3</t>
  </si>
  <si>
    <t>MYCPW020260218001</t>
  </si>
  <si>
    <t>PS26021809</t>
  </si>
  <si>
    <t>SFI-PRD-UO-260213-0037</t>
  </si>
  <si>
    <t>MYCPW020260218002</t>
  </si>
  <si>
    <t>S26021802</t>
  </si>
  <si>
    <t>N20260201361PFD/135010034C</t>
  </si>
  <si>
    <t>SYCMP033260218001</t>
  </si>
  <si>
    <t>N20260100209NBDFOC/135010130C</t>
  </si>
  <si>
    <t>PS26022002</t>
  </si>
  <si>
    <t>PS26022003</t>
  </si>
  <si>
    <t>PS26022004</t>
  </si>
  <si>
    <t>PS26022007</t>
  </si>
  <si>
    <t>PS26022009</t>
  </si>
  <si>
    <t>N2026024751NBREPRO/108032186C</t>
  </si>
  <si>
    <t>N2026024751NBREPRO/108032328C</t>
  </si>
  <si>
    <t>N2026024752NBREPRO/108032194C</t>
  </si>
  <si>
    <t>U2026022588NBREPRO/135010233C</t>
  </si>
  <si>
    <t>N2026024768NBREPRO/135010233C</t>
  </si>
  <si>
    <t>W5746J3-B</t>
  </si>
  <si>
    <t>MYCMP033260220001</t>
  </si>
  <si>
    <t>MYCMP033260220002</t>
  </si>
  <si>
    <t>MYCMP033260220003</t>
  </si>
  <si>
    <t>MYCMP034260220002</t>
  </si>
  <si>
    <t>MYCMP033260220004</t>
  </si>
  <si>
    <t>PS26022008</t>
  </si>
  <si>
    <t>PS26022010</t>
  </si>
  <si>
    <t>PWA-PRD-RO-260220-0011</t>
  </si>
  <si>
    <t>SFI-PRB-UO-260220-0017</t>
  </si>
  <si>
    <t>MYCPW030260220001</t>
  </si>
  <si>
    <t>MYCPW020260220001</t>
  </si>
  <si>
    <t>SC26022001</t>
  </si>
  <si>
    <t>PS26022001</t>
  </si>
  <si>
    <t>U2026010722NB-FOC/135010233C</t>
  </si>
  <si>
    <t xml:space="preserve">NB DRIFTWOOD (028-56-06)  </t>
  </si>
  <si>
    <t>2/24</t>
  </si>
  <si>
    <t>BYCMP033260220001</t>
  </si>
  <si>
    <t>MYCMP034260220001</t>
  </si>
  <si>
    <t>thickness toleransi di 1.1-1.2</t>
  </si>
  <si>
    <t>stock</t>
  </si>
  <si>
    <t>PS26022301</t>
  </si>
  <si>
    <t>PWA-PRD-RO-260223-0022</t>
  </si>
  <si>
    <t>MS327CTB-D</t>
  </si>
  <si>
    <t>MYCPW030260223001</t>
  </si>
  <si>
    <t>MYCPW030260223002</t>
  </si>
  <si>
    <t>MYCPW030260223003</t>
  </si>
  <si>
    <t>PSC26022001</t>
  </si>
  <si>
    <t>PSC26022301</t>
  </si>
  <si>
    <t>PSC26022302</t>
  </si>
  <si>
    <t>PSC26022303</t>
  </si>
  <si>
    <t>PSC26022305</t>
  </si>
  <si>
    <t>PSC26022306</t>
  </si>
  <si>
    <t>U2025124451NB-FOC/130064046C</t>
  </si>
  <si>
    <t>PWA-PRD-UO-251218-0016 FOC</t>
  </si>
  <si>
    <t>PWA-PRD-UO-251225-0225 FOC</t>
  </si>
  <si>
    <t>PWA-PRD-UO-251230-0009 FOC</t>
  </si>
  <si>
    <t>PW26107VBJ FOC</t>
  </si>
  <si>
    <t>PW26101TPJ FOC</t>
  </si>
  <si>
    <t>9DR;8XO</t>
  </si>
  <si>
    <t>BYCMP034260220001</t>
  </si>
  <si>
    <t>BYCPW030260223001</t>
  </si>
  <si>
    <t>BYCPW030260223002</t>
  </si>
  <si>
    <t>BYCPW030260223003</t>
  </si>
  <si>
    <t>BYCSH001260223001</t>
  </si>
  <si>
    <t>BYCSH001260223002</t>
  </si>
  <si>
    <t>S26022301</t>
  </si>
  <si>
    <t>S26022302</t>
  </si>
  <si>
    <t>PWI2-DEV-SO-260220-0020</t>
  </si>
  <si>
    <t>PW26204U0J-NB DEV</t>
  </si>
  <si>
    <t xml:space="preserve">U204V		</t>
  </si>
  <si>
    <t>U204V2JP</t>
  </si>
  <si>
    <t>SYCPW010260223001</t>
  </si>
  <si>
    <t>SYCSH001260223001</t>
  </si>
  <si>
    <t>PS26022401</t>
  </si>
  <si>
    <t>PS26022402</t>
  </si>
  <si>
    <t>PS26022403</t>
  </si>
  <si>
    <t>PS26022404</t>
  </si>
  <si>
    <t>SFI-PRD-RO-260224-0007</t>
  </si>
  <si>
    <t>4004361064</t>
  </si>
  <si>
    <t>U574V2</t>
  </si>
  <si>
    <t>3/10</t>
  </si>
  <si>
    <t>MYCPW020260224001</t>
  </si>
  <si>
    <t>MYCGS009260224001</t>
  </si>
  <si>
    <t>MYCGS009260224002</t>
  </si>
  <si>
    <t>MYCGS009260224003</t>
  </si>
  <si>
    <t>MYCGS009260224004</t>
  </si>
  <si>
    <t>MYCGS009260224005</t>
  </si>
  <si>
    <t xml:space="preserve">20 MB020012894_x000D_
</t>
  </si>
  <si>
    <t xml:space="preserve">30 MB020012894_x000D_
</t>
  </si>
  <si>
    <t>PSC26022401</t>
  </si>
  <si>
    <t>PSC26022402</t>
  </si>
  <si>
    <t>PSC26022403</t>
  </si>
  <si>
    <t>PSC26022404</t>
  </si>
  <si>
    <t>PSC26022405</t>
  </si>
  <si>
    <t>PSC26022406</t>
  </si>
  <si>
    <t>PSC26022407</t>
  </si>
  <si>
    <t>PSC26022408</t>
  </si>
  <si>
    <t>PSC26022409</t>
  </si>
  <si>
    <t>H122547PREM FOC</t>
  </si>
  <si>
    <t>N2025123973NBFOC/140151104C</t>
  </si>
  <si>
    <t>U2026010722NB-FOC2/135010233C</t>
  </si>
  <si>
    <t>PWA-PRD-UO-251230-0009FOC</t>
  </si>
  <si>
    <t>PWA-PRD-UO-251230-0014FOC</t>
  </si>
  <si>
    <t>SFI-PRD-UO-251209-0005FOC</t>
  </si>
  <si>
    <t>N2026011026NBFOC/135010157C</t>
  </si>
  <si>
    <t xml:space="preserve">NEW STONEWARE 034-62-06        </t>
  </si>
  <si>
    <t>BYCSH001260224001</t>
  </si>
  <si>
    <t>BYCMP033260224001</t>
  </si>
  <si>
    <t>BYCMP033260224002</t>
  </si>
  <si>
    <t>BYCMP034260224001</t>
  </si>
  <si>
    <t>BYCPW030260224001</t>
  </si>
  <si>
    <t>BYCPW030260224002</t>
  </si>
  <si>
    <t>BYCPW020260224001</t>
  </si>
  <si>
    <t>BYCPW020260224002</t>
  </si>
  <si>
    <t>BYCMP033260224003</t>
  </si>
  <si>
    <t>PS26022501</t>
  </si>
  <si>
    <t>PWA-PRD-RO-260224-0024</t>
  </si>
  <si>
    <t>3/11</t>
  </si>
  <si>
    <t>MYCPW030260225001</t>
  </si>
  <si>
    <t>PS26022502</t>
  </si>
  <si>
    <t>N2026025132NB-PREM/135010136C</t>
  </si>
  <si>
    <t>3/23</t>
  </si>
  <si>
    <t>UN480FCS</t>
  </si>
  <si>
    <t>MYCMP033260225001</t>
  </si>
  <si>
    <t>PSC26022501</t>
  </si>
  <si>
    <t>PWI2-PRD-RO-251223-0020 FOC</t>
  </si>
  <si>
    <t>3/3</t>
  </si>
  <si>
    <t>BYCPW010260225001</t>
  </si>
  <si>
    <t>BYCPW010260225002</t>
  </si>
  <si>
    <t>PSC26022502</t>
  </si>
  <si>
    <t>N2025122812NBFOC/135010157C</t>
  </si>
  <si>
    <t>BYCMP033260225001</t>
  </si>
  <si>
    <t>PWI2-DEV-SO-260121-0065</t>
  </si>
  <si>
    <t>PINK SALT COLORO (157-90-05)</t>
  </si>
  <si>
    <t>SYQPW010260220001</t>
  </si>
  <si>
    <t>PS26022601</t>
  </si>
  <si>
    <t>PS26022602</t>
  </si>
  <si>
    <t>PS26022604</t>
  </si>
  <si>
    <t>PS26022603</t>
  </si>
  <si>
    <t>PS26022605</t>
  </si>
  <si>
    <t>N2026025361NB/140151104C</t>
  </si>
  <si>
    <t>N2026025628NB/140151104C</t>
  </si>
  <si>
    <t>PWA-PRD-UO-260225-0111</t>
  </si>
  <si>
    <t>BLK1200/26-9021421</t>
  </si>
  <si>
    <t xml:space="preserve">BLACK CEMENT (008-24-00)          </t>
  </si>
  <si>
    <t>UN480HGB-2E</t>
  </si>
  <si>
    <t>GS327V1, PH327, PS327V1</t>
  </si>
  <si>
    <t>GS327FE-M, PH327FE-M, PS327FE-W</t>
  </si>
  <si>
    <t>WS237BW-GEI</t>
  </si>
  <si>
    <t>3/30</t>
  </si>
  <si>
    <t>MYCGS009260226001</t>
  </si>
  <si>
    <t>MYCMP033260226001</t>
  </si>
  <si>
    <t>MYCMP033260226002</t>
  </si>
  <si>
    <t>MYCPW030260226001</t>
  </si>
  <si>
    <t>MYCSL045260226001</t>
  </si>
  <si>
    <t xml:space="preserve">10 MB020027116_x000D_
</t>
  </si>
  <si>
    <t>PREMIUM SHOES COLLAB</t>
  </si>
  <si>
    <t>PWI2-PRD-UO-251231-0073</t>
  </si>
  <si>
    <t>QYCPW010260227001</t>
  </si>
  <si>
    <t>COLOR REJECT,  IMPACTIVA INDO DISCUSS WITH THCN AND CONFIRM RETURN</t>
  </si>
  <si>
    <t>IMPACTIVA CONFIRM</t>
  </si>
  <si>
    <t>PS26022701</t>
  </si>
  <si>
    <t>PS26022702</t>
  </si>
  <si>
    <t>PS26022703</t>
  </si>
  <si>
    <t>PS26022705</t>
  </si>
  <si>
    <t>PS26022706</t>
  </si>
  <si>
    <t>N2026025765NB/108032186C</t>
  </si>
  <si>
    <t>PWA-PRD-UO-260226-0032</t>
  </si>
  <si>
    <t>PWI2-PRD-UO-260227-0020</t>
  </si>
  <si>
    <t>BLK1287/26-9021421</t>
  </si>
  <si>
    <t>BLK1287/26-9021569</t>
  </si>
  <si>
    <t>LI WS237V1 48149 WS237BW-GEI</t>
  </si>
  <si>
    <t>LI WS237V1 43762 WS237NB-GEI</t>
  </si>
  <si>
    <t>MYCMP033260227001</t>
  </si>
  <si>
    <t>MYCPW030260227001</t>
  </si>
  <si>
    <t>MYCPW010260227001</t>
  </si>
  <si>
    <t>MYCSL045260227001</t>
  </si>
  <si>
    <t>MYCSL045260227002</t>
  </si>
  <si>
    <t>stock sisa minta repack vanny 3/2 08.27 pagi</t>
  </si>
  <si>
    <t>PS26030201</t>
  </si>
  <si>
    <t>PS26030226</t>
  </si>
  <si>
    <t>PWA-PRD-RO-260227-0008</t>
  </si>
  <si>
    <t xml:space="preserve">PO#1325~F313-4-24 ERP : 1393/PO-SAI/II/2026	</t>
  </si>
  <si>
    <t>GSB480PT, PSB480PT,U480P2YH</t>
  </si>
  <si>
    <t>MYCPW030260302001</t>
  </si>
  <si>
    <t>MYCSD047260302002</t>
  </si>
  <si>
    <t>PSC26030201</t>
  </si>
  <si>
    <t>PSC26030202</t>
  </si>
  <si>
    <t>N2025123538NBFOC/108032186C</t>
  </si>
  <si>
    <t>U2026010722NBFOC/135010233C</t>
  </si>
  <si>
    <t xml:space="preserve">NEW STONEWARE (034-62-06)       </t>
  </si>
  <si>
    <t>3/16</t>
  </si>
  <si>
    <t>BYCMP033260302001</t>
  </si>
  <si>
    <t>BYCMP034260302001</t>
  </si>
  <si>
    <t>PS26030301</t>
  </si>
  <si>
    <t>PO#1325~F313-5-21 ERP : 1426/PO-SAI/II/2026</t>
  </si>
  <si>
    <t>U880R2MO</t>
  </si>
  <si>
    <t>MYCSD047260303001</t>
  </si>
  <si>
    <t>PS26030302</t>
  </si>
  <si>
    <t>U2026033074NB/135010033C</t>
  </si>
  <si>
    <t>MYCMP034260303001</t>
  </si>
  <si>
    <t>PSC26030301</t>
  </si>
  <si>
    <t>U2026010722NBFOC/135010012C</t>
  </si>
  <si>
    <t>3/17</t>
  </si>
  <si>
    <t>BYCMP034260303001</t>
  </si>
  <si>
    <t>PSC26030304</t>
  </si>
  <si>
    <t>N2025123297NBFOC/135010012C</t>
  </si>
  <si>
    <t>BYCMP033260303001</t>
  </si>
  <si>
    <t>METRO</t>
  </si>
  <si>
    <t>ULTIMATE</t>
  </si>
  <si>
    <t>UH2025120599NB/135010168C</t>
  </si>
  <si>
    <t xml:space="preserve"> LINEN  (034-84-05)</t>
  </si>
  <si>
    <t>QYCMP034260304001</t>
  </si>
  <si>
    <t>POWDER ISSUE, IMPACTIVA CONFIRM RETURN</t>
  </si>
  <si>
    <t>METRO PEARL</t>
  </si>
  <si>
    <t>NF2026030089NBD-FOC/135010033C</t>
  </si>
  <si>
    <t>QYCMP033260304002</t>
  </si>
  <si>
    <t>NF2026030089NBD-FOC/135010015C</t>
  </si>
  <si>
    <t>NB NAVY (124-23-11)</t>
  </si>
  <si>
    <t>QYCMP033260304003</t>
  </si>
  <si>
    <t>NF2026030089NBD-FOC/135010168C</t>
  </si>
  <si>
    <t>QYCMP033260304004</t>
  </si>
  <si>
    <t>NF2026030089NBD-FOC/173003026C</t>
  </si>
  <si>
    <t>PINK SALT (157-90-05)</t>
  </si>
  <si>
    <t>QYCMP033260304005</t>
  </si>
  <si>
    <t>NF2026031018NB-FOC/135010268C</t>
  </si>
  <si>
    <t>VINTAGE INDIGO (19-3929TCX)</t>
  </si>
  <si>
    <t>QYCMP033260304001</t>
  </si>
  <si>
    <t>PS26030401</t>
  </si>
  <si>
    <t>PWI2-PRD-UO-260226-0130</t>
  </si>
  <si>
    <t>PS26030408</t>
  </si>
  <si>
    <t>N2026036329NB/135010157C</t>
  </si>
  <si>
    <t>PS26030409</t>
  </si>
  <si>
    <t>N2026036328NB/135010157C</t>
  </si>
  <si>
    <t>WL574XE2-D</t>
  </si>
  <si>
    <t>MYCPW010260304001</t>
  </si>
  <si>
    <t>MYCMP033260304001</t>
  </si>
  <si>
    <t>MYCMP033260304002</t>
  </si>
  <si>
    <t>req sp pak yus 3/5</t>
  </si>
  <si>
    <t>PS26030501</t>
  </si>
  <si>
    <t>JB22603050005</t>
  </si>
  <si>
    <t>MYCLW001260305001</t>
  </si>
  <si>
    <t>PSC26030501</t>
  </si>
  <si>
    <t>PSC26030502</t>
  </si>
  <si>
    <t>PSC26030504</t>
  </si>
  <si>
    <t>U2026010722NBFOC/135010132C</t>
  </si>
  <si>
    <t xml:space="preserve">NEW STONEWARE (034-62-06)         </t>
  </si>
  <si>
    <t>BYCMP034260305001</t>
  </si>
  <si>
    <t>BYCMP034260305002</t>
  </si>
  <si>
    <t>BYCMP034260305003</t>
  </si>
  <si>
    <t>PS26030601</t>
  </si>
  <si>
    <t>PS26030605</t>
  </si>
  <si>
    <t>PWA-PRD-RO-260306-0008</t>
  </si>
  <si>
    <t>U2026033297NB/101132311C</t>
  </si>
  <si>
    <t>4/2</t>
  </si>
  <si>
    <t>MYCPW030260306001</t>
  </si>
  <si>
    <t>MYCMP034260306001</t>
  </si>
  <si>
    <t>PSC26030601</t>
  </si>
  <si>
    <t>PSC26030602</t>
  </si>
  <si>
    <t>N2025123973NBFOC/108032186C</t>
  </si>
  <si>
    <t>U2026010722NB-FOC7/135010132C</t>
  </si>
  <si>
    <t>4/6</t>
  </si>
  <si>
    <t>BYCMP033260306001</t>
  </si>
  <si>
    <t>BYCMP034260306001</t>
  </si>
  <si>
    <t>req sp 03/09</t>
  </si>
  <si>
    <t>QYCLW001260309001</t>
  </si>
  <si>
    <t>FUNGUS</t>
  </si>
  <si>
    <t>PWI2-PRD-UO-251231-0074</t>
  </si>
  <si>
    <t>BREAKFAST TEA (029-34-619)</t>
  </si>
  <si>
    <t>QYCPW010260309001</t>
  </si>
  <si>
    <t>PWI2-PRD-UO-251226-0197</t>
  </si>
  <si>
    <t>TIMBERWOLF (032-76-04) COLORO</t>
  </si>
  <si>
    <t>QYCPW010260309002</t>
  </si>
  <si>
    <t>QYCPW020260311001</t>
  </si>
  <si>
    <t>TCMTB NO DETECT</t>
  </si>
  <si>
    <t>QYCPW020260311002</t>
  </si>
  <si>
    <t>PS26031101</t>
  </si>
  <si>
    <t>PS26031102</t>
  </si>
  <si>
    <t>PS26031103</t>
  </si>
  <si>
    <t>PS26031104</t>
  </si>
  <si>
    <t>U2026033510NB/135010033C</t>
  </si>
  <si>
    <t>U2026033510NB/135010233C</t>
  </si>
  <si>
    <t>N2026036857NB/135010033C</t>
  </si>
  <si>
    <t>4000133918</t>
  </si>
  <si>
    <t xml:space="preserve">NEW STONEWARE (034-62-06)     </t>
  </si>
  <si>
    <t>WL515SBL-B, U5742SP-D</t>
  </si>
  <si>
    <t>U5742SP-D</t>
  </si>
  <si>
    <t>4/1</t>
  </si>
  <si>
    <t>4/16</t>
  </si>
  <si>
    <t>MYCMP034260311001</t>
  </si>
  <si>
    <t>MYCMP034260311002</t>
  </si>
  <si>
    <t>MYCMP033260311001</t>
  </si>
  <si>
    <t>MYCGS009260311001</t>
  </si>
  <si>
    <t>MYCGS009260311002</t>
  </si>
  <si>
    <t>PSC26031101</t>
  </si>
  <si>
    <t>PSC26031102</t>
  </si>
  <si>
    <t>PSC26031103</t>
  </si>
  <si>
    <t>PSC26031104</t>
  </si>
  <si>
    <t>U2026010700NBFOC/135010017C</t>
  </si>
  <si>
    <t>PWI2-PRD-UO-251226-0219 FOC</t>
  </si>
  <si>
    <t>PWI2-PRB-UO-251223-0030FOC</t>
  </si>
  <si>
    <t>PWI2-PRD-UO-260108-0064FOC</t>
  </si>
  <si>
    <t>BYCMP034260311001</t>
  </si>
  <si>
    <t>BYCPW010260311001</t>
  </si>
  <si>
    <t>BYCPW010260311002</t>
  </si>
  <si>
    <t>BYCPW010260311003</t>
  </si>
  <si>
    <t>BYCPW010260311004</t>
  </si>
  <si>
    <t>CANCEL PINDAH KE UNI 3/12</t>
  </si>
  <si>
    <t>1637.4 sf no stamp impactiva NG grade</t>
  </si>
  <si>
    <t>NF2026030105NBD-FOC/173003027C</t>
  </si>
  <si>
    <t>LIGHT ARCTIC GREY (120-65-07)</t>
  </si>
  <si>
    <t>QYCMP033260312001</t>
  </si>
  <si>
    <t>SPRAY COLOR</t>
  </si>
  <si>
    <t>UNI</t>
  </si>
  <si>
    <t>QYCMP034260312001</t>
  </si>
  <si>
    <t>WRONG PACKING, SEND CASTLEROCK</t>
  </si>
  <si>
    <t>SPRAY ANTIJAMUR</t>
  </si>
  <si>
    <t>PS26031205</t>
  </si>
  <si>
    <t>PWA-PRD-RO-260312-0010</t>
  </si>
  <si>
    <t>MYCPW030260312001</t>
  </si>
  <si>
    <t>PSC26031201</t>
  </si>
  <si>
    <t>N2025123538NBFOC/135010034C</t>
  </si>
  <si>
    <t>BYCMP033260312001</t>
  </si>
  <si>
    <t>PS26031301</t>
  </si>
  <si>
    <t>U2026033784NB/135010033C</t>
  </si>
  <si>
    <t>MYCMP034260313001</t>
  </si>
  <si>
    <t>PS26031303</t>
  </si>
  <si>
    <t>N2026036955NBREPRO/135010033C</t>
  </si>
  <si>
    <t>MYCMP033260313001</t>
  </si>
  <si>
    <t>PS26031304</t>
  </si>
  <si>
    <t>N2026036955NBREPRO/135010034C</t>
  </si>
  <si>
    <t>MYCMP033260313002</t>
  </si>
  <si>
    <t>PSC26031301</t>
  </si>
  <si>
    <t>U2026021736NB-FOC/135010233C</t>
  </si>
  <si>
    <t xml:space="preserve">NEW STONEWARE (034-62-06)           </t>
  </si>
  <si>
    <t>BYCMP034260313001</t>
  </si>
  <si>
    <t>PS26031601</t>
  </si>
  <si>
    <t>U2026033865NB/135010034C</t>
  </si>
  <si>
    <t>4/10</t>
  </si>
  <si>
    <t>MYCMP034260316001</t>
  </si>
  <si>
    <t>S26031601</t>
  </si>
  <si>
    <t>SAIDEV-26-0001113 ERP 0657/PO-SAI/III/2026</t>
  </si>
  <si>
    <t>W5152CK</t>
  </si>
  <si>
    <t>SYCSD047260316001</t>
  </si>
  <si>
    <t>W5155N8</t>
  </si>
  <si>
    <t>SYCSD047260316002</t>
  </si>
  <si>
    <t>W51580S</t>
  </si>
  <si>
    <t>SYCSD047260316003</t>
  </si>
  <si>
    <t>PS26031707</t>
  </si>
  <si>
    <t>N2026037261NBREPRO/135010233C</t>
  </si>
  <si>
    <t>3/31</t>
  </si>
  <si>
    <t>MYCMP033260317001</t>
  </si>
  <si>
    <t>PS26031708</t>
  </si>
  <si>
    <t>N2026037264NBREPRO/135010033C</t>
  </si>
  <si>
    <t>MYCMP033260317002</t>
  </si>
  <si>
    <t>PS26031710</t>
  </si>
  <si>
    <t>PWA-PRD-RO-260317-0035</t>
  </si>
  <si>
    <t>4/7</t>
  </si>
  <si>
    <t>MYCPW030260317001</t>
  </si>
  <si>
    <t>MYCPW030260317002</t>
  </si>
  <si>
    <t>PS26031801</t>
  </si>
  <si>
    <t>4/15</t>
  </si>
  <si>
    <t>MYCGS009260318001</t>
  </si>
  <si>
    <t>PS26031807</t>
  </si>
  <si>
    <t>SFI-PRB-UO-260318-0001</t>
  </si>
  <si>
    <t>4/8</t>
  </si>
  <si>
    <t>MYCPW020260318001</t>
  </si>
  <si>
    <t>PS26033001</t>
  </si>
  <si>
    <t>PS26033017</t>
  </si>
  <si>
    <t>PS26033018</t>
  </si>
  <si>
    <t>PS26033002</t>
  </si>
  <si>
    <t>PS26033003</t>
  </si>
  <si>
    <t>PS26033004</t>
  </si>
  <si>
    <t>PS26033005</t>
  </si>
  <si>
    <t>PS26033006</t>
  </si>
  <si>
    <t>PS26033007</t>
  </si>
  <si>
    <t>PS26033008</t>
  </si>
  <si>
    <t>PS26033009</t>
  </si>
  <si>
    <t>PS26033010</t>
  </si>
  <si>
    <t>PS26033011</t>
  </si>
  <si>
    <t>PS26033012</t>
  </si>
  <si>
    <t>PS26033013</t>
  </si>
  <si>
    <t>PS26033014</t>
  </si>
  <si>
    <t>PS26033015</t>
  </si>
  <si>
    <t>PS26033016</t>
  </si>
  <si>
    <t>PS26033020</t>
  </si>
  <si>
    <t>PS26033021</t>
  </si>
  <si>
    <t>PS26033022</t>
  </si>
  <si>
    <t>PS26033023</t>
  </si>
  <si>
    <t>PS26033024</t>
  </si>
  <si>
    <t>BLK1732/26-9039071</t>
  </si>
  <si>
    <t>BLK1744/26-9039208</t>
  </si>
  <si>
    <t>BLK1744/26-9039215</t>
  </si>
  <si>
    <t>N2026037318NB/108032186C</t>
  </si>
  <si>
    <t>N2026037549NB-DFLT/108032190C</t>
  </si>
  <si>
    <t>N2026037549NB-DFLT/140151104C</t>
  </si>
  <si>
    <t>N2026037566NB/108032186C</t>
  </si>
  <si>
    <t>N2026037566NB/108032190C</t>
  </si>
  <si>
    <t>N2026037567NB/140151064C</t>
  </si>
  <si>
    <t>N2026038037NB/108032186C</t>
  </si>
  <si>
    <t>N2026038037NB/108032200C</t>
  </si>
  <si>
    <t>N2026038037NB/135010132C</t>
  </si>
  <si>
    <t>N2026038037NB/140058002C</t>
  </si>
  <si>
    <t>N2026038037NB/140151064C</t>
  </si>
  <si>
    <t>N2026038037NB/140151104C</t>
  </si>
  <si>
    <t>N02940-58</t>
  </si>
  <si>
    <t>PWA-PRD-UO-260330-0060</t>
  </si>
  <si>
    <t>PWA-PRD-UO-260330-0006</t>
  </si>
  <si>
    <t xml:space="preserve">PO#7872~7765-5-26-1 ERP : 1228/PO-SAI/III/2026	</t>
  </si>
  <si>
    <t xml:space="preserve">PO#7872~7765-5-26 ERP : 1026/PO-SAI/III/2026	</t>
  </si>
  <si>
    <t>4000152993</t>
  </si>
  <si>
    <t>4000153005</t>
  </si>
  <si>
    <t>4000153027</t>
  </si>
  <si>
    <t xml:space="preserve">MAGNET (142-34-00)    </t>
  </si>
  <si>
    <t xml:space="preserve">BLACK CEMENT (008-24-00)            </t>
  </si>
  <si>
    <t>W237944-GEI</t>
  </si>
  <si>
    <t>W2378MN-GEI</t>
  </si>
  <si>
    <t>W2378ZE-GEI</t>
  </si>
  <si>
    <t>UN272HWN</t>
  </si>
  <si>
    <t>UN417LOS</t>
  </si>
  <si>
    <t>UN600LBP</t>
  </si>
  <si>
    <t>UN306BSD</t>
  </si>
  <si>
    <t>UN306CBW</t>
  </si>
  <si>
    <t>UN480NCT-2E</t>
  </si>
  <si>
    <t>WL515HGR-B</t>
  </si>
  <si>
    <t>U90609B0-D</t>
  </si>
  <si>
    <t>M3736NJ</t>
  </si>
  <si>
    <t>U373741</t>
  </si>
  <si>
    <t>4/14</t>
  </si>
  <si>
    <t>4/21</t>
  </si>
  <si>
    <t>4/24</t>
  </si>
  <si>
    <t>MYCSL045260330001</t>
  </si>
  <si>
    <t>MYCSL045260330002</t>
  </si>
  <si>
    <t>MYCSL045260330003</t>
  </si>
  <si>
    <t>MYCMP033260330001</t>
  </si>
  <si>
    <t>MYCMP033260330002</t>
  </si>
  <si>
    <t>MYCMP033260330003</t>
  </si>
  <si>
    <t>MYCMP033260330004</t>
  </si>
  <si>
    <t>MYCMP033260330005</t>
  </si>
  <si>
    <t>MYCMP033260330006</t>
  </si>
  <si>
    <t>MYCMP033260330007</t>
  </si>
  <si>
    <t>MYCMP033260330008</t>
  </si>
  <si>
    <t>MYCMP033260330009</t>
  </si>
  <si>
    <t>MYCMP033260330010</t>
  </si>
  <si>
    <t>MYCMP033260330011</t>
  </si>
  <si>
    <t>MYCMP033260330012</t>
  </si>
  <si>
    <t>MYCDI024260330001</t>
  </si>
  <si>
    <t>MYCPW030260330001</t>
  </si>
  <si>
    <t>MYCPW030260330002</t>
  </si>
  <si>
    <t>MYCPW030260330003</t>
  </si>
  <si>
    <t>MYCSD047260330001</t>
  </si>
  <si>
    <t>MYCSD047260330002</t>
  </si>
  <si>
    <t>MYCSD047260330003</t>
  </si>
  <si>
    <t>MYCSD047260330004</t>
  </si>
  <si>
    <t>MYCSD047260330005</t>
  </si>
  <si>
    <t>MYCSD047260330006</t>
  </si>
  <si>
    <t>MYCGS009260330001</t>
  </si>
  <si>
    <t>MYCGS009260330002</t>
  </si>
  <si>
    <t>MYCGS009260330003</t>
  </si>
  <si>
    <t>MYCGS009260330004</t>
  </si>
  <si>
    <t>MYCGS009260330005</t>
  </si>
  <si>
    <t>MYCGS009260330006</t>
  </si>
  <si>
    <t>MYCGS009260330007</t>
  </si>
  <si>
    <t>MYCGS009260330008</t>
  </si>
  <si>
    <t>MYCGS009260330009</t>
  </si>
  <si>
    <t xml:space="preserve">30 MB020012287_x000D_
_x000D_
</t>
  </si>
  <si>
    <t xml:space="preserve">40 MB020012894_x000D_
</t>
  </si>
  <si>
    <t xml:space="preserve">20 MB020027116_x000D_
</t>
  </si>
  <si>
    <t>PSC26033001</t>
  </si>
  <si>
    <t>PSC26033002</t>
  </si>
  <si>
    <t>PSC26033003</t>
  </si>
  <si>
    <t>N2026011233NBFOC/108032194C</t>
  </si>
  <si>
    <t>U2026011076NBFOC/135010033C</t>
  </si>
  <si>
    <t>008/SAI-THIN-S/2026FOC</t>
  </si>
  <si>
    <t>BYCMP033260330001</t>
  </si>
  <si>
    <t>BYCMP034260330001</t>
  </si>
  <si>
    <t>BYCSD047260330001</t>
  </si>
  <si>
    <t>BYCSD047260330002</t>
  </si>
  <si>
    <t>BYCSD047260330003</t>
  </si>
  <si>
    <t>BYCSD047260330004</t>
  </si>
  <si>
    <t>PS26033101</t>
  </si>
  <si>
    <t>PS26033102</t>
  </si>
  <si>
    <t>PS26033105</t>
  </si>
  <si>
    <t>N00171-62</t>
  </si>
  <si>
    <t>PWA-PRD-RO-260331-0005</t>
  </si>
  <si>
    <t>PWA-PRD-UO-260331-0008</t>
  </si>
  <si>
    <t>GS327FE-M / W</t>
  </si>
  <si>
    <t>MYCHI024260331001</t>
  </si>
  <si>
    <t>MYCPW030260331001</t>
  </si>
  <si>
    <t>MYCPW030260331002</t>
  </si>
  <si>
    <t>PSC26033101</t>
  </si>
  <si>
    <t>PSC26033102</t>
  </si>
  <si>
    <t>PSC26033103</t>
  </si>
  <si>
    <t>PWA-PRD-UO-260205-0001FOC</t>
  </si>
  <si>
    <t>PWA-PRD-UO-260213-0041FOC</t>
  </si>
  <si>
    <t xml:space="preserve">MOONBEAM (026-79-03) COLORO           </t>
  </si>
  <si>
    <t>BYCPW030260331001</t>
  </si>
  <si>
    <t>BYCPW030260331002</t>
  </si>
  <si>
    <t>BYCMP034260331001</t>
  </si>
  <si>
    <t>PT. PWI2</t>
  </si>
  <si>
    <t>007/PWI2/PRC/IV/2026</t>
  </si>
  <si>
    <t>BREAKFAST TEA (029-34-19)</t>
  </si>
  <si>
    <t>QYCPW010260401001</t>
  </si>
  <si>
    <t>PINK CHALK (002-75-10)</t>
  </si>
  <si>
    <t>QYCPW010260401002</t>
  </si>
  <si>
    <t>PS26040101</t>
  </si>
  <si>
    <t>PS26040102</t>
  </si>
  <si>
    <t>PS26040103</t>
  </si>
  <si>
    <t>PS26040104</t>
  </si>
  <si>
    <t>PS26040105</t>
  </si>
  <si>
    <t>PS26040106</t>
  </si>
  <si>
    <t>PS26040108</t>
  </si>
  <si>
    <t xml:space="preserve">PO#8048~F637-7-8 ERP : 1371/PO-SAI/III/2026	</t>
  </si>
  <si>
    <t xml:space="preserve">PO#8048~F637-6-14 ERP : 1373/PO-SAI/III/2026	</t>
  </si>
  <si>
    <t>U2026034453NB-DFLT/135010137C</t>
  </si>
  <si>
    <t>U2026034453NB-DFLT/135010168C</t>
  </si>
  <si>
    <t>U2026034453NB-DFLT/140058002C</t>
  </si>
  <si>
    <t>BLK1821/26-9021421</t>
  </si>
  <si>
    <t>N03153-122</t>
  </si>
  <si>
    <t xml:space="preserve">MAGNET (142-34-00)      </t>
  </si>
  <si>
    <t>U880R8U1</t>
  </si>
  <si>
    <t>M5746EQ-D</t>
  </si>
  <si>
    <t>M51534P-D</t>
  </si>
  <si>
    <t>WL515BLK-B,WL515BLK-D</t>
  </si>
  <si>
    <t>U509V1(D)(S226-6)-72H</t>
  </si>
  <si>
    <t>4/27</t>
  </si>
  <si>
    <t>MYCSD047260401001</t>
  </si>
  <si>
    <t>MYCSD047260401002</t>
  </si>
  <si>
    <t>MYCSD047260401003</t>
  </si>
  <si>
    <t>MYCMP034260401001</t>
  </si>
  <si>
    <t>MYCMP034260401002</t>
  </si>
  <si>
    <t>MYCMP034260401003</t>
  </si>
  <si>
    <t>MYCSL045260401001</t>
  </si>
  <si>
    <t>MYCDI024260401001</t>
  </si>
  <si>
    <t>PS26040201</t>
  </si>
  <si>
    <t>PS26040202</t>
  </si>
  <si>
    <t>PS26040203</t>
  </si>
  <si>
    <t>PS26040204</t>
  </si>
  <si>
    <t>PS26040205</t>
  </si>
  <si>
    <t>PS26040206</t>
  </si>
  <si>
    <t>PS26040208</t>
  </si>
  <si>
    <t>PS26040209</t>
  </si>
  <si>
    <t>PS26040207</t>
  </si>
  <si>
    <t>PS26040210</t>
  </si>
  <si>
    <t>PS26040211</t>
  </si>
  <si>
    <t>PS26040212</t>
  </si>
  <si>
    <t>PS26040213</t>
  </si>
  <si>
    <t>PS26040214</t>
  </si>
  <si>
    <t>PS26040215</t>
  </si>
  <si>
    <t>PS26040216</t>
  </si>
  <si>
    <t>PS26040217</t>
  </si>
  <si>
    <t>N2026038339NB / 108032186C</t>
  </si>
  <si>
    <t>N2026038339NB / 135010034C</t>
  </si>
  <si>
    <t>N2026038339NB / 135010137C</t>
  </si>
  <si>
    <t>N2026038339NB / 140151064C</t>
  </si>
  <si>
    <t>N2026038340NB / 135010033C</t>
  </si>
  <si>
    <t>N2026038340NB / 135010168C</t>
  </si>
  <si>
    <t>N2026048514NBREPRO/135010132C</t>
  </si>
  <si>
    <t>N2026048566NB/135010137C</t>
  </si>
  <si>
    <t xml:space="preserve">PO#8048~F637-8-7 ERP : 0094/PO-SAI/IV/2026	</t>
  </si>
  <si>
    <t>U2026044749NB/101132311C</t>
  </si>
  <si>
    <t>U2026044749NB/108032200C</t>
  </si>
  <si>
    <t>U2026044749NB/135010033C</t>
  </si>
  <si>
    <t>U2026044749NB/135010034C</t>
  </si>
  <si>
    <t>U2026044749NB/135010137C</t>
  </si>
  <si>
    <t>U2026044749NB/135010168C</t>
  </si>
  <si>
    <t>U2026044749NB/140058002C</t>
  </si>
  <si>
    <t>PWA-PRD-RO-260402-0013</t>
  </si>
  <si>
    <t xml:space="preserve">MAGNET (142-34-00)        </t>
  </si>
  <si>
    <t>UN272HWN,UN306BSD,UN417LGS,UN480NCT</t>
  </si>
  <si>
    <t>U90606LQ-D</t>
  </si>
  <si>
    <t>U90609OG-D</t>
  </si>
  <si>
    <t>U90609BO-D</t>
  </si>
  <si>
    <t>W574EC-B</t>
  </si>
  <si>
    <t>ML515AGR-2E,ML515AGR-4E,ML515AGR-D</t>
  </si>
  <si>
    <t>M0808ZG-D,W574EL-B</t>
  </si>
  <si>
    <t>M5746EQ-2E,M5746EQ-D,W574EC-B</t>
  </si>
  <si>
    <t>5/7</t>
  </si>
  <si>
    <t>4/23</t>
  </si>
  <si>
    <t>5/4</t>
  </si>
  <si>
    <t>6/1</t>
  </si>
  <si>
    <t>MYCMP033260402001</t>
  </si>
  <si>
    <t>MYCMP033260402002</t>
  </si>
  <si>
    <t>MYCMP033260402003</t>
  </si>
  <si>
    <t>MYCMP033260402004</t>
  </si>
  <si>
    <t>MYCMP033260402005</t>
  </si>
  <si>
    <t>MYCMP033260402006</t>
  </si>
  <si>
    <t>MYCMP033260402007</t>
  </si>
  <si>
    <t>MYCMP033260402008</t>
  </si>
  <si>
    <t>MYCSD047260402001</t>
  </si>
  <si>
    <t>MYCMP034260402001</t>
  </si>
  <si>
    <t>MYCMP034260402002</t>
  </si>
  <si>
    <t>MYCMP034260402003</t>
  </si>
  <si>
    <t>MYCMP034260402004</t>
  </si>
  <si>
    <t>MYCMP034260402005</t>
  </si>
  <si>
    <t>MYCMP034260402006</t>
  </si>
  <si>
    <t>MYCMP034260402007</t>
  </si>
  <si>
    <t>MYCPW030260402001</t>
  </si>
  <si>
    <t>PSC26040201</t>
  </si>
  <si>
    <t>U2026021736NBFOC/135010233C</t>
  </si>
  <si>
    <t>BYCMP034260402001</t>
  </si>
  <si>
    <t>S26040201</t>
  </si>
  <si>
    <t>SAIDEV-26-0001339 ERP 0045/PO-SAI/IV/2026</t>
  </si>
  <si>
    <t>G880R5X4</t>
  </si>
  <si>
    <t>SYCSD047260402001</t>
  </si>
  <si>
    <t>COLOR WINDOW NEW</t>
  </si>
  <si>
    <t>NF2026040130NBD-FOC/173003012C</t>
  </si>
  <si>
    <t>LIGHT MUSHROOM (025-62-04)</t>
  </si>
  <si>
    <t>SYQMP033260406001</t>
  </si>
  <si>
    <t>COLOR REJECT TOO LIGHT</t>
  </si>
  <si>
    <t>PT. UNI</t>
  </si>
  <si>
    <t>UH2026010087NB/108032208C</t>
  </si>
  <si>
    <t>QYCMP034260406001</t>
  </si>
  <si>
    <t>SPRAY ANTI MIGRATION</t>
  </si>
  <si>
    <t>POWDER ISSUE</t>
  </si>
  <si>
    <t>PS26040601</t>
  </si>
  <si>
    <t>PS26040602</t>
  </si>
  <si>
    <t>PS26040603</t>
  </si>
  <si>
    <t>PS26040604</t>
  </si>
  <si>
    <t>PWA-PRD-UO-260402-0048</t>
  </si>
  <si>
    <t>PWA-PRD-UO-260402-0090</t>
  </si>
  <si>
    <t xml:space="preserve">PO#6563~F757-6-16 ERP : 0165/PO-SAI/IV/2026	</t>
  </si>
  <si>
    <t>N2026048791NB/135010033C</t>
  </si>
  <si>
    <t>WS327NKD</t>
  </si>
  <si>
    <t>4/20</t>
  </si>
  <si>
    <t>MYCPW030260406001</t>
  </si>
  <si>
    <t>MYCPW030260406002</t>
  </si>
  <si>
    <t>MYCPW030260406003</t>
  </si>
  <si>
    <t>MYCPW030260406004</t>
  </si>
  <si>
    <t>MYCPW030260406005</t>
  </si>
  <si>
    <t>MYCPW030260406006</t>
  </si>
  <si>
    <t>MYCSD047260406001</t>
  </si>
  <si>
    <t>MYCSD047260406002</t>
  </si>
  <si>
    <t>MYCMP033260406001</t>
  </si>
  <si>
    <t>PS26040702</t>
  </si>
  <si>
    <t>PS26040703</t>
  </si>
  <si>
    <t>N03178-42</t>
  </si>
  <si>
    <t>N03161-54</t>
  </si>
  <si>
    <t>U740V2(D)(S226-3)-8XH</t>
  </si>
  <si>
    <t>U509V1(D)(S226-7)-76D</t>
  </si>
  <si>
    <t>MYCDI024260407001</t>
  </si>
  <si>
    <t>MYCDI024260407002</t>
  </si>
  <si>
    <t>PS26040704</t>
  </si>
  <si>
    <t>PS26040705</t>
  </si>
  <si>
    <t>U2026044911NB/135010033C</t>
  </si>
  <si>
    <t>U2026044944NB/135010033C</t>
  </si>
  <si>
    <t>MYCMP034260407001</t>
  </si>
  <si>
    <t>MYCMP034260407002</t>
  </si>
  <si>
    <t>PS26040801</t>
  </si>
  <si>
    <t>PS26040802</t>
  </si>
  <si>
    <t>PS26040804</t>
  </si>
  <si>
    <t>PS26040803</t>
  </si>
  <si>
    <t>PS26040805</t>
  </si>
  <si>
    <t>N2026049038NBREPRO/135010033C</t>
  </si>
  <si>
    <t>N2026049038NBREPRO/135010034C</t>
  </si>
  <si>
    <t>N2026049280NB/135010033C</t>
  </si>
  <si>
    <t>BLK2022/26-9021421</t>
  </si>
  <si>
    <t xml:space="preserve">PO#6563~F757-6-16-1 ERP : 0210/PO-SAI/IV/2026	</t>
  </si>
  <si>
    <t>LI WS237V1 48149</t>
  </si>
  <si>
    <t>4/22</t>
  </si>
  <si>
    <t>MYCMP033260408001</t>
  </si>
  <si>
    <t>MYCMP033260408002</t>
  </si>
  <si>
    <t>MYCMP033260408003</t>
  </si>
  <si>
    <t>MYCSL045260408001</t>
  </si>
  <si>
    <t>MYCSD047260408001</t>
  </si>
  <si>
    <t>PS26040902</t>
  </si>
  <si>
    <t>PS26040903</t>
  </si>
  <si>
    <t>U2026045082NBREPRO/135010034C</t>
  </si>
  <si>
    <t>U2026045096NBREPRO/135010033C</t>
  </si>
  <si>
    <t>MYCMP034260409001</t>
  </si>
  <si>
    <t>MYCMP034260409002</t>
  </si>
  <si>
    <t>PS26041001</t>
  </si>
  <si>
    <t>PWA-PRD-RO-260410-0005</t>
  </si>
  <si>
    <t>MYCPW030260410001</t>
  </si>
  <si>
    <t>MYCPW030260410002</t>
  </si>
  <si>
    <t>PS26041006</t>
  </si>
  <si>
    <t>BLK2187/26-9045608</t>
  </si>
  <si>
    <t>LI WS237V1</t>
  </si>
  <si>
    <t>MYCSL045260410001</t>
  </si>
  <si>
    <t>PSC26041401</t>
  </si>
  <si>
    <t>PSC26041403</t>
  </si>
  <si>
    <t>SFI-PRB-UO-260129-0001 FOC</t>
  </si>
  <si>
    <t>UH2025120599NBFOC/135010168C</t>
  </si>
  <si>
    <t>BYCPW020260414001</t>
  </si>
  <si>
    <t>BYCMP034260414001</t>
  </si>
  <si>
    <t>PS26041501</t>
  </si>
  <si>
    <t>PS26041502</t>
  </si>
  <si>
    <t>PS26041503</t>
  </si>
  <si>
    <t>PS26041504</t>
  </si>
  <si>
    <t>PS26041505</t>
  </si>
  <si>
    <t>PS26041506</t>
  </si>
  <si>
    <t>PS26041507</t>
  </si>
  <si>
    <t>PS26041508</t>
  </si>
  <si>
    <t>PS26041509</t>
  </si>
  <si>
    <t>PS26041510</t>
  </si>
  <si>
    <t>PS26041511</t>
  </si>
  <si>
    <t>PS26041512</t>
  </si>
  <si>
    <t>N2026049908NBREPRO/108032186c</t>
  </si>
  <si>
    <t>N2026049908NBREPRO/135010033C</t>
  </si>
  <si>
    <t>N2026049908NBREPRO/135010168C</t>
  </si>
  <si>
    <t>U2026045510NBREPRO/101132311C</t>
  </si>
  <si>
    <t>U2026045510NBREPRO/108032200C</t>
  </si>
  <si>
    <t>U2026045510NBREPRO/135010014C</t>
  </si>
  <si>
    <t>U2026045510NBREPRO/135010033C</t>
  </si>
  <si>
    <t>U2026045510NBREPRO/135010034C</t>
  </si>
  <si>
    <t>U2026045510NBREPRO/135010132C</t>
  </si>
  <si>
    <t>U2026045510NBREPRO/135010168C</t>
  </si>
  <si>
    <t>U2026045510NBREPRO/135010233C</t>
  </si>
  <si>
    <t>U2026045510NBREPRO/140058002C</t>
  </si>
  <si>
    <t xml:space="preserve">REFLECTION (043-89-00)           </t>
  </si>
  <si>
    <t xml:space="preserve">BLACK (145-17-00)                </t>
  </si>
  <si>
    <t>ML515AGR-4E,ML515AGR-D</t>
  </si>
  <si>
    <t>ML515GRY-4E,ML515GRY-D,WL515GRY-D</t>
  </si>
  <si>
    <t>M5157I4-D,U5746SG-D</t>
  </si>
  <si>
    <t>M51534P-D,U5746O5-D,U5746SG-D,WL515SBL-B</t>
  </si>
  <si>
    <t>W574EL-B</t>
  </si>
  <si>
    <t>ML515BLK-4E,ML515BLK-D,WL515BLK-B</t>
  </si>
  <si>
    <t>MYCMP033260415001</t>
  </si>
  <si>
    <t>MYCMP033260415002</t>
  </si>
  <si>
    <t>MYCMP033260415003</t>
  </si>
  <si>
    <t>MYCMP034260415001</t>
  </si>
  <si>
    <t>MYCMP034260415002</t>
  </si>
  <si>
    <t>MYCMP034260415003</t>
  </si>
  <si>
    <t>MYCMP034260415004</t>
  </si>
  <si>
    <t>MYCMP034260415005</t>
  </si>
  <si>
    <t>MYCMP034260415006</t>
  </si>
  <si>
    <t>MYCMP034260415007</t>
  </si>
  <si>
    <t>MYCMP034260415008</t>
  </si>
  <si>
    <t>MYCMP034260415009</t>
  </si>
  <si>
    <t>PWI2-DEV-SO-260211-0101</t>
  </si>
  <si>
    <t>SYQPW010260415001</t>
  </si>
  <si>
    <t>COLOR TOO DARK</t>
  </si>
  <si>
    <t>PSC26041704</t>
  </si>
  <si>
    <t>PSC26041705</t>
  </si>
  <si>
    <t>SFI-PRB-UO-260126-0001 FOC</t>
  </si>
  <si>
    <t>SFI-PRD-UO-260213-0037FOC</t>
  </si>
  <si>
    <t>BYCPW020260417001</t>
  </si>
  <si>
    <t>BYCPW020260417002</t>
  </si>
  <si>
    <t>PS26042001</t>
  </si>
  <si>
    <t>U2026045872NBREPRO/135010034C</t>
  </si>
  <si>
    <t>MYCMP034260420001</t>
  </si>
  <si>
    <t>PSC26042002</t>
  </si>
  <si>
    <t>N2026012460NBFOC/108032194C</t>
  </si>
  <si>
    <t>BYCMP033260420001</t>
  </si>
  <si>
    <t>REQUEST 4/22</t>
  </si>
  <si>
    <t>PS26041602</t>
  </si>
  <si>
    <t>PS26041603</t>
  </si>
  <si>
    <t>PS26041604</t>
  </si>
  <si>
    <t>PS26041605</t>
  </si>
  <si>
    <t>PS26041606</t>
  </si>
  <si>
    <t>BLK2241/26-9045608</t>
  </si>
  <si>
    <t>N2026049986NBREPRO/108032328C</t>
  </si>
  <si>
    <t>N2026049987NBREPRO/135010014C</t>
  </si>
  <si>
    <t>N2026049987NBREPRO/135010233C</t>
  </si>
  <si>
    <t>N2026049988NBREPRO/108032194C</t>
  </si>
  <si>
    <t>WS237PJ-GEI</t>
  </si>
  <si>
    <t>MYCSL045260416001</t>
  </si>
  <si>
    <t>MYCMP033260416001</t>
  </si>
  <si>
    <t>MYCMP033260416002</t>
  </si>
  <si>
    <t>MYCMP033260416003</t>
  </si>
  <si>
    <t>MYCMP033260416004</t>
  </si>
  <si>
    <t>PSC26041601</t>
  </si>
  <si>
    <t>BYCMP034260416001</t>
  </si>
  <si>
    <t>PS26042101</t>
  </si>
  <si>
    <t>PS26042102</t>
  </si>
  <si>
    <t>PWA-PRD-RO-260421-0018</t>
  </si>
  <si>
    <t xml:space="preserve">BLACK CEMENT (008-24-00)              </t>
  </si>
  <si>
    <t xml:space="preserve">LINEN (034-84-05) COLORO           </t>
  </si>
  <si>
    <t>MYCGS009260421001</t>
  </si>
  <si>
    <t>MYCPW030260421001</t>
  </si>
  <si>
    <t>PSC26042101</t>
  </si>
  <si>
    <t>PSC26042102</t>
  </si>
  <si>
    <t>PSC26042103</t>
  </si>
  <si>
    <t>PSC26042104</t>
  </si>
  <si>
    <t>PSC26042105</t>
  </si>
  <si>
    <t>PSC26042106</t>
  </si>
  <si>
    <t>PSC26042107</t>
  </si>
  <si>
    <t>PSC26042108</t>
  </si>
  <si>
    <t>PSC26042109</t>
  </si>
  <si>
    <t>PSC26042110</t>
  </si>
  <si>
    <t>PSC26042111</t>
  </si>
  <si>
    <t>U2026010700NB-FOC1/135010017C</t>
  </si>
  <si>
    <t>SFI-PRD-UO-250910-0025FOC</t>
  </si>
  <si>
    <t>SFI-PRB-UO-250922-0002FOC</t>
  </si>
  <si>
    <t>SFI-PRD-UO-251127-0001FOC</t>
  </si>
  <si>
    <t>SFI-PRB-UO-251201-0008FOC</t>
  </si>
  <si>
    <t>SFI-PRD-UO-260213-0035FOC</t>
  </si>
  <si>
    <t>SFI-PRD-UO-250502-0121FOC</t>
  </si>
  <si>
    <t>SFI-PRD-UO-251127-0002FOC2</t>
  </si>
  <si>
    <t>SFI-PRD-UO-251127-0003FOC</t>
  </si>
  <si>
    <t>SFI-PRB-UO-260129-0001FOC</t>
  </si>
  <si>
    <t>SFI-PRD-UO-260129-0075/SFI-PRD-RO-260211-0006FOC</t>
  </si>
  <si>
    <t>BYCMP034260421001</t>
  </si>
  <si>
    <t>BYCPW020260421001</t>
  </si>
  <si>
    <t>BYCPW020260421002</t>
  </si>
  <si>
    <t>BYCPW020260421003</t>
  </si>
  <si>
    <t>BYCPW020260421004</t>
  </si>
  <si>
    <t>BYCPW020260421005</t>
  </si>
  <si>
    <t>BYCPW020260421006</t>
  </si>
  <si>
    <t>BYCPW020260421007</t>
  </si>
  <si>
    <t>BYCPW020260421008</t>
  </si>
  <si>
    <t>BYCPW020260421009</t>
  </si>
  <si>
    <t>BYCPW020260421010</t>
  </si>
  <si>
    <t>PT. SFI</t>
  </si>
  <si>
    <t>SFI-PRD-UO-260131-0016</t>
  </si>
  <si>
    <t>PINK TAFFY (154-63-12)</t>
  </si>
  <si>
    <t>QYCPW020260422001</t>
  </si>
  <si>
    <t>COLOR TOO LIGHT</t>
  </si>
  <si>
    <t>PS26042201</t>
  </si>
  <si>
    <t>BLK2359/26-9021569</t>
  </si>
  <si>
    <t>5/6</t>
  </si>
  <si>
    <t>MYCSL045260422001</t>
  </si>
  <si>
    <t>PSC26042202</t>
  </si>
  <si>
    <t>PSC26042203</t>
  </si>
  <si>
    <t>PSC26042204</t>
  </si>
  <si>
    <t>PSC26042205</t>
  </si>
  <si>
    <t>PSC26042206</t>
  </si>
  <si>
    <t>PWI2-PRD-UO-260128-0040FOC</t>
  </si>
  <si>
    <t>PWI2-PRD-UO-260129-0171FOC</t>
  </si>
  <si>
    <t>PWI2-PRD-RO-260113-0019FOC</t>
  </si>
  <si>
    <t>PWI2-PRB-UO-251223-0030FOC2</t>
  </si>
  <si>
    <t>BYCPW010260422001</t>
  </si>
  <si>
    <t>BYCPW010260422002</t>
  </si>
  <si>
    <t>BYCPW010260422003</t>
  </si>
  <si>
    <t>BYCPW010260422004</t>
  </si>
  <si>
    <t>BYCPW010260422005</t>
  </si>
  <si>
    <t>PS26031001</t>
  </si>
  <si>
    <t>PS26042301</t>
  </si>
  <si>
    <t>PS26042302</t>
  </si>
  <si>
    <t>4000130639</t>
  </si>
  <si>
    <t>U2026046231NBREPRO/108032200C</t>
  </si>
  <si>
    <t>U2026046231NBREPRO/140058002C</t>
  </si>
  <si>
    <t>WL515GRY-B</t>
  </si>
  <si>
    <t>MYCGS009260310001</t>
  </si>
  <si>
    <t>MYCMP034260423001</t>
  </si>
  <si>
    <t>MYCMP034260423002</t>
  </si>
  <si>
    <t>10 MB020027116</t>
  </si>
  <si>
    <t>S26042301</t>
  </si>
  <si>
    <t>PWI2-DEV-SO-260417-0077</t>
  </si>
  <si>
    <t>SYCPW010260423001</t>
  </si>
  <si>
    <t>PT. LONGWELL</t>
  </si>
  <si>
    <t>IB22602040302</t>
  </si>
  <si>
    <t>TRUFFLE SALT COLORO (159-63-02)</t>
  </si>
  <si>
    <t>QYCLW001260423001</t>
  </si>
  <si>
    <t>CUCI JAMUR</t>
  </si>
  <si>
    <t>MOLD</t>
  </si>
  <si>
    <t>PS26042401</t>
  </si>
  <si>
    <t>N2026040964NBREPRO/108032186C</t>
  </si>
  <si>
    <t>5/8</t>
  </si>
  <si>
    <t>UN480NCT,UN480NCT-2E</t>
  </si>
  <si>
    <t>MYCMP033260424001</t>
  </si>
  <si>
    <t>PSC26042407</t>
  </si>
  <si>
    <t>PSC26042403</t>
  </si>
  <si>
    <t>PSC26042404</t>
  </si>
  <si>
    <t>PSC26042405</t>
  </si>
  <si>
    <t>PSC26042406</t>
  </si>
  <si>
    <t>SFI-PRD-UO-251127-0001FOC3</t>
  </si>
  <si>
    <t>SFI-PRB-UO-251219-0004FOC2</t>
  </si>
  <si>
    <t>SFI-PRB-UO-260126-0001FOC</t>
  </si>
  <si>
    <t>SFI-PRD-UO-260212-0048FOC</t>
  </si>
  <si>
    <t>BYCPW020260424005</t>
  </si>
  <si>
    <t>BYCPW020260424001</t>
  </si>
  <si>
    <t>BYCPW020260424002</t>
  </si>
  <si>
    <t>BYCPW020260424003</t>
  </si>
  <si>
    <t>BYCPW020260424004</t>
  </si>
  <si>
    <t>QYCMP034260427001</t>
  </si>
  <si>
    <t>NF2026041616NB-FOC/108010138c</t>
  </si>
  <si>
    <t>Ultra Suede</t>
  </si>
  <si>
    <t xml:space="preserve">-  </t>
  </si>
  <si>
    <t>QYCMP033260427001</t>
  </si>
  <si>
    <t>NF2026040169NBD-FOC/173003018C</t>
  </si>
  <si>
    <t xml:space="preserve">SAMPLE </t>
  </si>
  <si>
    <t>QYCMP033260427002</t>
  </si>
  <si>
    <t>PWI2-DEV-SO-260305-0062</t>
  </si>
  <si>
    <t xml:space="preserve">TRUFFLE SALT COLORO (159-63-02)  </t>
  </si>
  <si>
    <t>SYQPW010260427001</t>
  </si>
  <si>
    <t>PWI2-DEV-SO-260317-0065</t>
  </si>
  <si>
    <t xml:space="preserve">RICH OAK  COLORO (019-27-14)  </t>
  </si>
  <si>
    <t>SYQPW010260427002</t>
  </si>
  <si>
    <t>PS26042701</t>
  </si>
  <si>
    <t>U2026046347NB/101132311C</t>
  </si>
  <si>
    <t>5/11</t>
  </si>
  <si>
    <t>W51543J-B</t>
  </si>
  <si>
    <t>MYCMP034260427001</t>
  </si>
  <si>
    <t>PS26042702</t>
  </si>
  <si>
    <t>U2026046347NB/135010033C</t>
  </si>
  <si>
    <t>MYCMP034260427002</t>
  </si>
  <si>
    <t>S26042701</t>
  </si>
  <si>
    <t>PWI2-DEV-SO-260425-0002</t>
  </si>
  <si>
    <t>U204L870</t>
  </si>
  <si>
    <t>SYCPW010260427001</t>
  </si>
  <si>
    <t>SYCPW010260427002</t>
  </si>
  <si>
    <t>PS26042802</t>
  </si>
  <si>
    <t xml:space="preserve">PO#3897~3737-6-22 ERP : 1180/PO-SAI/IV/2026	</t>
  </si>
  <si>
    <t>5/19</t>
  </si>
  <si>
    <t>MYCSD047260428001</t>
  </si>
  <si>
    <t>PS26042803</t>
  </si>
  <si>
    <t>PWA-PRD-RO-260428-0006</t>
  </si>
  <si>
    <t>MYCPW030260428001</t>
  </si>
  <si>
    <t>PSC26042901</t>
  </si>
  <si>
    <t>PSC26042902</t>
  </si>
  <si>
    <t>PSC26042903</t>
  </si>
  <si>
    <t>PSC26042904</t>
  </si>
  <si>
    <t>PSC26042905</t>
  </si>
  <si>
    <t>PSC26042907</t>
  </si>
  <si>
    <t>PWA-PRD-UO-260225-0111FOC</t>
  </si>
  <si>
    <t>PWA-PRD-UO-260226-0032FOC</t>
  </si>
  <si>
    <t>U2026034453NB-DFLTFOC/140058002C</t>
  </si>
  <si>
    <t>N2026012475NBFOC/135010034C</t>
  </si>
  <si>
    <t>N2026012460NBFOC/108032186C</t>
  </si>
  <si>
    <t>N2026023398NBFOC/135010233C</t>
  </si>
  <si>
    <t>5/13</t>
  </si>
  <si>
    <t>BYCPW030260429001</t>
  </si>
  <si>
    <t>BYCPW030260429002</t>
  </si>
  <si>
    <t>BYCMP034260429001</t>
  </si>
  <si>
    <t>BYCMP033260429001</t>
  </si>
  <si>
    <t>BYCMP033260429002</t>
  </si>
  <si>
    <t>BYCMP033260429003</t>
  </si>
  <si>
    <t>001/PWI/PRC/IV/2026</t>
  </si>
  <si>
    <t>QYCPW010260428001</t>
  </si>
  <si>
    <t>Performance Suede</t>
  </si>
  <si>
    <t xml:space="preserve">TEAM RED COLORO (010-35-35)  </t>
  </si>
  <si>
    <t>QYCPW010260428002</t>
  </si>
  <si>
    <t>PS26043001</t>
  </si>
  <si>
    <t>4000245023</t>
  </si>
  <si>
    <t>5/21</t>
  </si>
  <si>
    <t>MYCGS009260430001</t>
  </si>
  <si>
    <t>MYCGS009260430002</t>
  </si>
  <si>
    <t>MYCGS009260430003</t>
  </si>
  <si>
    <t>MYCGS009260430004</t>
  </si>
  <si>
    <t>MYCGS009260430005</t>
  </si>
  <si>
    <t xml:space="preserve">10 MB020014276_x000D_
</t>
  </si>
  <si>
    <t xml:space="preserve">20 MB020014276_x000D_
</t>
  </si>
  <si>
    <t xml:space="preserve">30 MB020014276_x000D_
</t>
  </si>
  <si>
    <t xml:space="preserve">40 MB020014276_x000D_
</t>
  </si>
  <si>
    <t xml:space="preserve">50 MB020014276_x000D_
</t>
  </si>
  <si>
    <t>PSC26043001</t>
  </si>
  <si>
    <t>U2026033865NBFOC/135010034C</t>
  </si>
  <si>
    <t>5/14</t>
  </si>
  <si>
    <t>BYCMP034260430001</t>
  </si>
  <si>
    <t>PS26050415</t>
  </si>
  <si>
    <t>PS26050416</t>
  </si>
  <si>
    <t>PS26050417</t>
  </si>
  <si>
    <t>PS26050418</t>
  </si>
  <si>
    <t>N2026041437NBREPRO/135010033C</t>
  </si>
  <si>
    <t>N2026041437NBREPRO/135010034C</t>
  </si>
  <si>
    <t>N2026041437NBREPRO/140151064C</t>
  </si>
  <si>
    <t>N2026041437NBREPRO/140151104C</t>
  </si>
  <si>
    <t>5/18</t>
  </si>
  <si>
    <t>MYCMP033260504011</t>
  </si>
  <si>
    <t>MYCMP033260504012</t>
  </si>
  <si>
    <t>MYCMP033260504013</t>
  </si>
  <si>
    <t>MYCMP033260504014</t>
  </si>
  <si>
    <t>PS26050405</t>
  </si>
  <si>
    <t>PS26050406</t>
  </si>
  <si>
    <t>PS26050407</t>
  </si>
  <si>
    <t>PS26050408</t>
  </si>
  <si>
    <t>PS26050409</t>
  </si>
  <si>
    <t>PS26050410</t>
  </si>
  <si>
    <t>PS26050411</t>
  </si>
  <si>
    <t>PS26050412</t>
  </si>
  <si>
    <t>PS26050413</t>
  </si>
  <si>
    <t>PS26050414</t>
  </si>
  <si>
    <t>PS26050420</t>
  </si>
  <si>
    <t>PS26050404</t>
  </si>
  <si>
    <t>PS26050403</t>
  </si>
  <si>
    <t>PS26050431</t>
  </si>
  <si>
    <t>PS26050419</t>
  </si>
  <si>
    <t>PS26050402</t>
  </si>
  <si>
    <t>PS26050401</t>
  </si>
  <si>
    <t>PS26050436</t>
  </si>
  <si>
    <t>PS26050435</t>
  </si>
  <si>
    <t>PS26050434</t>
  </si>
  <si>
    <t>PS26050433</t>
  </si>
  <si>
    <t>PS26050432</t>
  </si>
  <si>
    <t>PS26050422</t>
  </si>
  <si>
    <t>PS26050423</t>
  </si>
  <si>
    <t>PS26050424</t>
  </si>
  <si>
    <t>PS26050425</t>
  </si>
  <si>
    <t>PS26050426</t>
  </si>
  <si>
    <t>PS26050427</t>
  </si>
  <si>
    <t>PS26050428</t>
  </si>
  <si>
    <t>PS26050429</t>
  </si>
  <si>
    <t>PS26050430</t>
  </si>
  <si>
    <t>PS26050421</t>
  </si>
  <si>
    <t>N2026041923NB-DFLT/108032186C</t>
  </si>
  <si>
    <t>N2026041923NB-DFLT/135010033C</t>
  </si>
  <si>
    <t>N2026041926NB-DFLT/108032190C</t>
  </si>
  <si>
    <t>N2026041926NB-DFLT/108032272C</t>
  </si>
  <si>
    <t>N2026041926NB-DFLT/140151149C</t>
  </si>
  <si>
    <t>N2026041940NB/108032186C</t>
  </si>
  <si>
    <t>N2026041940NB/108032190C</t>
  </si>
  <si>
    <t>N2026041940NB/135010033C</t>
  </si>
  <si>
    <t>N2026041940NB/135010034C</t>
  </si>
  <si>
    <t>N2026041940NB/135010168C</t>
  </si>
  <si>
    <t>N2026052057NB/135010033C</t>
  </si>
  <si>
    <t>PWI2-PRD-RO-260430-0024</t>
  </si>
  <si>
    <t>PWI2-PRD-UO-260430-0107</t>
  </si>
  <si>
    <t xml:space="preserve">PO#5784~2439-6-23 ERP : 0099/PO-SAI/V/2026	</t>
  </si>
  <si>
    <t>PWA-PRD-UO-260502-0075</t>
  </si>
  <si>
    <t>SFI-PRD-UO-260430-0079</t>
  </si>
  <si>
    <t>SFI-PRD-UO-260430-0082</t>
  </si>
  <si>
    <t>SFI-PRD-UO-260502-0027</t>
  </si>
  <si>
    <t>SFI-PRD-UO-260504-0004</t>
  </si>
  <si>
    <t>SFI-PRD-UO-260504-0005</t>
  </si>
  <si>
    <t>SFI-PRD-UO-260504-0006</t>
  </si>
  <si>
    <t>SFI-PRD-UO-260504-0009</t>
  </si>
  <si>
    <t>U2026046739NB-DFLT/135010014C</t>
  </si>
  <si>
    <t>U2026046739NB-DFLT/135010033C</t>
  </si>
  <si>
    <t>U2026046739NB-DFLT/135010034C</t>
  </si>
  <si>
    <t>U2026046739NB-DFLT/135010132C</t>
  </si>
  <si>
    <t>U2026046739NB-DFLT/135010233C</t>
  </si>
  <si>
    <t>U2026046853NB/108032208C</t>
  </si>
  <si>
    <t>U2026046853NB/135010014C</t>
  </si>
  <si>
    <t>U2026046853NB/135010233C</t>
  </si>
  <si>
    <t>U2026046853NB/140058002C</t>
  </si>
  <si>
    <t>U2026056960NB/135010033C</t>
  </si>
  <si>
    <t xml:space="preserve">INCENSE (032-64-10) COLORO  </t>
  </si>
  <si>
    <t xml:space="preserve">LINEN (034-84-05) COLORO             </t>
  </si>
  <si>
    <t xml:space="preserve">MAGNET (142-34-00)          </t>
  </si>
  <si>
    <t xml:space="preserve">PINK GRANITE (152-83-06) COLORO  </t>
  </si>
  <si>
    <t xml:space="preserve">ARID STONE (027-58-04) COLORO  </t>
  </si>
  <si>
    <t>U90606LQ-D,U9060ECA-D</t>
  </si>
  <si>
    <t>UN808LSN</t>
  </si>
  <si>
    <t>NM440WSR</t>
  </si>
  <si>
    <t>UN440HAW</t>
  </si>
  <si>
    <t xml:space="preserve">U204L9SI-D	</t>
  </si>
  <si>
    <t xml:space="preserve">G9060V1	</t>
  </si>
  <si>
    <t>G90609SI-M</t>
  </si>
  <si>
    <t>G90603SO-M/W</t>
  </si>
  <si>
    <t>G90603SO-M</t>
  </si>
  <si>
    <t>G90603SO-W</t>
  </si>
  <si>
    <t xml:space="preserve">G9060V1		</t>
  </si>
  <si>
    <t>G90602JM-M</t>
  </si>
  <si>
    <t xml:space="preserve">P9060V1		</t>
  </si>
  <si>
    <t>P90602HQ-M</t>
  </si>
  <si>
    <t>P90605NF-M</t>
  </si>
  <si>
    <t xml:space="preserve">PC9060V1	</t>
  </si>
  <si>
    <t>PC9060EX-M</t>
  </si>
  <si>
    <t xml:space="preserve">GC9060V1	</t>
  </si>
  <si>
    <t>GC9060EP-M</t>
  </si>
  <si>
    <t>PC9060EP-M</t>
  </si>
  <si>
    <t>5/29</t>
  </si>
  <si>
    <t>5/25</t>
  </si>
  <si>
    <t>5/20</t>
  </si>
  <si>
    <t>5/22</t>
  </si>
  <si>
    <t>MYCMP033260504001</t>
  </si>
  <si>
    <t>MYCMP033260504002</t>
  </si>
  <si>
    <t>MYCMP033260504003</t>
  </si>
  <si>
    <t>MYCMP033260504004</t>
  </si>
  <si>
    <t>MYCMP033260504005</t>
  </si>
  <si>
    <t>MYCMP033260504006</t>
  </si>
  <si>
    <t>MYCMP033260504007</t>
  </si>
  <si>
    <t>MYCMP033260504008</t>
  </si>
  <si>
    <t>MYCMP033260504009</t>
  </si>
  <si>
    <t>MYCMP033260504010</t>
  </si>
  <si>
    <t>MYCMP033260504015</t>
  </si>
  <si>
    <t>MYCPW010260504002</t>
  </si>
  <si>
    <t>MYCPW010260504001</t>
  </si>
  <si>
    <t>MYCSD047260504001</t>
  </si>
  <si>
    <t>MYCPW030260504001</t>
  </si>
  <si>
    <t>MYCPW020260504002</t>
  </si>
  <si>
    <t>MYCPW020260504001</t>
  </si>
  <si>
    <t>MYCPW020260504015</t>
  </si>
  <si>
    <t>MYCPW020260504016</t>
  </si>
  <si>
    <t>MYCPW020260504008</t>
  </si>
  <si>
    <t>MYCPW020260504009</t>
  </si>
  <si>
    <t>MYCPW020260504010</t>
  </si>
  <si>
    <t>MYCPW020260504011</t>
  </si>
  <si>
    <t>MYCPW020260504012</t>
  </si>
  <si>
    <t>MYCPW020260504013</t>
  </si>
  <si>
    <t>MYCPW020260504014</t>
  </si>
  <si>
    <t>MYCPW020260504005</t>
  </si>
  <si>
    <t>MYCPW020260504006</t>
  </si>
  <si>
    <t>MYCPW020260504007</t>
  </si>
  <si>
    <t>MYCPW020260504004</t>
  </si>
  <si>
    <t>MYCPW020260504003</t>
  </si>
  <si>
    <t>MYCMP034260504002</t>
  </si>
  <si>
    <t>MYCMP034260504003</t>
  </si>
  <si>
    <t>MYCMP034260504004</t>
  </si>
  <si>
    <t>MYCMP034260504005</t>
  </si>
  <si>
    <t>MYCMP034260504006</t>
  </si>
  <si>
    <t>MYCMP034260504007</t>
  </si>
  <si>
    <t>MYCMP034260504008</t>
  </si>
  <si>
    <t>MYCMP034260504009</t>
  </si>
  <si>
    <t>MYCMP034260504010</t>
  </si>
  <si>
    <t>MYCMP034260504001</t>
  </si>
  <si>
    <t>NO LOT</t>
  </si>
  <si>
    <t>KETERANGAN</t>
  </si>
  <si>
    <t>PRODUCTION ORDER</t>
  </si>
  <si>
    <t>SAMPLE ORDER</t>
  </si>
  <si>
    <t>RETUR/SUBCONT</t>
  </si>
  <si>
    <r>
      <rPr>
        <b/>
        <sz val="20"/>
        <color rgb="FFFF0000"/>
        <rFont val="Calibri"/>
        <family val="2"/>
        <scheme val="minor"/>
      </rPr>
      <t>MYC</t>
    </r>
    <r>
      <rPr>
        <b/>
        <sz val="20"/>
        <color rgb="FF00B050"/>
        <rFont val="Calibri"/>
        <family val="2"/>
        <scheme val="minor"/>
      </rPr>
      <t>LR028</t>
    </r>
    <r>
      <rPr>
        <b/>
        <sz val="20"/>
        <color rgb="FF7030A0"/>
        <rFont val="Calibri"/>
        <family val="2"/>
        <scheme val="minor"/>
      </rPr>
      <t>250107</t>
    </r>
    <r>
      <rPr>
        <b/>
        <sz val="20"/>
        <color theme="1"/>
        <rFont val="Calibri"/>
        <family val="2"/>
        <scheme val="minor"/>
      </rPr>
      <t>001</t>
    </r>
  </si>
  <si>
    <t>SYC = INISIAL SAMPLE SUEDE</t>
  </si>
  <si>
    <t>BYC = INISIAL CLAIM SUEDE</t>
  </si>
  <si>
    <t>QYC = INISIAL RETUR/SUBCONT SUEDE</t>
  </si>
  <si>
    <t>INISIAL LOT UNTUK SUEDE</t>
  </si>
  <si>
    <t>CATATAN :</t>
  </si>
  <si>
    <t>Remark tolong dibuat dua kolom, yang satu itu remark otomatis yang kita isi ketika input PO. Satunya lagi remark untuk outstanding order</t>
  </si>
  <si>
    <t>Data outstanding order minta ada filter beberapa factory saja karena marketing handle tidak semua factory</t>
  </si>
  <si>
    <t>INISIAL LOT UNTUK PU COATED</t>
  </si>
  <si>
    <t>PUMSL043250710002</t>
  </si>
  <si>
    <t>PUSAD002241206007</t>
  </si>
  <si>
    <t>PURAD002241029012</t>
  </si>
  <si>
    <t>PUCAD002250711001</t>
  </si>
  <si>
    <r>
      <rPr>
        <sz val="22"/>
        <color rgb="FFFF0000"/>
        <rFont val="Calibri"/>
        <family val="2"/>
        <scheme val="minor"/>
      </rPr>
      <t>PUM</t>
    </r>
    <r>
      <rPr>
        <sz val="22"/>
        <color rgb="FF00B050"/>
        <rFont val="Calibri"/>
        <family val="2"/>
        <scheme val="minor"/>
      </rPr>
      <t>SL043</t>
    </r>
    <r>
      <rPr>
        <sz val="22"/>
        <color rgb="FF7030A0"/>
        <rFont val="Calibri"/>
        <family val="2"/>
        <scheme val="minor"/>
      </rPr>
      <t>250710</t>
    </r>
    <r>
      <rPr>
        <sz val="22"/>
        <color theme="1"/>
        <rFont val="Calibri"/>
        <family val="2"/>
        <scheme val="minor"/>
      </rPr>
      <t>002</t>
    </r>
  </si>
  <si>
    <t>Minta Filter material yang sudah terkirim, cancel, belum terkirim, dan All</t>
  </si>
  <si>
    <t>Minta fitur download excel dan bisa download untuk semua category production order, sample, claim, retur/subcont</t>
  </si>
  <si>
    <t>Order dipisah berdasarkan kategori (produksi,sample,claim,retur,subcont)</t>
  </si>
  <si>
    <t>Lot Return dan Subcont boleh dipisah inisialnya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</si>
</sst>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\-mmm;@"/>
    <numFmt numFmtId="167" formatCode="0.0"/>
    <numFmt numFmtId="168" formatCode="_(* #,##0.0_);_(* \(#,##0.0\);_(* &quot;-&quot;??_);_(@_)"/>
    <numFmt numFmtId="169" formatCode="#,##0.0"/>
    <numFmt numFmtId="170" formatCode="m/d;@"/>
    <numFmt numFmtId="171" formatCode="#,##0.000"/>
    <numFmt numFmtId="172" formatCode="#,##0.00;[Red]#,##0.00"/>
    <numFmt numFmtId="173" formatCode="&quot;$&quot;#,##0.00;[Red]\-&quot;$&quot;#,##0.00"/>
    <numFmt numFmtId="174" formatCode="###\ ###\ ###\ ###"/>
    <numFmt numFmtId="175" formatCode="#.0\ ###\ ###"/>
    <numFmt numFmtId="176" formatCode="#,##0.0000"/>
    <numFmt numFmtId="177" formatCode="###\ ###\ ###\ ###.00"/>
    <numFmt numFmtId="178" formatCode="_-* #,##0.000_-;\-* #,##0.000_-;_-* &quot;-&quot;??_-;_-@_-"/>
    <numFmt numFmtId="179" formatCode="#,##0.00_ "/>
    <numFmt numFmtId="180" formatCode="_ * #,##0.00_ ;_ * \-#,##0.00_ ;_ * &quot;-&quot;??_ ;_ @_ "/>
    <numFmt numFmtId="181" formatCode="&quot;¥&quot;#,##0.00;[Red]&quot;¥&quot;\-#,##0.00"/>
    <numFmt numFmtId="182" formatCode="_-* #,##0.0_-;\-* #,##0.0_-;_-* &quot;-&quot;??_-;_-@_-"/>
    <numFmt numFmtId="183" formatCode="_(* #,##0_);_(* \(#,##0\);_(* &quot;-&quot;??_);_(@_)"/>
    <numFmt numFmtId="184" formatCode="#,##0;[Red]#,##0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indexed="8"/>
      <name val="標楷體"/>
      <family val="4"/>
      <charset val="136"/>
    </font>
    <font>
      <sz val="10"/>
      <color indexed="8"/>
      <name val="MS Sans Serif"/>
      <family val="2"/>
    </font>
    <font>
      <sz val="8"/>
      <name val="Trebuchet MS"/>
      <family val="2"/>
    </font>
    <font>
      <sz val="12"/>
      <name val="新細明體"/>
      <family val="1"/>
      <charset val="136"/>
    </font>
    <font>
      <sz val="8"/>
      <color theme="1"/>
      <name val="Trebuchet MS"/>
      <family val="2"/>
    </font>
    <font>
      <sz val="8"/>
      <color indexed="8"/>
      <name val="Trebuchet MS"/>
      <family val="2"/>
    </font>
    <font>
      <sz val="8"/>
      <color rgb="FFFF0000"/>
      <name val="Trebuchet MS"/>
      <family val="2"/>
    </font>
    <font>
      <b/>
      <sz val="20"/>
      <color indexed="8"/>
      <name val="新細明體"/>
      <family val="1"/>
      <charset val="136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name val="vni-times"/>
      <family val="2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1"/>
      <color indexed="2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0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sz val="11"/>
      <color indexed="1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name val="Arial"/>
      <family val="2"/>
    </font>
    <font>
      <sz val="12"/>
      <color indexed="6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宋体"/>
      <charset val="134"/>
    </font>
    <font>
      <sz val="12"/>
      <color indexed="8"/>
      <name val="宋体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8"/>
      <color indexed="8"/>
      <name val="Trebuchet MS"/>
      <family val="2"/>
    </font>
    <font>
      <sz val="18"/>
      <color theme="1"/>
      <name val="Trebuchet MS"/>
      <family val="2"/>
    </font>
    <font>
      <sz val="15"/>
      <color theme="1"/>
      <name val="Trebuchet MS"/>
      <family val="2"/>
    </font>
    <font>
      <sz val="18"/>
      <name val="Trebuchet MS"/>
      <family val="2"/>
    </font>
    <font>
      <sz val="15"/>
      <name val="Trebuchet MS"/>
      <family val="2"/>
    </font>
    <font>
      <b/>
      <sz val="12"/>
      <color theme="1"/>
      <name val="Trebuchet MS"/>
      <family val="2"/>
    </font>
    <font>
      <b/>
      <sz val="12"/>
      <name val="Trebuchet MS"/>
      <family val="2"/>
    </font>
    <font>
      <sz val="12"/>
      <color theme="1"/>
      <name val="Calibri"/>
      <family val="2"/>
      <scheme val="minor"/>
    </font>
    <font>
      <b/>
      <sz val="11"/>
      <name val="Trebuchet MS"/>
      <family val="2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sz val="10"/>
      <name val="Microsoft YaHei"/>
      <family val="2"/>
      <charset val="136"/>
    </font>
    <font>
      <sz val="22"/>
      <name val="Calibri"/>
      <family val="2"/>
      <scheme val="minor"/>
    </font>
    <font>
      <b/>
      <sz val="8"/>
      <name val="Trebuchet MS"/>
      <family val="2"/>
    </font>
    <font>
      <sz val="10"/>
      <name val="Times New Roman"/>
      <family val="1"/>
    </font>
    <font>
      <sz val="8"/>
      <color theme="5"/>
      <name val="Trebuchet MS"/>
      <family val="2"/>
    </font>
    <font>
      <sz val="8"/>
      <color rgb="FF000000"/>
      <name val="Trebuchet MS"/>
      <family val="2"/>
    </font>
    <font>
      <sz val="8"/>
      <color rgb="FF00B050"/>
      <name val="Trebuchet MS"/>
      <family val="2"/>
    </font>
    <font>
      <b/>
      <sz val="10"/>
      <color indexed="8"/>
      <name val="MS Sans Serif"/>
      <family val="2"/>
    </font>
    <font>
      <sz val="8"/>
      <color indexed="8"/>
      <name val="Tre"/>
    </font>
    <font>
      <sz val="8"/>
      <color theme="1"/>
      <name val="Tre"/>
    </font>
    <font>
      <b/>
      <sz val="8"/>
      <color indexed="8"/>
      <name val="Tre"/>
    </font>
    <font>
      <sz val="8"/>
      <color rgb="FFFF0000"/>
      <name val="Tre"/>
    </font>
    <font>
      <sz val="8"/>
      <color rgb="FF00B0F0"/>
      <name val="Trebuchet MS"/>
      <family val="2"/>
    </font>
    <font>
      <sz val="8"/>
      <name val="Tre"/>
    </font>
    <font>
      <sz val="8"/>
      <color rgb="FFFFC000"/>
      <name val="Trebuchet MS"/>
      <family val="2"/>
    </font>
    <font>
      <sz val="8"/>
      <color rgb="FFFFFF00"/>
      <name val="Trebuchet MS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rebuchet MS"/>
      <family val="2"/>
    </font>
    <font>
      <sz val="12"/>
      <color indexed="9"/>
      <name val="宋体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2"/>
      <color indexed="17"/>
      <name val="宋体"/>
      <charset val="134"/>
    </font>
    <font>
      <b/>
      <sz val="12"/>
      <color indexed="8"/>
      <name val="宋体"/>
      <charset val="134"/>
    </font>
    <font>
      <sz val="12"/>
      <color indexed="20"/>
      <name val="宋体"/>
      <charset val="134"/>
    </font>
    <font>
      <b/>
      <sz val="12"/>
      <color indexed="10"/>
      <name val="宋体"/>
      <charset val="134"/>
    </font>
    <font>
      <b/>
      <sz val="12"/>
      <color indexed="9"/>
      <name val="宋体"/>
      <charset val="134"/>
    </font>
    <font>
      <sz val="12"/>
      <color indexed="10"/>
      <name val="宋体"/>
      <charset val="134"/>
    </font>
    <font>
      <b/>
      <sz val="12"/>
      <color indexed="63"/>
      <name val="宋体"/>
      <charset val="134"/>
    </font>
    <font>
      <sz val="12"/>
      <color indexed="62"/>
      <name val="宋体"/>
      <charset val="134"/>
    </font>
    <font>
      <i/>
      <sz val="12"/>
      <color indexed="23"/>
      <name val="宋体"/>
      <charset val="134"/>
    </font>
    <font>
      <sz val="12"/>
      <color indexed="19"/>
      <name val="宋体"/>
      <charset val="134"/>
    </font>
    <font>
      <sz val="16"/>
      <color theme="1"/>
      <name val="Calibri"/>
      <family val="2"/>
      <scheme val="minor"/>
    </font>
    <font>
      <sz val="12"/>
      <name val="Trebuchet M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2"/>
      <color rgb="FF7030A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rgb="FFB043F3"/>
        <bgColor indexed="64"/>
      </patternFill>
    </fill>
    <fill>
      <patternFill patternType="solid">
        <fgColor indexed="5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double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382">
    <xf numFmtId="0" fontId="0" fillId="0" borderId="0"/>
    <xf numFmtId="43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Font="0" applyFill="0" applyBorder="0" applyAlignment="0" applyProtection="0"/>
    <xf numFmtId="0" fontId="3" fillId="0" borderId="0"/>
    <xf numFmtId="0" fontId="2" fillId="0" borderId="0" applyFont="0" applyFill="0" applyBorder="0" applyAlignment="0" applyProtection="0"/>
    <xf numFmtId="0" fontId="3" fillId="0" borderId="0"/>
    <xf numFmtId="0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/>
    <xf numFmtId="175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10" fillId="0" borderId="0">
      <alignment vertical="top"/>
    </xf>
    <xf numFmtId="0" fontId="10" fillId="0" borderId="0">
      <alignment vertical="top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3" fontId="5" fillId="0" borderId="0" applyFont="0" applyFill="0" applyBorder="0" applyAlignment="0" applyProtection="0"/>
    <xf numFmtId="3" fontId="11" fillId="0" borderId="0" applyFont="0" applyFill="0" applyBorder="0" applyAlignment="0" applyProtection="0"/>
    <xf numFmtId="174" fontId="14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5" fillId="0" borderId="6" applyNumberFormat="0" applyAlignment="0" applyProtection="0">
      <alignment horizontal="left" vertical="center"/>
    </xf>
    <xf numFmtId="0" fontId="15" fillId="0" borderId="5">
      <alignment horizontal="left" vertical="center"/>
    </xf>
    <xf numFmtId="175" fontId="14" fillId="0" borderId="7"/>
    <xf numFmtId="0" fontId="3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17" fillId="0" borderId="0"/>
    <xf numFmtId="169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8" fillId="0" borderId="0"/>
    <xf numFmtId="0" fontId="19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5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8" borderId="14" applyNumberFormat="0" applyAlignment="0" applyProtection="0">
      <alignment vertical="center"/>
    </xf>
    <xf numFmtId="0" fontId="29" fillId="8" borderId="14" applyNumberFormat="0" applyAlignment="0" applyProtection="0">
      <alignment vertical="center"/>
    </xf>
    <xf numFmtId="0" fontId="30" fillId="18" borderId="15" applyNumberFormat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top"/>
    </xf>
    <xf numFmtId="0" fontId="11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7" fillId="17" borderId="11" applyNumberFormat="0" applyAlignment="0" applyProtection="0">
      <alignment vertical="center"/>
    </xf>
    <xf numFmtId="0" fontId="37" fillId="17" borderId="11" applyNumberFormat="0" applyAlignment="0" applyProtection="0">
      <alignment vertical="center"/>
    </xf>
    <xf numFmtId="0" fontId="37" fillId="17" borderId="11" applyNumberFormat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10" fillId="0" borderId="0">
      <alignment vertical="top"/>
    </xf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/>
    <xf numFmtId="0" fontId="11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5" fontId="9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5" borderId="13" applyNumberFormat="0" applyFon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>
      <alignment vertical="top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11" fillId="0" borderId="17" applyNumberFormat="0" applyFont="0" applyFill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" fillId="0" borderId="0"/>
    <xf numFmtId="43" fontId="11" fillId="0" borderId="0" applyFont="0" applyFill="0" applyBorder="0" applyAlignment="0" applyProtection="0"/>
    <xf numFmtId="0" fontId="45" fillId="0" borderId="12" applyNumberFormat="0" applyFill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0" borderId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0" borderId="0">
      <alignment vertical="top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0" fontId="2" fillId="0" borderId="0" applyFont="0" applyFill="0" applyBorder="0" applyAlignment="0" applyProtection="0"/>
    <xf numFmtId="0" fontId="3" fillId="0" borderId="0"/>
    <xf numFmtId="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5" fillId="0" borderId="12" applyNumberFormat="0" applyFill="0" applyAlignment="0" applyProtection="0">
      <alignment vertical="center"/>
    </xf>
    <xf numFmtId="0" fontId="3" fillId="5" borderId="13" applyNumberFormat="0" applyFont="0" applyAlignment="0" applyProtection="0">
      <alignment vertical="center"/>
    </xf>
    <xf numFmtId="0" fontId="28" fillId="18" borderId="14" applyNumberFormat="0" applyAlignment="0" applyProtection="0">
      <alignment vertical="center"/>
    </xf>
    <xf numFmtId="0" fontId="29" fillId="8" borderId="14" applyNumberFormat="0" applyAlignment="0" applyProtection="0">
      <alignment vertical="center"/>
    </xf>
    <xf numFmtId="0" fontId="30" fillId="18" borderId="15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5" fillId="0" borderId="5">
      <alignment horizontal="left" vertical="center"/>
    </xf>
    <xf numFmtId="0" fontId="25" fillId="0" borderId="12" applyNumberFormat="0" applyFill="0" applyAlignment="0" applyProtection="0">
      <alignment vertical="center"/>
    </xf>
    <xf numFmtId="0" fontId="3" fillId="5" borderId="13" applyNumberFormat="0" applyFont="0" applyAlignment="0" applyProtection="0">
      <alignment vertical="center"/>
    </xf>
    <xf numFmtId="0" fontId="28" fillId="18" borderId="14" applyNumberFormat="0" applyAlignment="0" applyProtection="0">
      <alignment vertical="center"/>
    </xf>
    <xf numFmtId="0" fontId="29" fillId="8" borderId="14" applyNumberFormat="0" applyAlignment="0" applyProtection="0">
      <alignment vertical="center"/>
    </xf>
    <xf numFmtId="0" fontId="30" fillId="18" borderId="15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36" fillId="1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41" fillId="8" borderId="14" applyNumberForma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0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30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15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11" fillId="5" borderId="41" applyNumberFormat="0" applyFont="0" applyAlignment="0" applyProtection="0">
      <alignment vertical="center"/>
    </xf>
    <xf numFmtId="0" fontId="3" fillId="5" borderId="36" applyNumberFormat="0" applyFont="0" applyAlignment="0" applyProtection="0">
      <alignment vertical="center"/>
    </xf>
    <xf numFmtId="0" fontId="29" fillId="8" borderId="31" applyNumberFormat="0" applyAlignment="0" applyProtection="0">
      <alignment vertical="center"/>
    </xf>
    <xf numFmtId="0" fontId="28" fillId="18" borderId="49" applyNumberFormat="0" applyAlignment="0" applyProtection="0">
      <alignment vertical="center"/>
    </xf>
    <xf numFmtId="0" fontId="29" fillId="8" borderId="42" applyNumberFormat="0" applyAlignment="0" applyProtection="0">
      <alignment vertical="center"/>
    </xf>
    <xf numFmtId="0" fontId="11" fillId="5" borderId="36" applyNumberFormat="0" applyFon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30" fillId="18" borderId="56" applyNumberFormat="0" applyAlignment="0" applyProtection="0">
      <alignment vertical="center"/>
    </xf>
    <xf numFmtId="0" fontId="41" fillId="8" borderId="45" applyNumberFormat="0" applyAlignment="0" applyProtection="0">
      <alignment vertical="center"/>
    </xf>
    <xf numFmtId="0" fontId="36" fillId="18" borderId="49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36" fillId="18" borderId="42" applyNumberFormat="0" applyAlignment="0" applyProtection="0">
      <alignment vertical="center"/>
    </xf>
    <xf numFmtId="0" fontId="30" fillId="18" borderId="64" applyNumberFormat="0" applyAlignment="0" applyProtection="0">
      <alignment vertical="center"/>
    </xf>
    <xf numFmtId="0" fontId="45" fillId="0" borderId="47" applyNumberFormat="0" applyFill="0" applyAlignment="0" applyProtection="0">
      <alignment vertical="center"/>
    </xf>
    <xf numFmtId="0" fontId="36" fillId="18" borderId="42" applyNumberFormat="0" applyAlignment="0" applyProtection="0">
      <alignment vertical="center"/>
    </xf>
    <xf numFmtId="0" fontId="3" fillId="5" borderId="30" applyNumberFormat="0" applyFont="0" applyAlignment="0" applyProtection="0">
      <alignment vertical="center"/>
    </xf>
    <xf numFmtId="0" fontId="41" fillId="8" borderId="42" applyNumberFormat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29" fillId="8" borderId="27" applyNumberFormat="0" applyAlignment="0" applyProtection="0">
      <alignment vertical="center"/>
    </xf>
    <xf numFmtId="0" fontId="25" fillId="0" borderId="61" applyNumberFormat="0" applyFill="0" applyAlignment="0" applyProtection="0">
      <alignment vertical="center"/>
    </xf>
    <xf numFmtId="0" fontId="41" fillId="8" borderId="63" applyNumberFormat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30" fillId="18" borderId="32" applyNumberFormat="0" applyAlignment="0" applyProtection="0">
      <alignment vertical="center"/>
    </xf>
    <xf numFmtId="0" fontId="36" fillId="18" borderId="63" applyNumberFormat="0" applyAlignment="0" applyProtection="0">
      <alignment vertical="center"/>
    </xf>
    <xf numFmtId="0" fontId="11" fillId="5" borderId="41" applyNumberFormat="0" applyFont="0" applyAlignment="0" applyProtection="0">
      <alignment vertical="center"/>
    </xf>
    <xf numFmtId="0" fontId="36" fillId="18" borderId="55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30" fillId="18" borderId="46" applyNumberFormat="0" applyAlignment="0" applyProtection="0">
      <alignment vertical="center"/>
    </xf>
    <xf numFmtId="0" fontId="30" fillId="18" borderId="46" applyNumberFormat="0" applyAlignment="0" applyProtection="0">
      <alignment vertical="center"/>
    </xf>
    <xf numFmtId="0" fontId="30" fillId="18" borderId="24" applyNumberFormat="0" applyAlignment="0" applyProtection="0">
      <alignment vertical="center"/>
    </xf>
    <xf numFmtId="0" fontId="11" fillId="5" borderId="44" applyNumberFormat="0" applyFont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11" fillId="5" borderId="44" applyNumberFormat="0" applyFont="0" applyAlignment="0" applyProtection="0">
      <alignment vertical="center"/>
    </xf>
    <xf numFmtId="0" fontId="36" fillId="18" borderId="37" applyNumberFormat="0" applyAlignment="0" applyProtection="0">
      <alignment vertical="center"/>
    </xf>
    <xf numFmtId="0" fontId="3" fillId="5" borderId="26" applyNumberFormat="0" applyFont="0" applyAlignment="0" applyProtection="0">
      <alignment vertical="center"/>
    </xf>
    <xf numFmtId="0" fontId="11" fillId="5" borderId="26" applyNumberFormat="0" applyFont="0" applyAlignment="0" applyProtection="0">
      <alignment vertical="center"/>
    </xf>
    <xf numFmtId="0" fontId="11" fillId="5" borderId="26" applyNumberFormat="0" applyFont="0" applyAlignment="0" applyProtection="0">
      <alignment vertical="center"/>
    </xf>
    <xf numFmtId="0" fontId="41" fillId="8" borderId="27" applyNumberFormat="0" applyAlignment="0" applyProtection="0">
      <alignment vertical="center"/>
    </xf>
    <xf numFmtId="0" fontId="11" fillId="5" borderId="41" applyNumberFormat="0" applyFont="0" applyAlignment="0" applyProtection="0">
      <alignment vertical="center"/>
    </xf>
    <xf numFmtId="0" fontId="44" fillId="18" borderId="50" applyNumberFormat="0" applyAlignment="0" applyProtection="0">
      <alignment vertical="center"/>
    </xf>
    <xf numFmtId="0" fontId="29" fillId="8" borderId="45" applyNumberFormat="0" applyAlignment="0" applyProtection="0">
      <alignment vertical="center"/>
    </xf>
    <xf numFmtId="0" fontId="28" fillId="18" borderId="45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15" fillId="0" borderId="39">
      <alignment horizontal="left" vertical="center"/>
    </xf>
    <xf numFmtId="0" fontId="36" fillId="18" borderId="49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36" fillId="18" borderId="45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1" fillId="8" borderId="37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11" fillId="5" borderId="62" applyNumberFormat="0" applyFont="0" applyAlignment="0" applyProtection="0">
      <alignment vertical="center"/>
    </xf>
    <xf numFmtId="0" fontId="41" fillId="8" borderId="37" applyNumberFormat="0" applyAlignment="0" applyProtection="0">
      <alignment vertical="center"/>
    </xf>
    <xf numFmtId="0" fontId="41" fillId="8" borderId="49" applyNumberFormat="0" applyAlignment="0" applyProtection="0">
      <alignment vertical="center"/>
    </xf>
    <xf numFmtId="0" fontId="3" fillId="5" borderId="41" applyNumberFormat="0" applyFont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36" fillId="18" borderId="49" applyNumberFormat="0" applyAlignment="0" applyProtection="0">
      <alignment vertical="center"/>
    </xf>
    <xf numFmtId="0" fontId="30" fillId="18" borderId="20" applyNumberFormat="0" applyAlignment="0" applyProtection="0">
      <alignment vertical="center"/>
    </xf>
    <xf numFmtId="0" fontId="11" fillId="5" borderId="62" applyNumberFormat="0" applyFont="0" applyAlignment="0" applyProtection="0">
      <alignment vertical="center"/>
    </xf>
    <xf numFmtId="0" fontId="41" fillId="8" borderId="49" applyNumberFormat="0" applyAlignment="0" applyProtection="0">
      <alignment vertical="center"/>
    </xf>
    <xf numFmtId="0" fontId="30" fillId="18" borderId="32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1" fillId="8" borderId="37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11" fillId="5" borderId="44" applyNumberFormat="0" applyFont="0" applyAlignment="0" applyProtection="0">
      <alignment vertical="center"/>
    </xf>
    <xf numFmtId="0" fontId="45" fillId="0" borderId="61" applyNumberFormat="0" applyFill="0" applyAlignment="0" applyProtection="0">
      <alignment vertical="center"/>
    </xf>
    <xf numFmtId="0" fontId="15" fillId="0" borderId="39">
      <alignment horizontal="left" vertical="center"/>
    </xf>
    <xf numFmtId="0" fontId="36" fillId="18" borderId="37" applyNumberFormat="0" applyAlignment="0" applyProtection="0">
      <alignment vertical="center"/>
    </xf>
    <xf numFmtId="0" fontId="30" fillId="18" borderId="46" applyNumberFormat="0" applyAlignment="0" applyProtection="0">
      <alignment vertical="center"/>
    </xf>
    <xf numFmtId="0" fontId="29" fillId="8" borderId="37" applyNumberFormat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11" fillId="5" borderId="26" applyNumberFormat="0" applyFont="0" applyAlignment="0" applyProtection="0">
      <alignment vertical="center"/>
    </xf>
    <xf numFmtId="0" fontId="45" fillId="0" borderId="47" applyNumberFormat="0" applyFill="0" applyAlignment="0" applyProtection="0">
      <alignment vertical="center"/>
    </xf>
    <xf numFmtId="0" fontId="30" fillId="18" borderId="46" applyNumberFormat="0" applyAlignment="0" applyProtection="0">
      <alignment vertical="center"/>
    </xf>
    <xf numFmtId="0" fontId="41" fillId="8" borderId="49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36" fillId="18" borderId="37" applyNumberFormat="0" applyAlignment="0" applyProtection="0">
      <alignment vertical="center"/>
    </xf>
    <xf numFmtId="0" fontId="11" fillId="5" borderId="26" applyNumberFormat="0" applyFont="0" applyAlignment="0" applyProtection="0">
      <alignment vertical="center"/>
    </xf>
    <xf numFmtId="0" fontId="36" fillId="18" borderId="45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29" fillId="8" borderId="27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36" fillId="18" borderId="27" applyNumberFormat="0" applyAlignment="0" applyProtection="0">
      <alignment vertical="center"/>
    </xf>
    <xf numFmtId="0" fontId="30" fillId="18" borderId="38" applyNumberFormat="0" applyAlignment="0" applyProtection="0">
      <alignment vertical="center"/>
    </xf>
    <xf numFmtId="0" fontId="29" fillId="8" borderId="55" applyNumberFormat="0" applyAlignment="0" applyProtection="0">
      <alignment vertical="center"/>
    </xf>
    <xf numFmtId="0" fontId="11" fillId="5" borderId="36" applyNumberFormat="0" applyFont="0" applyAlignment="0" applyProtection="0">
      <alignment vertical="center"/>
    </xf>
    <xf numFmtId="0" fontId="36" fillId="18" borderId="49" applyNumberFormat="0" applyAlignment="0" applyProtection="0">
      <alignment vertical="center"/>
    </xf>
    <xf numFmtId="0" fontId="30" fillId="18" borderId="28" applyNumberFormat="0" applyAlignment="0" applyProtection="0">
      <alignment vertical="center"/>
    </xf>
    <xf numFmtId="0" fontId="36" fillId="18" borderId="27" applyNumberFormat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11" fillId="5" borderId="48" applyNumberFormat="0" applyFon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36" fillId="18" borderId="45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50" applyNumberFormat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36" fillId="18" borderId="27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1" fillId="8" borderId="27" applyNumberFormat="0" applyAlignment="0" applyProtection="0">
      <alignment vertical="center"/>
    </xf>
    <xf numFmtId="0" fontId="41" fillId="8" borderId="42" applyNumberFormat="0" applyAlignment="0" applyProtection="0">
      <alignment vertical="center"/>
    </xf>
    <xf numFmtId="0" fontId="41" fillId="8" borderId="27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36" fillId="18" borderId="45" applyNumberFormat="0" applyAlignment="0" applyProtection="0">
      <alignment vertical="center"/>
    </xf>
    <xf numFmtId="0" fontId="3" fillId="5" borderId="48" applyNumberFormat="0" applyFont="0" applyAlignment="0" applyProtection="0">
      <alignment vertical="center"/>
    </xf>
    <xf numFmtId="0" fontId="28" fillId="18" borderId="45" applyNumberFormat="0" applyAlignment="0" applyProtection="0">
      <alignment vertical="center"/>
    </xf>
    <xf numFmtId="0" fontId="28" fillId="18" borderId="37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3" fillId="5" borderId="22" applyNumberFormat="0" applyFont="0" applyAlignment="0" applyProtection="0">
      <alignment vertical="center"/>
    </xf>
    <xf numFmtId="0" fontId="28" fillId="18" borderId="23" applyNumberFormat="0" applyAlignment="0" applyProtection="0">
      <alignment vertical="center"/>
    </xf>
    <xf numFmtId="0" fontId="29" fillId="8" borderId="23" applyNumberFormat="0" applyAlignment="0" applyProtection="0">
      <alignment vertical="center"/>
    </xf>
    <xf numFmtId="0" fontId="30" fillId="18" borderId="24" applyNumberFormat="0" applyAlignment="0" applyProtection="0">
      <alignment vertical="center"/>
    </xf>
    <xf numFmtId="0" fontId="36" fillId="18" borderId="23" applyNumberFormat="0" applyAlignment="0" applyProtection="0">
      <alignment vertical="center"/>
    </xf>
    <xf numFmtId="0" fontId="36" fillId="18" borderId="23" applyNumberFormat="0" applyAlignment="0" applyProtection="0">
      <alignment vertical="center"/>
    </xf>
    <xf numFmtId="0" fontId="36" fillId="18" borderId="23" applyNumberFormat="0" applyAlignment="0" applyProtection="0">
      <alignment vertical="center"/>
    </xf>
    <xf numFmtId="0" fontId="41" fillId="8" borderId="23" applyNumberFormat="0" applyAlignment="0" applyProtection="0">
      <alignment vertical="center"/>
    </xf>
    <xf numFmtId="0" fontId="41" fillId="8" borderId="23" applyNumberFormat="0" applyAlignment="0" applyProtection="0">
      <alignment vertical="center"/>
    </xf>
    <xf numFmtId="0" fontId="11" fillId="5" borderId="22" applyNumberFormat="0" applyFont="0" applyAlignment="0" applyProtection="0">
      <alignment vertical="center"/>
    </xf>
    <xf numFmtId="0" fontId="11" fillId="5" borderId="22" applyNumberFormat="0" applyFon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3" fillId="5" borderId="22" applyNumberFormat="0" applyFont="0" applyAlignment="0" applyProtection="0">
      <alignment vertical="center"/>
    </xf>
    <xf numFmtId="0" fontId="30" fillId="18" borderId="24" applyNumberFormat="0" applyAlignment="0" applyProtection="0">
      <alignment vertical="center"/>
    </xf>
    <xf numFmtId="0" fontId="36" fillId="18" borderId="23" applyNumberFormat="0" applyAlignment="0" applyProtection="0">
      <alignment vertical="center"/>
    </xf>
    <xf numFmtId="0" fontId="36" fillId="18" borderId="23" applyNumberFormat="0" applyAlignment="0" applyProtection="0">
      <alignment vertical="center"/>
    </xf>
    <xf numFmtId="0" fontId="36" fillId="18" borderId="23" applyNumberFormat="0" applyAlignment="0" applyProtection="0">
      <alignment vertical="center"/>
    </xf>
    <xf numFmtId="0" fontId="41" fillId="8" borderId="23" applyNumberFormat="0" applyAlignment="0" applyProtection="0">
      <alignment vertical="center"/>
    </xf>
    <xf numFmtId="0" fontId="41" fillId="8" borderId="23" applyNumberFormat="0" applyAlignment="0" applyProtection="0">
      <alignment vertical="center"/>
    </xf>
    <xf numFmtId="0" fontId="41" fillId="8" borderId="23" applyNumberFormat="0" applyAlignment="0" applyProtection="0">
      <alignment vertical="center"/>
    </xf>
    <xf numFmtId="0" fontId="11" fillId="5" borderId="22" applyNumberFormat="0" applyFont="0" applyAlignment="0" applyProtection="0">
      <alignment vertical="center"/>
    </xf>
    <xf numFmtId="0" fontId="11" fillId="5" borderId="22" applyNumberFormat="0" applyFont="0" applyAlignment="0" applyProtection="0">
      <alignment vertical="center"/>
    </xf>
    <xf numFmtId="0" fontId="11" fillId="5" borderId="22" applyNumberFormat="0" applyFon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0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1" fillId="8" borderId="27" applyNumberFormat="0" applyAlignment="0" applyProtection="0">
      <alignment vertical="center"/>
    </xf>
    <xf numFmtId="0" fontId="11" fillId="5" borderId="22" applyNumberFormat="0" applyFon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44" fillId="18" borderId="50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28" fillId="18" borderId="23" applyNumberFormat="0" applyAlignment="0" applyProtection="0">
      <alignment vertical="center"/>
    </xf>
    <xf numFmtId="0" fontId="29" fillId="8" borderId="23" applyNumberFormat="0" applyAlignment="0" applyProtection="0">
      <alignment vertical="center"/>
    </xf>
    <xf numFmtId="0" fontId="15" fillId="0" borderId="60">
      <alignment horizontal="left" vertical="center"/>
    </xf>
    <xf numFmtId="0" fontId="44" fillId="18" borderId="24" applyNumberFormat="0" applyAlignment="0" applyProtection="0">
      <alignment vertical="center"/>
    </xf>
    <xf numFmtId="0" fontId="41" fillId="8" borderId="27" applyNumberFormat="0" applyAlignment="0" applyProtection="0">
      <alignment vertical="center"/>
    </xf>
    <xf numFmtId="0" fontId="28" fillId="18" borderId="63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36" fillId="18" borderId="6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41" fillId="8" borderId="49" applyNumberFormat="0" applyAlignment="0" applyProtection="0">
      <alignment vertical="center"/>
    </xf>
    <xf numFmtId="0" fontId="30" fillId="18" borderId="43" applyNumberFormat="0" applyAlignment="0" applyProtection="0">
      <alignment vertical="center"/>
    </xf>
    <xf numFmtId="0" fontId="29" fillId="8" borderId="49" applyNumberFormat="0" applyAlignment="0" applyProtection="0">
      <alignment vertical="center"/>
    </xf>
    <xf numFmtId="0" fontId="36" fillId="18" borderId="42" applyNumberFormat="0" applyAlignment="0" applyProtection="0">
      <alignment vertical="center"/>
    </xf>
    <xf numFmtId="0" fontId="3" fillId="5" borderId="48" applyNumberFormat="0" applyFont="0" applyAlignment="0" applyProtection="0">
      <alignment vertical="center"/>
    </xf>
    <xf numFmtId="0" fontId="3" fillId="5" borderId="26" applyNumberFormat="0" applyFont="0" applyAlignment="0" applyProtection="0">
      <alignment vertical="center"/>
    </xf>
    <xf numFmtId="0" fontId="28" fillId="18" borderId="31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44" fillId="18" borderId="24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36" fillId="18" borderId="49" applyNumberFormat="0" applyAlignment="0" applyProtection="0">
      <alignment vertical="center"/>
    </xf>
    <xf numFmtId="0" fontId="30" fillId="18" borderId="24" applyNumberFormat="0" applyAlignment="0" applyProtection="0">
      <alignment vertical="center"/>
    </xf>
    <xf numFmtId="0" fontId="11" fillId="5" borderId="48" applyNumberFormat="0" applyFont="0" applyAlignment="0" applyProtection="0">
      <alignment vertical="center"/>
    </xf>
    <xf numFmtId="0" fontId="29" fillId="8" borderId="49" applyNumberFormat="0" applyAlignment="0" applyProtection="0">
      <alignment vertical="center"/>
    </xf>
    <xf numFmtId="0" fontId="11" fillId="5" borderId="48" applyNumberFormat="0" applyFont="0" applyAlignment="0" applyProtection="0">
      <alignment vertical="center"/>
    </xf>
    <xf numFmtId="0" fontId="11" fillId="5" borderId="44" applyNumberFormat="0" applyFont="0" applyAlignment="0" applyProtection="0">
      <alignment vertical="center"/>
    </xf>
    <xf numFmtId="0" fontId="3" fillId="5" borderId="44" applyNumberFormat="0" applyFont="0" applyAlignment="0" applyProtection="0">
      <alignment vertical="center"/>
    </xf>
    <xf numFmtId="0" fontId="41" fillId="8" borderId="45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41" fillId="8" borderId="45" applyNumberFormat="0" applyAlignment="0" applyProtection="0">
      <alignment vertical="center"/>
    </xf>
    <xf numFmtId="0" fontId="28" fillId="18" borderId="27" applyNumberFormat="0" applyAlignment="0" applyProtection="0">
      <alignment vertical="center"/>
    </xf>
    <xf numFmtId="0" fontId="36" fillId="18" borderId="49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41" fillId="8" borderId="45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36" fillId="18" borderId="63" applyNumberFormat="0" applyAlignment="0" applyProtection="0">
      <alignment vertical="center"/>
    </xf>
    <xf numFmtId="0" fontId="41" fillId="8" borderId="63" applyNumberFormat="0" applyAlignment="0" applyProtection="0">
      <alignment vertical="center"/>
    </xf>
    <xf numFmtId="0" fontId="44" fillId="18" borderId="50" applyNumberFormat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11" fillId="5" borderId="48" applyNumberFormat="0" applyFont="0" applyAlignment="0" applyProtection="0">
      <alignment vertical="center"/>
    </xf>
    <xf numFmtId="0" fontId="11" fillId="5" borderId="62" applyNumberFormat="0" applyFont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30" fillId="18" borderId="50" applyNumberFormat="0" applyAlignment="0" applyProtection="0">
      <alignment vertical="center"/>
    </xf>
    <xf numFmtId="0" fontId="29" fillId="8" borderId="63" applyNumberFormat="0" applyAlignment="0" applyProtection="0">
      <alignment vertical="center"/>
    </xf>
    <xf numFmtId="0" fontId="44" fillId="18" borderId="50" applyNumberFormat="0" applyAlignment="0" applyProtection="0">
      <alignment vertical="center"/>
    </xf>
    <xf numFmtId="0" fontId="41" fillId="8" borderId="23" applyNumberFormat="0" applyAlignment="0" applyProtection="0">
      <alignment vertical="center"/>
    </xf>
    <xf numFmtId="0" fontId="25" fillId="0" borderId="57" applyNumberFormat="0" applyFill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36" fillId="18" borderId="27" applyNumberFormat="0" applyAlignment="0" applyProtection="0">
      <alignment vertical="center"/>
    </xf>
    <xf numFmtId="0" fontId="41" fillId="8" borderId="42" applyNumberFormat="0" applyAlignment="0" applyProtection="0">
      <alignment vertical="center"/>
    </xf>
    <xf numFmtId="0" fontId="29" fillId="8" borderId="45" applyNumberFormat="0" applyAlignment="0" applyProtection="0">
      <alignment vertical="center"/>
    </xf>
    <xf numFmtId="0" fontId="30" fillId="18" borderId="28" applyNumberFormat="0" applyAlignment="0" applyProtection="0">
      <alignment vertical="center"/>
    </xf>
    <xf numFmtId="0" fontId="41" fillId="8" borderId="27" applyNumberFormat="0" applyAlignment="0" applyProtection="0">
      <alignment vertical="center"/>
    </xf>
    <xf numFmtId="0" fontId="11" fillId="5" borderId="26" applyNumberFormat="0" applyFont="0" applyAlignment="0" applyProtection="0">
      <alignment vertical="center"/>
    </xf>
    <xf numFmtId="0" fontId="36" fillId="18" borderId="27" applyNumberFormat="0" applyAlignment="0" applyProtection="0">
      <alignment vertical="center"/>
    </xf>
    <xf numFmtId="0" fontId="44" fillId="18" borderId="50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36" fillId="18" borderId="27" applyNumberFormat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3" fillId="5" borderId="54" applyNumberFormat="0" applyFont="0" applyAlignment="0" applyProtection="0">
      <alignment vertical="center"/>
    </xf>
    <xf numFmtId="0" fontId="41" fillId="8" borderId="49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28" fillId="18" borderId="49" applyNumberFormat="0" applyAlignment="0" applyProtection="0">
      <alignment vertical="center"/>
    </xf>
    <xf numFmtId="0" fontId="11" fillId="5" borderId="48" applyNumberFormat="0" applyFon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28" fillId="18" borderId="42" applyNumberFormat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4" fillId="18" borderId="46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36" fillId="18" borderId="31" applyNumberFormat="0" applyAlignment="0" applyProtection="0">
      <alignment vertical="center"/>
    </xf>
    <xf numFmtId="0" fontId="36" fillId="18" borderId="45" applyNumberFormat="0" applyAlignment="0" applyProtection="0">
      <alignment vertical="center"/>
    </xf>
    <xf numFmtId="0" fontId="30" fillId="18" borderId="32" applyNumberFormat="0" applyAlignment="0" applyProtection="0">
      <alignment vertical="center"/>
    </xf>
    <xf numFmtId="0" fontId="41" fillId="8" borderId="49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36" fillId="18" borderId="45" applyNumberFormat="0" applyAlignment="0" applyProtection="0">
      <alignment vertical="center"/>
    </xf>
    <xf numFmtId="0" fontId="30" fillId="18" borderId="50" applyNumberFormat="0" applyAlignment="0" applyProtection="0">
      <alignment vertical="center"/>
    </xf>
    <xf numFmtId="0" fontId="45" fillId="0" borderId="51" applyNumberFormat="0" applyFill="0" applyAlignment="0" applyProtection="0">
      <alignment vertical="center"/>
    </xf>
    <xf numFmtId="0" fontId="45" fillId="0" borderId="51" applyNumberFormat="0" applyFill="0" applyAlignment="0" applyProtection="0">
      <alignment vertical="center"/>
    </xf>
    <xf numFmtId="0" fontId="3" fillId="5" borderId="44" applyNumberFormat="0" applyFon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11" fillId="5" borderId="48" applyNumberFormat="0" applyFon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3" fillId="5" borderId="18" applyNumberFormat="0" applyFont="0" applyAlignment="0" applyProtection="0">
      <alignment vertical="center"/>
    </xf>
    <xf numFmtId="0" fontId="28" fillId="18" borderId="19" applyNumberFormat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18" borderId="20" applyNumberFormat="0" applyAlignment="0" applyProtection="0">
      <alignment vertical="center"/>
    </xf>
    <xf numFmtId="0" fontId="36" fillId="18" borderId="19" applyNumberFormat="0" applyAlignment="0" applyProtection="0">
      <alignment vertical="center"/>
    </xf>
    <xf numFmtId="0" fontId="36" fillId="18" borderId="19" applyNumberFormat="0" applyAlignment="0" applyProtection="0">
      <alignment vertical="center"/>
    </xf>
    <xf numFmtId="0" fontId="36" fillId="18" borderId="19" applyNumberFormat="0" applyAlignment="0" applyProtection="0">
      <alignment vertical="center"/>
    </xf>
    <xf numFmtId="0" fontId="41" fillId="8" borderId="19" applyNumberFormat="0" applyAlignment="0" applyProtection="0">
      <alignment vertical="center"/>
    </xf>
    <xf numFmtId="0" fontId="41" fillId="8" borderId="19" applyNumberFormat="0" applyAlignment="0" applyProtection="0">
      <alignment vertical="center"/>
    </xf>
    <xf numFmtId="0" fontId="41" fillId="8" borderId="19" applyNumberFormat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3" fillId="5" borderId="18" applyNumberFormat="0" applyFont="0" applyAlignment="0" applyProtection="0">
      <alignment vertical="center"/>
    </xf>
    <xf numFmtId="0" fontId="28" fillId="18" borderId="19" applyNumberFormat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18" borderId="20" applyNumberFormat="0" applyAlignment="0" applyProtection="0">
      <alignment vertical="center"/>
    </xf>
    <xf numFmtId="0" fontId="36" fillId="18" borderId="19" applyNumberFormat="0" applyAlignment="0" applyProtection="0">
      <alignment vertical="center"/>
    </xf>
    <xf numFmtId="0" fontId="36" fillId="18" borderId="19" applyNumberFormat="0" applyAlignment="0" applyProtection="0">
      <alignment vertical="center"/>
    </xf>
    <xf numFmtId="0" fontId="36" fillId="18" borderId="19" applyNumberFormat="0" applyAlignment="0" applyProtection="0">
      <alignment vertical="center"/>
    </xf>
    <xf numFmtId="0" fontId="41" fillId="8" borderId="19" applyNumberFormat="0" applyAlignment="0" applyProtection="0">
      <alignment vertical="center"/>
    </xf>
    <xf numFmtId="0" fontId="41" fillId="8" borderId="19" applyNumberFormat="0" applyAlignment="0" applyProtection="0">
      <alignment vertical="center"/>
    </xf>
    <xf numFmtId="0" fontId="41" fillId="8" borderId="19" applyNumberFormat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4" fillId="18" borderId="20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28" fillId="18" borderId="27" applyNumberFormat="0" applyAlignment="0" applyProtection="0">
      <alignment vertical="center"/>
    </xf>
    <xf numFmtId="0" fontId="11" fillId="5" borderId="26" applyNumberFormat="0" applyFont="0" applyAlignment="0" applyProtection="0">
      <alignment vertical="center"/>
    </xf>
    <xf numFmtId="0" fontId="11" fillId="5" borderId="36" applyNumberFormat="0" applyFont="0" applyAlignment="0" applyProtection="0">
      <alignment vertical="center"/>
    </xf>
    <xf numFmtId="0" fontId="41" fillId="8" borderId="45" applyNumberFormat="0" applyAlignment="0" applyProtection="0">
      <alignment vertical="center"/>
    </xf>
    <xf numFmtId="0" fontId="41" fillId="8" borderId="45" applyNumberFormat="0" applyAlignment="0" applyProtection="0">
      <alignment vertical="center"/>
    </xf>
    <xf numFmtId="0" fontId="44" fillId="18" borderId="64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64" applyNumberFormat="0" applyAlignment="0" applyProtection="0">
      <alignment vertical="center"/>
    </xf>
    <xf numFmtId="0" fontId="36" fillId="18" borderId="31" applyNumberFormat="0" applyAlignment="0" applyProtection="0">
      <alignment vertical="center"/>
    </xf>
    <xf numFmtId="0" fontId="36" fillId="18" borderId="31" applyNumberFormat="0" applyAlignment="0" applyProtection="0">
      <alignment vertical="center"/>
    </xf>
    <xf numFmtId="0" fontId="41" fillId="8" borderId="31" applyNumberFormat="0" applyAlignment="0" applyProtection="0">
      <alignment vertical="center"/>
    </xf>
    <xf numFmtId="0" fontId="41" fillId="8" borderId="31" applyNumberFormat="0" applyAlignment="0" applyProtection="0">
      <alignment vertical="center"/>
    </xf>
    <xf numFmtId="0" fontId="41" fillId="8" borderId="31" applyNumberFormat="0" applyAlignment="0" applyProtection="0">
      <alignment vertical="center"/>
    </xf>
    <xf numFmtId="0" fontId="11" fillId="5" borderId="30" applyNumberFormat="0" applyFont="0" applyAlignment="0" applyProtection="0">
      <alignment vertical="center"/>
    </xf>
    <xf numFmtId="0" fontId="11" fillId="5" borderId="30" applyNumberFormat="0" applyFont="0" applyAlignment="0" applyProtection="0">
      <alignment vertical="center"/>
    </xf>
    <xf numFmtId="0" fontId="11" fillId="5" borderId="30" applyNumberFormat="0" applyFon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3" fillId="5" borderId="30" applyNumberFormat="0" applyFont="0" applyAlignment="0" applyProtection="0">
      <alignment vertical="center"/>
    </xf>
    <xf numFmtId="0" fontId="28" fillId="18" borderId="31" applyNumberFormat="0" applyAlignment="0" applyProtection="0">
      <alignment vertical="center"/>
    </xf>
    <xf numFmtId="0" fontId="29" fillId="8" borderId="31" applyNumberFormat="0" applyAlignment="0" applyProtection="0">
      <alignment vertical="center"/>
    </xf>
    <xf numFmtId="0" fontId="30" fillId="18" borderId="32" applyNumberFormat="0" applyAlignment="0" applyProtection="0">
      <alignment vertical="center"/>
    </xf>
    <xf numFmtId="0" fontId="36" fillId="18" borderId="31" applyNumberFormat="0" applyAlignment="0" applyProtection="0">
      <alignment vertical="center"/>
    </xf>
    <xf numFmtId="0" fontId="36" fillId="18" borderId="31" applyNumberFormat="0" applyAlignment="0" applyProtection="0">
      <alignment vertical="center"/>
    </xf>
    <xf numFmtId="0" fontId="36" fillId="18" borderId="31" applyNumberFormat="0" applyAlignment="0" applyProtection="0">
      <alignment vertical="center"/>
    </xf>
    <xf numFmtId="0" fontId="41" fillId="8" borderId="31" applyNumberFormat="0" applyAlignment="0" applyProtection="0">
      <alignment vertical="center"/>
    </xf>
    <xf numFmtId="0" fontId="41" fillId="8" borderId="31" applyNumberFormat="0" applyAlignment="0" applyProtection="0">
      <alignment vertical="center"/>
    </xf>
    <xf numFmtId="0" fontId="41" fillId="8" borderId="31" applyNumberFormat="0" applyAlignment="0" applyProtection="0">
      <alignment vertical="center"/>
    </xf>
    <xf numFmtId="0" fontId="11" fillId="5" borderId="30" applyNumberFormat="0" applyFont="0" applyAlignment="0" applyProtection="0">
      <alignment vertical="center"/>
    </xf>
    <xf numFmtId="0" fontId="11" fillId="5" borderId="30" applyNumberFormat="0" applyFont="0" applyAlignment="0" applyProtection="0">
      <alignment vertical="center"/>
    </xf>
    <xf numFmtId="0" fontId="11" fillId="5" borderId="30" applyNumberFormat="0" applyFon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4" fillId="18" borderId="32" applyNumberFormat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30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30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44" fillId="18" borderId="28" applyNumberFormat="0" applyAlignment="0" applyProtection="0">
      <alignment vertical="center"/>
    </xf>
    <xf numFmtId="0" fontId="28" fillId="18" borderId="55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2" applyNumberFormat="0" applyFont="0" applyAlignment="0" applyProtection="0">
      <alignment vertical="center"/>
    </xf>
    <xf numFmtId="0" fontId="30" fillId="18" borderId="38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30" fillId="18" borderId="38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44" fillId="18" borderId="38" applyNumberFormat="0" applyAlignment="0" applyProtection="0">
      <alignment vertical="center"/>
    </xf>
    <xf numFmtId="0" fontId="11" fillId="5" borderId="44" applyNumberFormat="0" applyFont="0" applyAlignment="0" applyProtection="0">
      <alignment vertical="center"/>
    </xf>
    <xf numFmtId="0" fontId="30" fillId="18" borderId="4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30" fillId="18" borderId="4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44" fillId="18" borderId="43" applyNumberFormat="0" applyAlignment="0" applyProtection="0">
      <alignment vertical="center"/>
    </xf>
    <xf numFmtId="0" fontId="11" fillId="5" borderId="44" applyNumberFormat="0" applyFont="0" applyAlignment="0" applyProtection="0">
      <alignment vertical="center"/>
    </xf>
    <xf numFmtId="0" fontId="30" fillId="18" borderId="64" applyNumberFormat="0" applyAlignment="0" applyProtection="0">
      <alignment vertical="center"/>
    </xf>
    <xf numFmtId="0" fontId="41" fillId="8" borderId="63" applyNumberFormat="0" applyAlignment="0" applyProtection="0">
      <alignment vertical="center"/>
    </xf>
    <xf numFmtId="0" fontId="36" fillId="18" borderId="55" applyNumberFormat="0" applyAlignment="0" applyProtection="0">
      <alignment vertical="center"/>
    </xf>
    <xf numFmtId="0" fontId="36" fillId="18" borderId="55" applyNumberFormat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11" fillId="5" borderId="54" applyNumberFormat="0" applyFont="0" applyAlignment="0" applyProtection="0">
      <alignment vertical="center"/>
    </xf>
    <xf numFmtId="0" fontId="11" fillId="5" borderId="54" applyNumberFormat="0" applyFont="0" applyAlignment="0" applyProtection="0">
      <alignment vertical="center"/>
    </xf>
    <xf numFmtId="0" fontId="11" fillId="5" borderId="54" applyNumberFormat="0" applyFont="0" applyAlignment="0" applyProtection="0">
      <alignment vertical="center"/>
    </xf>
    <xf numFmtId="0" fontId="44" fillId="18" borderId="56" applyNumberFormat="0" applyAlignment="0" applyProtection="0">
      <alignment vertical="center"/>
    </xf>
    <xf numFmtId="0" fontId="44" fillId="18" borderId="56" applyNumberFormat="0" applyAlignment="0" applyProtection="0">
      <alignment vertical="center"/>
    </xf>
    <xf numFmtId="0" fontId="44" fillId="18" borderId="56" applyNumberFormat="0" applyAlignment="0" applyProtection="0">
      <alignment vertical="center"/>
    </xf>
    <xf numFmtId="0" fontId="45" fillId="0" borderId="57" applyNumberFormat="0" applyFill="0" applyAlignment="0" applyProtection="0">
      <alignment vertical="center"/>
    </xf>
    <xf numFmtId="0" fontId="25" fillId="0" borderId="57" applyNumberFormat="0" applyFill="0" applyAlignment="0" applyProtection="0">
      <alignment vertical="center"/>
    </xf>
    <xf numFmtId="0" fontId="3" fillId="5" borderId="54" applyNumberFormat="0" applyFont="0" applyAlignment="0" applyProtection="0">
      <alignment vertical="center"/>
    </xf>
    <xf numFmtId="0" fontId="28" fillId="18" borderId="55" applyNumberFormat="0" applyAlignment="0" applyProtection="0">
      <alignment vertical="center"/>
    </xf>
    <xf numFmtId="0" fontId="29" fillId="8" borderId="55" applyNumberFormat="0" applyAlignment="0" applyProtection="0">
      <alignment vertical="center"/>
    </xf>
    <xf numFmtId="0" fontId="30" fillId="18" borderId="56" applyNumberFormat="0" applyAlignment="0" applyProtection="0">
      <alignment vertical="center"/>
    </xf>
    <xf numFmtId="0" fontId="36" fillId="18" borderId="55" applyNumberFormat="0" applyAlignment="0" applyProtection="0">
      <alignment vertical="center"/>
    </xf>
    <xf numFmtId="0" fontId="36" fillId="18" borderId="55" applyNumberFormat="0" applyAlignment="0" applyProtection="0">
      <alignment vertical="center"/>
    </xf>
    <xf numFmtId="0" fontId="36" fillId="18" borderId="55" applyNumberFormat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41" fillId="8" borderId="55" applyNumberFormat="0" applyAlignment="0" applyProtection="0">
      <alignment vertical="center"/>
    </xf>
    <xf numFmtId="0" fontId="11" fillId="5" borderId="54" applyNumberFormat="0" applyFont="0" applyAlignment="0" applyProtection="0">
      <alignment vertical="center"/>
    </xf>
    <xf numFmtId="0" fontId="11" fillId="5" borderId="54" applyNumberFormat="0" applyFont="0" applyAlignment="0" applyProtection="0">
      <alignment vertical="center"/>
    </xf>
    <xf numFmtId="0" fontId="11" fillId="5" borderId="54" applyNumberFormat="0" applyFont="0" applyAlignment="0" applyProtection="0">
      <alignment vertical="center"/>
    </xf>
    <xf numFmtId="0" fontId="44" fillId="18" borderId="56" applyNumberFormat="0" applyAlignment="0" applyProtection="0">
      <alignment vertical="center"/>
    </xf>
    <xf numFmtId="0" fontId="44" fillId="18" borderId="56" applyNumberFormat="0" applyAlignment="0" applyProtection="0">
      <alignment vertical="center"/>
    </xf>
    <xf numFmtId="0" fontId="44" fillId="18" borderId="56" applyNumberFormat="0" applyAlignment="0" applyProtection="0">
      <alignment vertical="center"/>
    </xf>
    <xf numFmtId="0" fontId="45" fillId="0" borderId="57" applyNumberFormat="0" applyFill="0" applyAlignment="0" applyProtection="0">
      <alignment vertical="center"/>
    </xf>
    <xf numFmtId="0" fontId="15" fillId="0" borderId="60">
      <alignment horizontal="left" vertical="center"/>
    </xf>
    <xf numFmtId="0" fontId="44" fillId="18" borderId="64" applyNumberFormat="0" applyAlignment="0" applyProtection="0">
      <alignment vertical="center"/>
    </xf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" fillId="0" borderId="0"/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5" fillId="0" borderId="34">
      <alignment horizontal="left"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5" fillId="0" borderId="34">
      <alignment horizontal="left"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5" fillId="0" borderId="34">
      <alignment horizontal="left"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0" fillId="18" borderId="70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4" fillId="18" borderId="70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3" fillId="5" borderId="68" applyNumberFormat="0" applyFont="0" applyAlignment="0" applyProtection="0">
      <alignment vertical="center"/>
    </xf>
    <xf numFmtId="0" fontId="28" fillId="18" borderId="69" applyNumberFormat="0" applyAlignment="0" applyProtection="0">
      <alignment vertical="center"/>
    </xf>
    <xf numFmtId="0" fontId="29" fillId="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36" fillId="1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41" fillId="8" borderId="69" applyNumberForma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11" fillId="5" borderId="68" applyNumberFormat="0" applyFon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/>
    <xf numFmtId="173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61" fillId="9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17" borderId="11" applyNumberFormat="0" applyAlignment="0" applyProtection="0">
      <alignment vertical="center"/>
    </xf>
    <xf numFmtId="0" fontId="63" fillId="0" borderId="71" applyNumberFormat="0" applyFill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1" fillId="0" borderId="0">
      <alignment vertical="center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66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top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5" fillId="0" borderId="0"/>
    <xf numFmtId="18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15" fillId="0" borderId="98">
      <alignment horizontal="left" vertical="center"/>
    </xf>
    <xf numFmtId="0" fontId="25" fillId="0" borderId="94" applyNumberFormat="0" applyFill="0" applyAlignment="0" applyProtection="0">
      <alignment vertical="center"/>
    </xf>
    <xf numFmtId="0" fontId="3" fillId="5" borderId="96" applyNumberFormat="0" applyFont="0" applyAlignment="0" applyProtection="0">
      <alignment vertical="center"/>
    </xf>
    <xf numFmtId="0" fontId="28" fillId="18" borderId="95" applyNumberFormat="0" applyAlignment="0" applyProtection="0">
      <alignment vertical="center"/>
    </xf>
    <xf numFmtId="0" fontId="29" fillId="8" borderId="95" applyNumberFormat="0" applyAlignment="0" applyProtection="0">
      <alignment vertical="center"/>
    </xf>
    <xf numFmtId="0" fontId="30" fillId="18" borderId="97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3" fillId="5" borderId="96" applyNumberFormat="0" applyFont="0" applyAlignment="0" applyProtection="0">
      <alignment vertical="center"/>
    </xf>
    <xf numFmtId="0" fontId="90" fillId="0" borderId="94" applyNumberFormat="0" applyFill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8" applyNumberFormat="0" applyFill="0" applyAlignment="0" applyProtection="0">
      <alignment vertical="center"/>
    </xf>
    <xf numFmtId="0" fontId="87" fillId="0" borderId="9" applyNumberFormat="0" applyFill="0" applyAlignment="0" applyProtection="0">
      <alignment vertical="center"/>
    </xf>
    <xf numFmtId="0" fontId="88" fillId="0" borderId="10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3" fillId="17" borderId="11" applyNumberFormat="0" applyAlignment="0" applyProtection="0">
      <alignment vertical="center"/>
    </xf>
    <xf numFmtId="0" fontId="92" fillId="18" borderId="95" applyNumberForma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96" fillId="8" borderId="95" applyNumberFormat="0" applyAlignment="0" applyProtection="0">
      <alignment vertical="center"/>
    </xf>
    <xf numFmtId="0" fontId="95" fillId="18" borderId="97" applyNumberFormat="0" applyAlignment="0" applyProtection="0">
      <alignment vertical="center"/>
    </xf>
    <xf numFmtId="0" fontId="94" fillId="0" borderId="16" applyNumberFormat="0" applyFill="0" applyAlignment="0" applyProtection="0">
      <alignment vertical="center"/>
    </xf>
  </cellStyleXfs>
  <cellXfs count="451">
    <xf numFmtId="0" fontId="0" fillId="0" borderId="0" xfId="0"/>
    <xf numFmtId="0" fontId="7" fillId="0" borderId="1" xfId="0" applyFont="1" applyBorder="1" applyAlignment="1">
      <alignment horizontal="center" vertical="center" wrapText="1" shrinkToFit="1"/>
    </xf>
    <xf numFmtId="169" fontId="7" fillId="0" borderId="1" xfId="0" applyNumberFormat="1" applyFont="1" applyBorder="1" applyAlignment="1">
      <alignment horizontal="center" vertical="center" wrapText="1" shrinkToFit="1"/>
    </xf>
    <xf numFmtId="14" fontId="7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 shrinkToFit="1"/>
    </xf>
    <xf numFmtId="4" fontId="7" fillId="0" borderId="1" xfId="2102" applyNumberFormat="1" applyFont="1" applyFill="1" applyBorder="1" applyAlignment="1">
      <alignment horizontal="center" vertical="center" wrapText="1" shrinkToFit="1"/>
    </xf>
    <xf numFmtId="14" fontId="4" fillId="2" borderId="1" xfId="0" applyNumberFormat="1" applyFont="1" applyFill="1" applyBorder="1" applyAlignment="1">
      <alignment horizontal="center" vertical="center" wrapText="1" shrinkToFit="1"/>
    </xf>
    <xf numFmtId="16" fontId="4" fillId="2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 wrapText="1" shrinkToFit="1"/>
    </xf>
    <xf numFmtId="170" fontId="7" fillId="2" borderId="1" xfId="0" applyNumberFormat="1" applyFont="1" applyFill="1" applyBorder="1" applyAlignment="1">
      <alignment horizontal="center" vertical="center" wrapText="1" shrinkToFit="1"/>
    </xf>
    <xf numFmtId="16" fontId="7" fillId="2" borderId="1" xfId="0" applyNumberFormat="1" applyFont="1" applyFill="1" applyBorder="1" applyAlignment="1">
      <alignment horizontal="center" vertical="center" wrapText="1" shrinkToFit="1"/>
    </xf>
    <xf numFmtId="16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 shrinkToFit="1"/>
    </xf>
    <xf numFmtId="169" fontId="7" fillId="2" borderId="1" xfId="0" applyNumberFormat="1" applyFont="1" applyFill="1" applyBorder="1" applyAlignment="1">
      <alignment horizontal="center" vertical="center" wrapText="1" shrinkToFit="1"/>
    </xf>
    <xf numFmtId="1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shrinkToFit="1"/>
    </xf>
    <xf numFmtId="169" fontId="4" fillId="2" borderId="1" xfId="0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" fontId="7" fillId="2" borderId="1" xfId="2102" applyNumberFormat="1" applyFont="1" applyFill="1" applyBorder="1" applyAlignment="1">
      <alignment horizontal="center" vertical="center" wrapText="1" shrinkToFit="1"/>
    </xf>
    <xf numFmtId="16" fontId="7" fillId="2" borderId="1" xfId="0" applyNumberFormat="1" applyFont="1" applyFill="1" applyBorder="1" applyAlignment="1">
      <alignment horizontal="center" vertical="center"/>
    </xf>
    <xf numFmtId="4" fontId="4" fillId="2" borderId="1" xfId="2102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16" fontId="7" fillId="2" borderId="3" xfId="0" applyNumberFormat="1" applyFont="1" applyFill="1" applyBorder="1" applyAlignment="1">
      <alignment horizontal="center" vertical="center"/>
    </xf>
    <xf numFmtId="16" fontId="7" fillId="2" borderId="2" xfId="0" applyNumberFormat="1" applyFont="1" applyFill="1" applyBorder="1" applyAlignment="1">
      <alignment horizontal="center" vertical="center"/>
    </xf>
    <xf numFmtId="16" fontId="6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0" xfId="0" applyFont="1" applyFill="1"/>
    <xf numFmtId="0" fontId="7" fillId="0" borderId="0" xfId="0" applyFont="1"/>
    <xf numFmtId="16" fontId="4" fillId="2" borderId="2" xfId="0" applyNumberFormat="1" applyFont="1" applyFill="1" applyBorder="1" applyAlignment="1">
      <alignment horizontal="center" vertical="center"/>
    </xf>
    <xf numFmtId="0" fontId="50" fillId="0" borderId="0" xfId="0" applyFont="1"/>
    <xf numFmtId="168" fontId="53" fillId="0" borderId="0" xfId="1" applyNumberFormat="1" applyFont="1" applyAlignment="1">
      <alignment vertical="center"/>
    </xf>
    <xf numFmtId="169" fontId="53" fillId="0" borderId="0" xfId="1" applyNumberFormat="1" applyFont="1" applyAlignment="1">
      <alignment horizontal="center" vertical="center"/>
    </xf>
    <xf numFmtId="168" fontId="55" fillId="0" borderId="0" xfId="1" applyNumberFormat="1" applyFont="1" applyAlignment="1">
      <alignment horizontal="right" vertical="center"/>
    </xf>
    <xf numFmtId="0" fontId="55" fillId="0" borderId="0" xfId="0" applyFont="1" applyAlignment="1">
      <alignment horizontal="center" vertical="center"/>
    </xf>
    <xf numFmtId="0" fontId="7" fillId="2" borderId="2" xfId="0" applyFont="1" applyFill="1" applyBorder="1"/>
    <xf numFmtId="170" fontId="4" fillId="2" borderId="1" xfId="0" applyNumberFormat="1" applyFont="1" applyFill="1" applyBorder="1" applyAlignment="1">
      <alignment horizontal="center" vertical="center" wrapText="1" shrinkToFit="1"/>
    </xf>
    <xf numFmtId="0" fontId="4" fillId="2" borderId="1" xfId="0" applyFont="1" applyFill="1" applyBorder="1"/>
    <xf numFmtId="169" fontId="55" fillId="0" borderId="0" xfId="1" applyNumberFormat="1" applyFont="1" applyAlignment="1">
      <alignment horizontal="center" vertical="center"/>
    </xf>
    <xf numFmtId="14" fontId="7" fillId="2" borderId="1" xfId="11" applyNumberFormat="1" applyFont="1" applyFill="1" applyBorder="1" applyAlignment="1">
      <alignment horizontal="center" vertical="center" wrapText="1" shrinkToFit="1"/>
    </xf>
    <xf numFmtId="0" fontId="7" fillId="2" borderId="1" xfId="11" applyFont="1" applyFill="1" applyBorder="1" applyAlignment="1">
      <alignment horizontal="center" vertical="center" wrapText="1" shrinkToFit="1"/>
    </xf>
    <xf numFmtId="169" fontId="7" fillId="2" borderId="1" xfId="11" applyNumberFormat="1" applyFont="1" applyFill="1" applyBorder="1" applyAlignment="1">
      <alignment horizontal="center" vertical="center" wrapText="1" shrinkToFit="1"/>
    </xf>
    <xf numFmtId="0" fontId="7" fillId="2" borderId="1" xfId="11" applyFont="1" applyFill="1" applyBorder="1" applyAlignment="1">
      <alignment horizontal="center" vertical="center" wrapText="1"/>
    </xf>
    <xf numFmtId="16" fontId="7" fillId="2" borderId="1" xfId="11" applyNumberFormat="1" applyFont="1" applyFill="1" applyBorder="1" applyAlignment="1">
      <alignment horizontal="center" vertical="center" wrapText="1" shrinkToFit="1"/>
    </xf>
    <xf numFmtId="169" fontId="7" fillId="2" borderId="1" xfId="0" applyNumberFormat="1" applyFont="1" applyFill="1" applyBorder="1" applyAlignment="1">
      <alignment horizontal="right" vertical="center" wrapText="1" shrinkToFit="1"/>
    </xf>
    <xf numFmtId="0" fontId="4" fillId="20" borderId="0" xfId="0" applyFont="1" applyFill="1"/>
    <xf numFmtId="169" fontId="4" fillId="2" borderId="1" xfId="0" applyNumberFormat="1" applyFont="1" applyFill="1" applyBorder="1" applyAlignment="1">
      <alignment horizontal="right" vertical="center" wrapText="1" shrinkToFit="1"/>
    </xf>
    <xf numFmtId="0" fontId="7" fillId="2" borderId="0" xfId="0" applyFont="1" applyFill="1" applyAlignment="1">
      <alignment horizontal="center"/>
    </xf>
    <xf numFmtId="0" fontId="7" fillId="2" borderId="59" xfId="0" applyFont="1" applyFill="1" applyBorder="1"/>
    <xf numFmtId="0" fontId="6" fillId="0" borderId="1" xfId="0" applyFont="1" applyBorder="1" applyAlignment="1">
      <alignment horizontal="center" vertical="center"/>
    </xf>
    <xf numFmtId="169" fontId="7" fillId="2" borderId="1" xfId="0" applyNumberFormat="1" applyFont="1" applyFill="1" applyBorder="1" applyAlignment="1">
      <alignment vertical="center" wrapText="1" shrinkToFit="1"/>
    </xf>
    <xf numFmtId="16" fontId="7" fillId="2" borderId="2" xfId="0" applyNumberFormat="1" applyFont="1" applyFill="1" applyBorder="1"/>
    <xf numFmtId="168" fontId="53" fillId="0" borderId="0" xfId="1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 vertical="center" wrapText="1" shrinkToFit="1"/>
    </xf>
    <xf numFmtId="169" fontId="0" fillId="0" borderId="0" xfId="0" applyNumberFormat="1"/>
    <xf numFmtId="0" fontId="7" fillId="0" borderId="0" xfId="0" applyFont="1" applyAlignment="1">
      <alignment horizontal="center" vertical="center" wrapText="1" shrinkToFit="1"/>
    </xf>
    <xf numFmtId="0" fontId="58" fillId="22" borderId="0" xfId="0" applyFont="1" applyFill="1"/>
    <xf numFmtId="0" fontId="56" fillId="22" borderId="3" xfId="0" applyFont="1" applyFill="1" applyBorder="1" applyAlignment="1">
      <alignment horizontal="center" vertical="center" wrapText="1" shrinkToFit="1"/>
    </xf>
    <xf numFmtId="16" fontId="56" fillId="22" borderId="3" xfId="0" applyNumberFormat="1" applyFont="1" applyFill="1" applyBorder="1" applyAlignment="1">
      <alignment horizontal="center" vertical="center" wrapText="1" shrinkToFit="1"/>
    </xf>
    <xf numFmtId="170" fontId="57" fillId="22" borderId="52" xfId="0" applyNumberFormat="1" applyFont="1" applyFill="1" applyBorder="1" applyAlignment="1">
      <alignment horizontal="center" vertical="center" wrapText="1"/>
    </xf>
    <xf numFmtId="0" fontId="57" fillId="22" borderId="52" xfId="0" applyFont="1" applyFill="1" applyBorder="1" applyAlignment="1">
      <alignment horizontal="center" vertical="center" wrapText="1"/>
    </xf>
    <xf numFmtId="0" fontId="57" fillId="22" borderId="52" xfId="0" applyFont="1" applyFill="1" applyBorder="1" applyAlignment="1">
      <alignment horizontal="center" vertical="center" wrapText="1" shrinkToFit="1"/>
    </xf>
    <xf numFmtId="172" fontId="57" fillId="22" borderId="52" xfId="0" applyNumberFormat="1" applyFont="1" applyFill="1" applyBorder="1" applyAlignment="1">
      <alignment horizontal="center" vertical="center" wrapText="1"/>
    </xf>
    <xf numFmtId="172" fontId="57" fillId="22" borderId="58" xfId="0" applyNumberFormat="1" applyFont="1" applyFill="1" applyBorder="1" applyAlignment="1">
      <alignment horizontal="center" vertical="center" wrapText="1"/>
    </xf>
    <xf numFmtId="0" fontId="57" fillId="22" borderId="58" xfId="0" applyFont="1" applyFill="1" applyBorder="1" applyAlignment="1">
      <alignment horizontal="center" vertical="center" wrapText="1"/>
    </xf>
    <xf numFmtId="1" fontId="57" fillId="22" borderId="58" xfId="0" applyNumberFormat="1" applyFont="1" applyFill="1" applyBorder="1" applyAlignment="1">
      <alignment horizontal="center" vertical="center" wrapText="1"/>
    </xf>
    <xf numFmtId="0" fontId="56" fillId="22" borderId="72" xfId="0" applyFont="1" applyFill="1" applyBorder="1" applyAlignment="1">
      <alignment horizontal="center" vertical="center" wrapText="1" shrinkToFit="1"/>
    </xf>
    <xf numFmtId="16" fontId="56" fillId="22" borderId="72" xfId="0" applyNumberFormat="1" applyFont="1" applyFill="1" applyBorder="1" applyAlignment="1">
      <alignment horizontal="center" vertical="center" wrapText="1" shrinkToFit="1"/>
    </xf>
    <xf numFmtId="16" fontId="7" fillId="2" borderId="1" xfId="0" applyNumberFormat="1" applyFont="1" applyFill="1" applyBorder="1"/>
    <xf numFmtId="0" fontId="7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shrinkToFit="1"/>
    </xf>
    <xf numFmtId="0" fontId="7" fillId="20" borderId="0" xfId="0" applyFont="1" applyFill="1"/>
    <xf numFmtId="0" fontId="4" fillId="2" borderId="3" xfId="0" applyFont="1" applyFill="1" applyBorder="1" applyAlignment="1">
      <alignment horizontal="center" vertical="center" wrapText="1" shrinkToFit="1"/>
    </xf>
    <xf numFmtId="169" fontId="7" fillId="0" borderId="1" xfId="0" applyNumberFormat="1" applyFont="1" applyBorder="1" applyAlignment="1">
      <alignment horizontal="right" vertical="center" wrapText="1" shrinkToFit="1"/>
    </xf>
    <xf numFmtId="0" fontId="7" fillId="2" borderId="0" xfId="0" applyFont="1" applyFill="1" applyAlignment="1">
      <alignment horizontal="center" vertical="center" wrapText="1" shrinkToFit="1"/>
    </xf>
    <xf numFmtId="16" fontId="7" fillId="2" borderId="0" xfId="0" applyNumberFormat="1" applyFont="1" applyFill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6" fillId="2" borderId="1" xfId="0" applyFont="1" applyFill="1" applyBorder="1"/>
    <xf numFmtId="0" fontId="4" fillId="2" borderId="1" xfId="16944" applyFont="1" applyFill="1" applyBorder="1" applyAlignment="1">
      <alignment horizontal="center" vertical="center"/>
    </xf>
    <xf numFmtId="169" fontId="4" fillId="2" borderId="1" xfId="16944" applyNumberFormat="1" applyFont="1" applyFill="1" applyBorder="1" applyAlignment="1">
      <alignment horizontal="center" vertical="center"/>
    </xf>
    <xf numFmtId="14" fontId="7" fillId="2" borderId="1" xfId="208" applyNumberFormat="1" applyFont="1" applyFill="1" applyBorder="1" applyAlignment="1">
      <alignment horizontal="center" vertical="center" wrapText="1" shrinkToFit="1"/>
    </xf>
    <xf numFmtId="0" fontId="7" fillId="2" borderId="1" xfId="208" applyFont="1" applyFill="1" applyBorder="1" applyAlignment="1">
      <alignment horizontal="center" vertical="center" wrapText="1" shrinkToFit="1"/>
    </xf>
    <xf numFmtId="0" fontId="4" fillId="2" borderId="1" xfId="16944" applyFont="1" applyFill="1" applyBorder="1" applyAlignment="1">
      <alignment horizontal="center" vertical="center" wrapText="1"/>
    </xf>
    <xf numFmtId="169" fontId="7" fillId="2" borderId="1" xfId="208" applyNumberFormat="1" applyFont="1" applyFill="1" applyBorder="1" applyAlignment="1">
      <alignment horizontal="center" vertical="center" wrapText="1" shrinkToFit="1"/>
    </xf>
    <xf numFmtId="0" fontId="7" fillId="2" borderId="1" xfId="208" applyFont="1" applyFill="1" applyBorder="1" applyAlignment="1">
      <alignment horizontal="center" vertical="center" wrapText="1"/>
    </xf>
    <xf numFmtId="170" fontId="4" fillId="2" borderId="1" xfId="16944" applyNumberFormat="1" applyFont="1" applyFill="1" applyBorder="1" applyAlignment="1">
      <alignment horizontal="center" vertical="center" wrapText="1"/>
    </xf>
    <xf numFmtId="0" fontId="4" fillId="2" borderId="0" xfId="16944" applyFont="1" applyFill="1" applyAlignment="1">
      <alignment horizontal="center" vertical="center"/>
    </xf>
    <xf numFmtId="0" fontId="8" fillId="2" borderId="1" xfId="16944" applyFont="1" applyFill="1" applyBorder="1" applyAlignment="1">
      <alignment horizontal="center" vertical="center"/>
    </xf>
    <xf numFmtId="169" fontId="8" fillId="2" borderId="1" xfId="16944" applyNumberFormat="1" applyFont="1" applyFill="1" applyBorder="1" applyAlignment="1">
      <alignment horizontal="center" vertical="center"/>
    </xf>
    <xf numFmtId="16" fontId="4" fillId="2" borderId="1" xfId="16944" applyNumberFormat="1" applyFont="1" applyFill="1" applyBorder="1" applyAlignment="1">
      <alignment horizontal="center" vertical="center"/>
    </xf>
    <xf numFmtId="0" fontId="6" fillId="0" borderId="0" xfId="0" applyFont="1"/>
    <xf numFmtId="0" fontId="67" fillId="0" borderId="0" xfId="0" applyFont="1"/>
    <xf numFmtId="0" fontId="4" fillId="2" borderId="72" xfId="0" applyFont="1" applyFill="1" applyBorder="1" applyAlignment="1">
      <alignment horizontal="center" vertical="center" wrapText="1" shrinkToFit="1"/>
    </xf>
    <xf numFmtId="0" fontId="4" fillId="2" borderId="0" xfId="0" applyFont="1" applyFill="1" applyAlignment="1">
      <alignment horizontal="center" vertical="center" wrapText="1" shrinkToFit="1"/>
    </xf>
    <xf numFmtId="16" fontId="7" fillId="2" borderId="0" xfId="0" applyNumberFormat="1" applyFont="1" applyFill="1"/>
    <xf numFmtId="0" fontId="7" fillId="2" borderId="59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169" fontId="6" fillId="2" borderId="1" xfId="0" applyNumberFormat="1" applyFont="1" applyFill="1" applyBorder="1" applyAlignment="1">
      <alignment horizontal="center" vertical="center" wrapText="1" shrinkToFit="1"/>
    </xf>
    <xf numFmtId="16" fontId="6" fillId="2" borderId="1" xfId="0" applyNumberFormat="1" applyFont="1" applyFill="1" applyBorder="1" applyAlignment="1">
      <alignment horizontal="center" vertical="center" wrapText="1" shrinkToFit="1"/>
    </xf>
    <xf numFmtId="14" fontId="7" fillId="2" borderId="72" xfId="208" applyNumberFormat="1" applyFont="1" applyFill="1" applyBorder="1" applyAlignment="1">
      <alignment horizontal="center" vertical="center" wrapText="1" shrinkToFit="1"/>
    </xf>
    <xf numFmtId="0" fontId="7" fillId="2" borderId="72" xfId="208" applyFont="1" applyFill="1" applyBorder="1" applyAlignment="1">
      <alignment horizontal="center" vertical="center" wrapText="1" shrinkToFit="1"/>
    </xf>
    <xf numFmtId="0" fontId="4" fillId="2" borderId="72" xfId="16944" applyFont="1" applyFill="1" applyBorder="1" applyAlignment="1">
      <alignment horizontal="center" vertical="center" wrapText="1"/>
    </xf>
    <xf numFmtId="169" fontId="7" fillId="2" borderId="72" xfId="208" applyNumberFormat="1" applyFont="1" applyFill="1" applyBorder="1" applyAlignment="1">
      <alignment horizontal="center" vertical="center" wrapText="1" shrinkToFit="1"/>
    </xf>
    <xf numFmtId="0" fontId="7" fillId="2" borderId="72" xfId="208" applyFont="1" applyFill="1" applyBorder="1" applyAlignment="1">
      <alignment horizontal="center" vertical="center" wrapText="1"/>
    </xf>
    <xf numFmtId="170" fontId="4" fillId="2" borderId="72" xfId="16944" applyNumberFormat="1" applyFont="1" applyFill="1" applyBorder="1" applyAlignment="1">
      <alignment horizontal="center" vertical="center" wrapText="1"/>
    </xf>
    <xf numFmtId="0" fontId="4" fillId="2" borderId="74" xfId="16944" applyFont="1" applyFill="1" applyBorder="1" applyAlignment="1">
      <alignment horizontal="center" vertical="center"/>
    </xf>
    <xf numFmtId="169" fontId="4" fillId="2" borderId="74" xfId="16944" applyNumberFormat="1" applyFont="1" applyFill="1" applyBorder="1" applyAlignment="1">
      <alignment horizontal="center" vertical="center"/>
    </xf>
    <xf numFmtId="0" fontId="7" fillId="2" borderId="74" xfId="208" applyFont="1" applyFill="1" applyBorder="1" applyAlignment="1">
      <alignment horizontal="center" vertical="center" wrapText="1"/>
    </xf>
    <xf numFmtId="16" fontId="4" fillId="2" borderId="74" xfId="16944" applyNumberFormat="1" applyFont="1" applyFill="1" applyBorder="1" applyAlignment="1">
      <alignment horizontal="center" vertical="center"/>
    </xf>
    <xf numFmtId="0" fontId="4" fillId="2" borderId="2" xfId="0" applyFont="1" applyFill="1" applyBorder="1"/>
    <xf numFmtId="170" fontId="7" fillId="0" borderId="1" xfId="0" applyNumberFormat="1" applyFont="1" applyBorder="1" applyAlignment="1">
      <alignment horizontal="center" vertical="center" wrapText="1" shrinkToFit="1"/>
    </xf>
    <xf numFmtId="0" fontId="8" fillId="2" borderId="0" xfId="0" applyFont="1" applyFill="1"/>
    <xf numFmtId="16" fontId="4" fillId="2" borderId="0" xfId="0" applyNumberFormat="1" applyFont="1" applyFill="1"/>
    <xf numFmtId="0" fontId="4" fillId="2" borderId="1" xfId="0" applyFont="1" applyFill="1" applyBorder="1" applyAlignment="1">
      <alignment horizontal="center" vertical="center" shrinkToFit="1"/>
    </xf>
    <xf numFmtId="0" fontId="4" fillId="2" borderId="59" xfId="0" applyFont="1" applyFill="1" applyBorder="1" applyAlignment="1">
      <alignment horizontal="center" vertical="center" wrapText="1" shrinkToFit="1"/>
    </xf>
    <xf numFmtId="0" fontId="69" fillId="2" borderId="1" xfId="16977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11" applyFont="1" applyFill="1" applyBorder="1" applyAlignment="1">
      <alignment horizontal="center" vertical="center" shrinkToFit="1"/>
    </xf>
    <xf numFmtId="4" fontId="6" fillId="2" borderId="1" xfId="2" applyNumberFormat="1" applyFont="1" applyFill="1" applyBorder="1" applyAlignment="1">
      <alignment horizontal="center" vertical="center" wrapText="1" shrinkToFit="1"/>
    </xf>
    <xf numFmtId="168" fontId="6" fillId="2" borderId="1" xfId="0" applyNumberFormat="1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 wrapText="1" shrinkToFit="1"/>
    </xf>
    <xf numFmtId="16" fontId="6" fillId="2" borderId="1" xfId="0" applyNumberFormat="1" applyFont="1" applyFill="1" applyBorder="1" applyAlignment="1">
      <alignment horizontal="center" vertical="center" shrinkToFit="1"/>
    </xf>
    <xf numFmtId="168" fontId="6" fillId="2" borderId="1" xfId="1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 shrinkToFit="1"/>
    </xf>
    <xf numFmtId="16" fontId="4" fillId="2" borderId="1" xfId="0" applyNumberFormat="1" applyFont="1" applyFill="1" applyBorder="1"/>
    <xf numFmtId="0" fontId="70" fillId="2" borderId="0" xfId="0" applyFont="1" applyFill="1"/>
    <xf numFmtId="0" fontId="70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 vertical="center" wrapText="1"/>
    </xf>
    <xf numFmtId="0" fontId="70" fillId="20" borderId="0" xfId="0" applyFont="1" applyFill="1"/>
    <xf numFmtId="16" fontId="68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 shrinkToFit="1"/>
    </xf>
    <xf numFmtId="0" fontId="4" fillId="2" borderId="3" xfId="16944" applyFont="1" applyFill="1" applyBorder="1" applyAlignment="1">
      <alignment horizontal="center" vertical="center"/>
    </xf>
    <xf numFmtId="167" fontId="6" fillId="2" borderId="59" xfId="0" applyNumberFormat="1" applyFont="1" applyFill="1" applyBorder="1" applyAlignment="1">
      <alignment horizontal="center" vertical="center"/>
    </xf>
    <xf numFmtId="16" fontId="4" fillId="2" borderId="77" xfId="16944" applyNumberFormat="1" applyFont="1" applyFill="1" applyBorder="1" applyAlignment="1">
      <alignment horizontal="center" vertical="center"/>
    </xf>
    <xf numFmtId="0" fontId="4" fillId="2" borderId="77" xfId="16944" applyFont="1" applyFill="1" applyBorder="1" applyAlignment="1">
      <alignment horizontal="center" vertical="center"/>
    </xf>
    <xf numFmtId="16" fontId="4" fillId="2" borderId="0" xfId="16944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51" fillId="2" borderId="1" xfId="208" applyFont="1" applyFill="1" applyBorder="1" applyAlignment="1">
      <alignment horizontal="center" vertical="center" wrapText="1" shrinkToFit="1"/>
    </xf>
    <xf numFmtId="0" fontId="68" fillId="2" borderId="1" xfId="16944" applyFont="1" applyFill="1" applyBorder="1" applyAlignment="1">
      <alignment horizontal="center" vertical="center" wrapText="1"/>
    </xf>
    <xf numFmtId="170" fontId="68" fillId="2" borderId="1" xfId="16944" applyNumberFormat="1" applyFont="1" applyFill="1" applyBorder="1" applyAlignment="1">
      <alignment horizontal="center" vertical="center" wrapText="1"/>
    </xf>
    <xf numFmtId="0" fontId="68" fillId="2" borderId="1" xfId="16944" applyFont="1" applyFill="1" applyBorder="1" applyAlignment="1">
      <alignment horizontal="center" vertical="center"/>
    </xf>
    <xf numFmtId="16" fontId="68" fillId="2" borderId="1" xfId="16944" applyNumberFormat="1" applyFont="1" applyFill="1" applyBorder="1" applyAlignment="1">
      <alignment horizontal="center" vertical="center"/>
    </xf>
    <xf numFmtId="0" fontId="68" fillId="2" borderId="0" xfId="16944" applyFont="1" applyFill="1" applyAlignment="1">
      <alignment horizontal="center" vertical="center"/>
    </xf>
    <xf numFmtId="14" fontId="4" fillId="2" borderId="1" xfId="208" applyNumberFormat="1" applyFont="1" applyFill="1" applyBorder="1" applyAlignment="1">
      <alignment horizontal="center" vertical="center" wrapText="1" shrinkToFit="1"/>
    </xf>
    <xf numFmtId="0" fontId="4" fillId="2" borderId="1" xfId="208" applyFont="1" applyFill="1" applyBorder="1" applyAlignment="1">
      <alignment horizontal="center" vertical="center" wrapText="1" shrinkToFit="1"/>
    </xf>
    <xf numFmtId="169" fontId="4" fillId="2" borderId="1" xfId="208" applyNumberFormat="1" applyFont="1" applyFill="1" applyBorder="1" applyAlignment="1">
      <alignment horizontal="center" vertical="center" wrapText="1" shrinkToFit="1"/>
    </xf>
    <xf numFmtId="0" fontId="4" fillId="2" borderId="1" xfId="208" applyFont="1" applyFill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16" fontId="6" fillId="2" borderId="0" xfId="0" applyNumberFormat="1" applyFont="1" applyFill="1" applyAlignment="1">
      <alignment horizontal="center" vertical="center" wrapText="1" shrinkToFit="1"/>
    </xf>
    <xf numFmtId="170" fontId="6" fillId="2" borderId="80" xfId="0" applyNumberFormat="1" applyFont="1" applyFill="1" applyBorder="1" applyAlignment="1">
      <alignment horizontal="center" vertical="center" shrinkToFit="1"/>
    </xf>
    <xf numFmtId="0" fontId="6" fillId="2" borderId="80" xfId="0" applyFont="1" applyFill="1" applyBorder="1" applyAlignment="1">
      <alignment horizontal="center" vertical="center" wrapText="1" shrinkToFit="1"/>
    </xf>
    <xf numFmtId="0" fontId="6" fillId="2" borderId="80" xfId="0" applyFont="1" applyFill="1" applyBorder="1" applyAlignment="1">
      <alignment horizontal="center" vertical="center" shrinkToFit="1"/>
    </xf>
    <xf numFmtId="0" fontId="6" fillId="2" borderId="80" xfId="0" applyFont="1" applyFill="1" applyBorder="1" applyAlignment="1">
      <alignment horizontal="center" vertical="center"/>
    </xf>
    <xf numFmtId="0" fontId="6" fillId="2" borderId="80" xfId="11" applyFont="1" applyFill="1" applyBorder="1" applyAlignment="1">
      <alignment horizontal="center" vertical="center" shrinkToFit="1"/>
    </xf>
    <xf numFmtId="169" fontId="6" fillId="2" borderId="80" xfId="0" applyNumberFormat="1" applyFont="1" applyFill="1" applyBorder="1" applyAlignment="1">
      <alignment horizontal="center" vertical="center" wrapText="1" shrinkToFit="1"/>
    </xf>
    <xf numFmtId="4" fontId="6" fillId="2" borderId="80" xfId="2" applyNumberFormat="1" applyFont="1" applyFill="1" applyBorder="1" applyAlignment="1">
      <alignment horizontal="center" vertical="center" wrapText="1" shrinkToFit="1"/>
    </xf>
    <xf numFmtId="168" fontId="6" fillId="2" borderId="80" xfId="0" applyNumberFormat="1" applyFont="1" applyFill="1" applyBorder="1" applyAlignment="1">
      <alignment horizontal="center" vertical="center"/>
    </xf>
    <xf numFmtId="170" fontId="6" fillId="2" borderId="80" xfId="0" applyNumberFormat="1" applyFont="1" applyFill="1" applyBorder="1" applyAlignment="1">
      <alignment horizontal="center" vertical="center" wrapText="1" shrinkToFit="1"/>
    </xf>
    <xf numFmtId="16" fontId="6" fillId="2" borderId="80" xfId="0" applyNumberFormat="1" applyFont="1" applyFill="1" applyBorder="1" applyAlignment="1">
      <alignment horizontal="center" vertical="center"/>
    </xf>
    <xf numFmtId="16" fontId="6" fillId="2" borderId="80" xfId="0" applyNumberFormat="1" applyFont="1" applyFill="1" applyBorder="1" applyAlignment="1">
      <alignment horizontal="center" vertical="center" shrinkToFit="1"/>
    </xf>
    <xf numFmtId="168" fontId="6" fillId="2" borderId="80" xfId="1" applyNumberFormat="1" applyFont="1" applyFill="1" applyBorder="1" applyAlignment="1">
      <alignment horizontal="center" vertical="center"/>
    </xf>
    <xf numFmtId="167" fontId="6" fillId="2" borderId="80" xfId="0" applyNumberFormat="1" applyFont="1" applyFill="1" applyBorder="1" applyAlignment="1">
      <alignment horizontal="center" vertical="center"/>
    </xf>
    <xf numFmtId="16" fontId="6" fillId="2" borderId="80" xfId="0" applyNumberFormat="1" applyFont="1" applyFill="1" applyBorder="1" applyAlignment="1">
      <alignment horizontal="center" vertical="center" wrapText="1" shrinkToFit="1"/>
    </xf>
    <xf numFmtId="168" fontId="6" fillId="2" borderId="3" xfId="0" applyNumberFormat="1" applyFont="1" applyFill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 wrapText="1" shrinkToFit="1"/>
    </xf>
    <xf numFmtId="0" fontId="4" fillId="2" borderId="59" xfId="16944" applyFont="1" applyFill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 shrinkToFit="1"/>
    </xf>
    <xf numFmtId="4" fontId="4" fillId="2" borderId="1" xfId="2" applyNumberFormat="1" applyFont="1" applyFill="1" applyBorder="1" applyAlignment="1">
      <alignment horizontal="center" vertical="center" wrapText="1" shrinkToFit="1"/>
    </xf>
    <xf numFmtId="16" fontId="4" fillId="2" borderId="1" xfId="0" applyNumberFormat="1" applyFont="1" applyFill="1" applyBorder="1" applyAlignment="1">
      <alignment horizontal="center" vertical="center" shrinkToFit="1"/>
    </xf>
    <xf numFmtId="167" fontId="4" fillId="2" borderId="1" xfId="0" applyNumberFormat="1" applyFont="1" applyFill="1" applyBorder="1" applyAlignment="1">
      <alignment horizontal="center" vertical="center"/>
    </xf>
    <xf numFmtId="0" fontId="50" fillId="2" borderId="0" xfId="0" applyFont="1" applyFill="1"/>
    <xf numFmtId="16" fontId="4" fillId="2" borderId="0" xfId="0" applyNumberFormat="1" applyFont="1" applyFill="1" applyAlignment="1">
      <alignment horizontal="center" vertical="center" wrapText="1" shrinkToFit="1"/>
    </xf>
    <xf numFmtId="167" fontId="4" fillId="2" borderId="0" xfId="0" applyNumberFormat="1" applyFont="1" applyFill="1" applyAlignment="1">
      <alignment horizontal="center" vertical="center"/>
    </xf>
    <xf numFmtId="0" fontId="4" fillId="2" borderId="81" xfId="0" applyFont="1" applyFill="1" applyBorder="1" applyAlignment="1">
      <alignment horizontal="center" vertical="center" wrapText="1" shrinkToFit="1"/>
    </xf>
    <xf numFmtId="16" fontId="7" fillId="2" borderId="81" xfId="0" applyNumberFormat="1" applyFont="1" applyFill="1" applyBorder="1" applyAlignment="1">
      <alignment horizontal="center" vertical="center"/>
    </xf>
    <xf numFmtId="169" fontId="7" fillId="2" borderId="2" xfId="208" applyNumberFormat="1" applyFont="1" applyFill="1" applyBorder="1" applyAlignment="1">
      <alignment horizontal="center" vertical="center" wrapText="1" shrinkToFit="1"/>
    </xf>
    <xf numFmtId="168" fontId="4" fillId="2" borderId="2" xfId="1" applyNumberFormat="1" applyFont="1" applyFill="1" applyBorder="1" applyAlignment="1">
      <alignment horizontal="center" vertical="center" wrapText="1"/>
    </xf>
    <xf numFmtId="0" fontId="7" fillId="2" borderId="2" xfId="208" applyFont="1" applyFill="1" applyBorder="1" applyAlignment="1">
      <alignment horizontal="center" vertical="center" wrapText="1" shrinkToFit="1"/>
    </xf>
    <xf numFmtId="169" fontId="4" fillId="2" borderId="2" xfId="208" applyNumberFormat="1" applyFont="1" applyFill="1" applyBorder="1" applyAlignment="1">
      <alignment horizontal="center" vertical="center" wrapText="1" shrinkToFit="1"/>
    </xf>
    <xf numFmtId="0" fontId="4" fillId="2" borderId="2" xfId="208" applyFont="1" applyFill="1" applyBorder="1" applyAlignment="1">
      <alignment horizontal="center" vertical="center" wrapText="1" shrinkToFit="1"/>
    </xf>
    <xf numFmtId="0" fontId="4" fillId="2" borderId="2" xfId="16944" applyFont="1" applyFill="1" applyBorder="1" applyAlignment="1">
      <alignment horizontal="center" vertical="center"/>
    </xf>
    <xf numFmtId="16" fontId="4" fillId="2" borderId="2" xfId="16944" applyNumberFormat="1" applyFont="1" applyFill="1" applyBorder="1" applyAlignment="1">
      <alignment horizontal="center" vertical="center"/>
    </xf>
    <xf numFmtId="0" fontId="7" fillId="2" borderId="82" xfId="0" applyFont="1" applyFill="1" applyBorder="1" applyAlignment="1">
      <alignment horizontal="center" vertical="center"/>
    </xf>
    <xf numFmtId="16" fontId="7" fillId="2" borderId="82" xfId="0" applyNumberFormat="1" applyFont="1" applyFill="1" applyBorder="1" applyAlignment="1">
      <alignment horizontal="center" vertical="center"/>
    </xf>
    <xf numFmtId="4" fontId="7" fillId="2" borderId="1" xfId="16979" applyNumberFormat="1" applyFont="1" applyFill="1" applyBorder="1" applyAlignment="1">
      <alignment horizontal="center" vertical="center" wrapText="1" shrinkToFit="1"/>
    </xf>
    <xf numFmtId="14" fontId="4" fillId="2" borderId="1" xfId="11" applyNumberFormat="1" applyFont="1" applyFill="1" applyBorder="1" applyAlignment="1">
      <alignment horizontal="center" vertical="center" wrapText="1" shrinkToFit="1"/>
    </xf>
    <xf numFmtId="0" fontId="4" fillId="2" borderId="1" xfId="11" applyFont="1" applyFill="1" applyBorder="1" applyAlignment="1">
      <alignment horizontal="center" vertical="center" wrapText="1" shrinkToFit="1"/>
    </xf>
    <xf numFmtId="169" fontId="4" fillId="2" borderId="1" xfId="11" applyNumberFormat="1" applyFont="1" applyFill="1" applyBorder="1" applyAlignment="1">
      <alignment horizontal="center" vertical="center" wrapText="1" shrinkToFit="1"/>
    </xf>
    <xf numFmtId="4" fontId="4" fillId="2" borderId="1" xfId="16979" applyNumberFormat="1" applyFont="1" applyFill="1" applyBorder="1" applyAlignment="1">
      <alignment horizontal="center" vertical="center" wrapText="1" shrinkToFit="1"/>
    </xf>
    <xf numFmtId="0" fontId="4" fillId="2" borderId="1" xfId="11" applyFont="1" applyFill="1" applyBorder="1" applyAlignment="1">
      <alignment horizontal="center" vertical="center" wrapText="1"/>
    </xf>
    <xf numFmtId="0" fontId="51" fillId="2" borderId="1" xfId="0" applyFont="1" applyFill="1" applyBorder="1"/>
    <xf numFmtId="0" fontId="51" fillId="2" borderId="0" xfId="0" applyFont="1" applyFill="1"/>
    <xf numFmtId="0" fontId="72" fillId="20" borderId="0" xfId="0" applyFont="1" applyFill="1"/>
    <xf numFmtId="0" fontId="72" fillId="2" borderId="0" xfId="0" applyFont="1" applyFill="1"/>
    <xf numFmtId="0" fontId="7" fillId="2" borderId="3" xfId="0" applyFont="1" applyFill="1" applyBorder="1"/>
    <xf numFmtId="4" fontId="7" fillId="2" borderId="1" xfId="16980" applyNumberFormat="1" applyFont="1" applyFill="1" applyBorder="1" applyAlignment="1">
      <alignment horizontal="center" vertical="center" wrapText="1" shrinkToFit="1"/>
    </xf>
    <xf numFmtId="16" fontId="6" fillId="2" borderId="84" xfId="0" applyNumberFormat="1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 wrapText="1" shrinkToFit="1"/>
    </xf>
    <xf numFmtId="16" fontId="7" fillId="2" borderId="84" xfId="0" applyNumberFormat="1" applyFont="1" applyFill="1" applyBorder="1" applyAlignment="1">
      <alignment horizontal="center" vertical="center"/>
    </xf>
    <xf numFmtId="16" fontId="6" fillId="2" borderId="0" xfId="0" applyNumberFormat="1" applyFont="1" applyFill="1" applyAlignment="1">
      <alignment vertical="center"/>
    </xf>
    <xf numFmtId="0" fontId="4" fillId="2" borderId="85" xfId="0" applyFont="1" applyFill="1" applyBorder="1" applyAlignment="1">
      <alignment horizontal="center" vertical="center" wrapText="1" shrinkToFit="1"/>
    </xf>
    <xf numFmtId="16" fontId="7" fillId="2" borderId="85" xfId="0" applyNumberFormat="1" applyFont="1" applyFill="1" applyBorder="1" applyAlignment="1">
      <alignment horizontal="center" vertical="center"/>
    </xf>
    <xf numFmtId="16" fontId="6" fillId="2" borderId="0" xfId="0" applyNumberFormat="1" applyFont="1" applyFill="1" applyAlignment="1">
      <alignment horizontal="center" vertical="center"/>
    </xf>
    <xf numFmtId="0" fontId="6" fillId="2" borderId="2" xfId="0" applyFont="1" applyFill="1" applyBorder="1"/>
    <xf numFmtId="16" fontId="4" fillId="2" borderId="1" xfId="11" applyNumberFormat="1" applyFont="1" applyFill="1" applyBorder="1" applyAlignment="1">
      <alignment horizontal="center" vertical="center" wrapText="1" shrinkToFit="1"/>
    </xf>
    <xf numFmtId="4" fontId="4" fillId="2" borderId="1" xfId="16980" applyNumberFormat="1" applyFont="1" applyFill="1" applyBorder="1" applyAlignment="1">
      <alignment horizontal="center" vertical="center" wrapText="1" shrinkToFit="1"/>
    </xf>
    <xf numFmtId="0" fontId="7" fillId="2" borderId="84" xfId="0" applyFont="1" applyFill="1" applyBorder="1"/>
    <xf numFmtId="16" fontId="6" fillId="2" borderId="1" xfId="0" applyNumberFormat="1" applyFont="1" applyFill="1" applyBorder="1"/>
    <xf numFmtId="0" fontId="6" fillId="2" borderId="59" xfId="0" applyFont="1" applyFill="1" applyBorder="1"/>
    <xf numFmtId="16" fontId="6" fillId="2" borderId="86" xfId="0" applyNumberFormat="1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 wrapText="1" shrinkToFit="1"/>
    </xf>
    <xf numFmtId="16" fontId="7" fillId="2" borderId="86" xfId="0" applyNumberFormat="1" applyFont="1" applyFill="1" applyBorder="1" applyAlignment="1">
      <alignment horizontal="center" vertical="center"/>
    </xf>
    <xf numFmtId="16" fontId="4" fillId="2" borderId="86" xfId="0" applyNumberFormat="1" applyFont="1" applyFill="1" applyBorder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9" fillId="2" borderId="0" xfId="16977" applyFont="1" applyFill="1" applyAlignment="1">
      <alignment horizontal="center" vertical="center"/>
    </xf>
    <xf numFmtId="0" fontId="4" fillId="2" borderId="66" xfId="0" applyFont="1" applyFill="1" applyBorder="1" applyAlignment="1">
      <alignment horizontal="center" vertical="center" wrapText="1" shrinkToFit="1"/>
    </xf>
    <xf numFmtId="0" fontId="4" fillId="2" borderId="59" xfId="0" applyFont="1" applyFill="1" applyBorder="1"/>
    <xf numFmtId="16" fontId="7" fillId="2" borderId="0" xfId="0" applyNumberFormat="1" applyFont="1" applyFill="1" applyAlignment="1">
      <alignment horizontal="center"/>
    </xf>
    <xf numFmtId="0" fontId="70" fillId="2" borderId="1" xfId="0" applyFont="1" applyFill="1" applyBorder="1"/>
    <xf numFmtId="0" fontId="4" fillId="2" borderId="88" xfId="0" applyFont="1" applyFill="1" applyBorder="1" applyAlignment="1">
      <alignment horizontal="center" vertical="center" wrapText="1" shrinkToFit="1"/>
    </xf>
    <xf numFmtId="14" fontId="4" fillId="2" borderId="72" xfId="0" applyNumberFormat="1" applyFont="1" applyFill="1" applyBorder="1" applyAlignment="1">
      <alignment horizontal="center" vertical="center" wrapText="1" shrinkToFit="1"/>
    </xf>
    <xf numFmtId="169" fontId="4" fillId="2" borderId="72" xfId="0" applyNumberFormat="1" applyFont="1" applyFill="1" applyBorder="1" applyAlignment="1">
      <alignment horizontal="center" vertical="center" wrapText="1" shrinkToFit="1"/>
    </xf>
    <xf numFmtId="4" fontId="4" fillId="2" borderId="72" xfId="2102" applyNumberFormat="1" applyFont="1" applyFill="1" applyBorder="1" applyAlignment="1">
      <alignment horizontal="center" vertical="center" wrapText="1" shrinkToFit="1"/>
    </xf>
    <xf numFmtId="16" fontId="4" fillId="2" borderId="72" xfId="0" applyNumberFormat="1" applyFont="1" applyFill="1" applyBorder="1" applyAlignment="1">
      <alignment horizontal="center" vertical="center" wrapText="1" shrinkToFit="1"/>
    </xf>
    <xf numFmtId="0" fontId="4" fillId="2" borderId="72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 shrinkToFit="1"/>
    </xf>
    <xf numFmtId="0" fontId="6" fillId="2" borderId="66" xfId="0" applyFont="1" applyFill="1" applyBorder="1"/>
    <xf numFmtId="0" fontId="4" fillId="2" borderId="86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 wrapText="1" shrinkToFit="1"/>
    </xf>
    <xf numFmtId="0" fontId="4" fillId="2" borderId="83" xfId="0" applyFont="1" applyFill="1" applyBorder="1" applyAlignment="1">
      <alignment horizontal="center" vertical="center" wrapText="1" shrinkToFit="1"/>
    </xf>
    <xf numFmtId="16" fontId="4" fillId="2" borderId="85" xfId="0" applyNumberFormat="1" applyFont="1" applyFill="1" applyBorder="1" applyAlignment="1">
      <alignment horizontal="center" vertical="center"/>
    </xf>
    <xf numFmtId="16" fontId="6" fillId="2" borderId="0" xfId="0" applyNumberFormat="1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16" fontId="6" fillId="2" borderId="89" xfId="0" applyNumberFormat="1" applyFont="1" applyFill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7" fillId="2" borderId="90" xfId="0" applyFont="1" applyFill="1" applyBorder="1"/>
    <xf numFmtId="0" fontId="4" fillId="2" borderId="90" xfId="0" applyFont="1" applyFill="1" applyBorder="1" applyAlignment="1">
      <alignment horizontal="center" vertical="center" wrapText="1" shrinkToFit="1"/>
    </xf>
    <xf numFmtId="16" fontId="7" fillId="2" borderId="90" xfId="0" applyNumberFormat="1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16" fontId="4" fillId="2" borderId="90" xfId="0" applyNumberFormat="1" applyFont="1" applyFill="1" applyBorder="1" applyAlignment="1">
      <alignment horizontal="center" vertical="center"/>
    </xf>
    <xf numFmtId="0" fontId="6" fillId="2" borderId="3" xfId="0" applyFont="1" applyFill="1" applyBorder="1"/>
    <xf numFmtId="0" fontId="7" fillId="2" borderId="91" xfId="0" applyFont="1" applyFill="1" applyBorder="1"/>
    <xf numFmtId="16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16" fontId="4" fillId="2" borderId="90" xfId="0" applyNumberFormat="1" applyFont="1" applyFill="1" applyBorder="1" applyAlignment="1">
      <alignment horizontal="center" vertical="center" wrapText="1"/>
    </xf>
    <xf numFmtId="0" fontId="7" fillId="2" borderId="66" xfId="0" applyFont="1" applyFill="1" applyBorder="1"/>
    <xf numFmtId="0" fontId="8" fillId="0" borderId="1" xfId="0" applyFont="1" applyBorder="1" applyAlignment="1">
      <alignment horizontal="center" vertical="center" wrapText="1" shrinkToFit="1"/>
    </xf>
    <xf numFmtId="4" fontId="8" fillId="0" borderId="1" xfId="2102" applyNumberFormat="1" applyFont="1" applyFill="1" applyBorder="1" applyAlignment="1">
      <alignment horizontal="center" vertical="center" wrapText="1" shrinkToFit="1"/>
    </xf>
    <xf numFmtId="14" fontId="7" fillId="24" borderId="1" xfId="0" applyNumberFormat="1" applyFont="1" applyFill="1" applyBorder="1" applyAlignment="1">
      <alignment horizontal="center" vertical="center" wrapText="1" shrinkToFit="1"/>
    </xf>
    <xf numFmtId="0" fontId="7" fillId="24" borderId="1" xfId="0" applyFont="1" applyFill="1" applyBorder="1" applyAlignment="1">
      <alignment horizontal="center" vertical="center" wrapText="1" shrinkToFit="1"/>
    </xf>
    <xf numFmtId="169" fontId="7" fillId="24" borderId="1" xfId="0" applyNumberFormat="1" applyFont="1" applyFill="1" applyBorder="1" applyAlignment="1">
      <alignment horizontal="center" vertical="center" wrapText="1" shrinkToFit="1"/>
    </xf>
    <xf numFmtId="4" fontId="7" fillId="24" borderId="1" xfId="2102" applyNumberFormat="1" applyFont="1" applyFill="1" applyBorder="1" applyAlignment="1">
      <alignment horizontal="center" vertical="center" wrapText="1" shrinkToFit="1"/>
    </xf>
    <xf numFmtId="170" fontId="7" fillId="24" borderId="1" xfId="0" applyNumberFormat="1" applyFont="1" applyFill="1" applyBorder="1" applyAlignment="1">
      <alignment horizontal="center" vertical="center" wrapText="1" shrinkToFit="1"/>
    </xf>
    <xf numFmtId="16" fontId="7" fillId="24" borderId="1" xfId="0" applyNumberFormat="1" applyFont="1" applyFill="1" applyBorder="1" applyAlignment="1">
      <alignment horizontal="center" vertical="center" wrapText="1" shrinkToFit="1"/>
    </xf>
    <xf numFmtId="0" fontId="4" fillId="24" borderId="1" xfId="0" applyFont="1" applyFill="1" applyBorder="1" applyAlignment="1">
      <alignment horizontal="center" vertical="center" wrapText="1" shrinkToFit="1"/>
    </xf>
    <xf numFmtId="169" fontId="7" fillId="24" borderId="1" xfId="0" applyNumberFormat="1" applyFont="1" applyFill="1" applyBorder="1" applyAlignment="1">
      <alignment horizontal="right" vertical="center" wrapText="1" shrinkToFit="1"/>
    </xf>
    <xf numFmtId="0" fontId="7" fillId="24" borderId="1" xfId="0" applyFont="1" applyFill="1" applyBorder="1" applyAlignment="1">
      <alignment horizontal="center" vertical="center" wrapText="1"/>
    </xf>
    <xf numFmtId="0" fontId="6" fillId="24" borderId="1" xfId="0" applyFont="1" applyFill="1" applyBorder="1"/>
    <xf numFmtId="0" fontId="6" fillId="24" borderId="0" xfId="0" applyFont="1" applyFill="1"/>
    <xf numFmtId="16" fontId="51" fillId="2" borderId="1" xfId="0" applyNumberFormat="1" applyFont="1" applyFill="1" applyBorder="1"/>
    <xf numFmtId="0" fontId="51" fillId="24" borderId="0" xfId="0" applyFont="1" applyFill="1"/>
    <xf numFmtId="0" fontId="7" fillId="24" borderId="1" xfId="0" applyFont="1" applyFill="1" applyBorder="1"/>
    <xf numFmtId="0" fontId="7" fillId="24" borderId="0" xfId="0" applyFont="1" applyFill="1"/>
    <xf numFmtId="0" fontId="4" fillId="24" borderId="0" xfId="0" applyFont="1" applyFill="1"/>
    <xf numFmtId="0" fontId="73" fillId="2" borderId="0" xfId="0" applyFont="1" applyFill="1"/>
    <xf numFmtId="14" fontId="4" fillId="24" borderId="1" xfId="0" applyNumberFormat="1" applyFont="1" applyFill="1" applyBorder="1" applyAlignment="1">
      <alignment horizontal="center" vertical="center" wrapText="1" shrinkToFit="1"/>
    </xf>
    <xf numFmtId="169" fontId="4" fillId="24" borderId="1" xfId="0" applyNumberFormat="1" applyFont="1" applyFill="1" applyBorder="1" applyAlignment="1">
      <alignment horizontal="center" vertical="center" wrapText="1" shrinkToFit="1"/>
    </xf>
    <xf numFmtId="4" fontId="4" fillId="24" borderId="1" xfId="2102" applyNumberFormat="1" applyFont="1" applyFill="1" applyBorder="1" applyAlignment="1">
      <alignment horizontal="center" vertical="center" wrapText="1" shrinkToFit="1"/>
    </xf>
    <xf numFmtId="16" fontId="4" fillId="24" borderId="1" xfId="0" applyNumberFormat="1" applyFont="1" applyFill="1" applyBorder="1" applyAlignment="1">
      <alignment horizontal="center" vertical="center" wrapText="1" shrinkToFit="1"/>
    </xf>
    <xf numFmtId="169" fontId="4" fillId="24" borderId="1" xfId="0" applyNumberFormat="1" applyFont="1" applyFill="1" applyBorder="1" applyAlignment="1">
      <alignment horizontal="right" vertical="center" wrapText="1" shrinkToFit="1"/>
    </xf>
    <xf numFmtId="0" fontId="4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/>
    </xf>
    <xf numFmtId="0" fontId="4" fillId="24" borderId="0" xfId="0" applyFont="1" applyFill="1" applyAlignment="1">
      <alignment horizontal="center"/>
    </xf>
    <xf numFmtId="170" fontId="4" fillId="24" borderId="1" xfId="0" applyNumberFormat="1" applyFont="1" applyFill="1" applyBorder="1" applyAlignment="1">
      <alignment horizontal="center" vertical="center" wrapText="1" shrinkToFit="1"/>
    </xf>
    <xf numFmtId="16" fontId="74" fillId="24" borderId="1" xfId="0" applyNumberFormat="1" applyFont="1" applyFill="1" applyBorder="1" applyAlignment="1">
      <alignment horizontal="center" vertical="center" wrapText="1" shrinkToFit="1"/>
    </xf>
    <xf numFmtId="0" fontId="4" fillId="24" borderId="1" xfId="0" applyFont="1" applyFill="1" applyBorder="1"/>
    <xf numFmtId="14" fontId="8" fillId="2" borderId="1" xfId="0" applyNumberFormat="1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 wrapText="1" shrinkToFit="1"/>
    </xf>
    <xf numFmtId="169" fontId="8" fillId="2" borderId="1" xfId="0" applyNumberFormat="1" applyFont="1" applyFill="1" applyBorder="1" applyAlignment="1">
      <alignment horizontal="center" vertical="center" wrapText="1" shrinkToFit="1"/>
    </xf>
    <xf numFmtId="4" fontId="8" fillId="2" borderId="1" xfId="2102" applyNumberFormat="1" applyFont="1" applyFill="1" applyBorder="1" applyAlignment="1">
      <alignment horizontal="center" vertical="center" wrapText="1" shrinkToFit="1"/>
    </xf>
    <xf numFmtId="170" fontId="8" fillId="2" borderId="1" xfId="0" applyNumberFormat="1" applyFont="1" applyFill="1" applyBorder="1" applyAlignment="1">
      <alignment horizontal="center" vertical="center" wrapText="1" shrinkToFit="1"/>
    </xf>
    <xf numFmtId="16" fontId="8" fillId="2" borderId="1" xfId="0" applyNumberFormat="1" applyFont="1" applyFill="1" applyBorder="1" applyAlignment="1">
      <alignment horizontal="center" vertical="center" wrapText="1" shrinkToFit="1"/>
    </xf>
    <xf numFmtId="169" fontId="8" fillId="2" borderId="1" xfId="0" applyNumberFormat="1" applyFont="1" applyFill="1" applyBorder="1" applyAlignment="1">
      <alignment horizontal="right" vertical="center" wrapText="1" shrinkToFi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16" fontId="8" fillId="2" borderId="1" xfId="0" applyNumberFormat="1" applyFont="1" applyFill="1" applyBorder="1"/>
    <xf numFmtId="16" fontId="4" fillId="2" borderId="2" xfId="0" applyNumberFormat="1" applyFont="1" applyFill="1" applyBorder="1" applyAlignment="1">
      <alignment horizontal="center" vertical="center" wrapText="1" shrinkToFit="1"/>
    </xf>
    <xf numFmtId="16" fontId="74" fillId="2" borderId="1" xfId="0" applyNumberFormat="1" applyFont="1" applyFill="1" applyBorder="1" applyAlignment="1">
      <alignment horizontal="center" vertical="center" wrapText="1" shrinkToFit="1"/>
    </xf>
    <xf numFmtId="16" fontId="8" fillId="2" borderId="0" xfId="0" applyNumberFormat="1" applyFont="1" applyFill="1"/>
    <xf numFmtId="16" fontId="79" fillId="2" borderId="1" xfId="0" applyNumberFormat="1" applyFont="1" applyFill="1" applyBorder="1" applyAlignment="1">
      <alignment horizontal="center" vertical="center" wrapText="1" shrinkToFit="1"/>
    </xf>
    <xf numFmtId="16" fontId="79" fillId="24" borderId="1" xfId="0" applyNumberFormat="1" applyFont="1" applyFill="1" applyBorder="1" applyAlignment="1">
      <alignment horizontal="center" vertical="center" wrapText="1" shrinkToFit="1"/>
    </xf>
    <xf numFmtId="0" fontId="78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left" vertical="center" wrapText="1"/>
    </xf>
    <xf numFmtId="16" fontId="4" fillId="2" borderId="0" xfId="0" applyNumberFormat="1" applyFont="1" applyFill="1" applyAlignment="1">
      <alignment horizontal="center"/>
    </xf>
    <xf numFmtId="0" fontId="77" fillId="2" borderId="0" xfId="0" applyFont="1" applyFill="1"/>
    <xf numFmtId="0" fontId="6" fillId="2" borderId="1" xfId="0" applyFont="1" applyFill="1" applyBorder="1" applyAlignment="1">
      <alignment horizontal="center"/>
    </xf>
    <xf numFmtId="16" fontId="6" fillId="24" borderId="1" xfId="0" applyNumberFormat="1" applyFont="1" applyFill="1" applyBorder="1"/>
    <xf numFmtId="0" fontId="79" fillId="2" borderId="0" xfId="0" applyFont="1" applyFill="1"/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/>
    </xf>
    <xf numFmtId="169" fontId="78" fillId="2" borderId="1" xfId="0" applyNumberFormat="1" applyFont="1" applyFill="1" applyBorder="1" applyAlignment="1">
      <alignment horizontal="right" vertical="center" wrapText="1" shrinkToFit="1"/>
    </xf>
    <xf numFmtId="4" fontId="7" fillId="2" borderId="1" xfId="0" applyNumberFormat="1" applyFont="1" applyFill="1" applyBorder="1" applyAlignment="1">
      <alignment horizontal="center" vertical="center" wrapText="1" shrinkToFit="1"/>
    </xf>
    <xf numFmtId="0" fontId="78" fillId="24" borderId="1" xfId="0" applyFont="1" applyFill="1" applyBorder="1" applyAlignment="1">
      <alignment horizontal="center" vertical="center" wrapText="1" shrinkToFit="1"/>
    </xf>
    <xf numFmtId="170" fontId="8" fillId="0" borderId="1" xfId="0" applyNumberFormat="1" applyFont="1" applyBorder="1" applyAlignment="1">
      <alignment horizontal="center" vertical="center" wrapText="1" shrinkToFit="1"/>
    </xf>
    <xf numFmtId="16" fontId="4" fillId="24" borderId="1" xfId="0" applyNumberFormat="1" applyFont="1" applyFill="1" applyBorder="1"/>
    <xf numFmtId="0" fontId="80" fillId="24" borderId="1" xfId="0" applyFont="1" applyFill="1" applyBorder="1" applyAlignment="1">
      <alignment horizontal="center" vertical="center" wrapText="1" shrinkToFit="1"/>
    </xf>
    <xf numFmtId="169" fontId="4" fillId="0" borderId="1" xfId="0" applyNumberFormat="1" applyFont="1" applyBorder="1" applyAlignment="1">
      <alignment horizontal="center" vertical="center" wrapText="1" shrinkToFit="1"/>
    </xf>
    <xf numFmtId="0" fontId="81" fillId="2" borderId="1" xfId="0" applyFont="1" applyFill="1" applyBorder="1" applyAlignment="1">
      <alignment horizontal="center" vertical="center" wrapText="1" shrinkToFit="1"/>
    </xf>
    <xf numFmtId="0" fontId="68" fillId="2" borderId="1" xfId="0" applyFont="1" applyFill="1" applyBorder="1" applyAlignment="1">
      <alignment horizontal="center" vertical="center" wrapText="1" shrinkToFit="1"/>
    </xf>
    <xf numFmtId="4" fontId="7" fillId="2" borderId="1" xfId="0" applyNumberFormat="1" applyFont="1" applyFill="1" applyBorder="1" applyAlignment="1">
      <alignment horizontal="right" vertical="center" wrapText="1" shrinkToFit="1"/>
    </xf>
    <xf numFmtId="16" fontId="6" fillId="0" borderId="0" xfId="0" applyNumberFormat="1" applyFont="1"/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6" fillId="2" borderId="0" xfId="0" applyFont="1" applyFill="1" applyAlignment="1">
      <alignment horizontal="center"/>
    </xf>
    <xf numFmtId="0" fontId="6" fillId="2" borderId="88" xfId="0" applyFont="1" applyFill="1" applyBorder="1" applyAlignment="1">
      <alignment horizontal="center" vertical="center"/>
    </xf>
    <xf numFmtId="0" fontId="4" fillId="24" borderId="66" xfId="0" applyFont="1" applyFill="1" applyBorder="1" applyAlignment="1">
      <alignment horizontal="center" vertical="center" wrapText="1" shrinkToFit="1"/>
    </xf>
    <xf numFmtId="0" fontId="6" fillId="2" borderId="66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/>
    </xf>
    <xf numFmtId="0" fontId="4" fillId="2" borderId="90" xfId="0" applyFont="1" applyFill="1" applyBorder="1"/>
    <xf numFmtId="0" fontId="7" fillId="2" borderId="6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4" borderId="0" xfId="0" applyFont="1" applyFill="1" applyAlignment="1">
      <alignment horizontal="center" vertical="center" wrapText="1"/>
    </xf>
    <xf numFmtId="0" fontId="4" fillId="2" borderId="58" xfId="0" applyFont="1" applyFill="1" applyBorder="1" applyAlignment="1">
      <alignment horizontal="center"/>
    </xf>
    <xf numFmtId="0" fontId="4" fillId="2" borderId="66" xfId="0" applyFont="1" applyFill="1" applyBorder="1"/>
    <xf numFmtId="0" fontId="4" fillId="2" borderId="93" xfId="0" applyFont="1" applyFill="1" applyBorder="1" applyAlignment="1">
      <alignment horizontal="center" vertical="center" wrapText="1" shrinkToFit="1"/>
    </xf>
    <xf numFmtId="0" fontId="4" fillId="24" borderId="90" xfId="0" applyFont="1" applyFill="1" applyBorder="1" applyAlignment="1">
      <alignment horizontal="center" vertical="center"/>
    </xf>
    <xf numFmtId="182" fontId="68" fillId="2" borderId="1" xfId="16976" applyNumberFormat="1" applyFont="1" applyFill="1" applyBorder="1" applyAlignment="1">
      <alignment horizontal="center" vertical="center" shrinkToFit="1"/>
    </xf>
    <xf numFmtId="0" fontId="4" fillId="2" borderId="76" xfId="0" applyFont="1" applyFill="1" applyBorder="1" applyAlignment="1">
      <alignment horizontal="center" vertical="center" wrapText="1" shrinkToFit="1"/>
    </xf>
    <xf numFmtId="0" fontId="4" fillId="24" borderId="2" xfId="0" applyFont="1" applyFill="1" applyBorder="1" applyAlignment="1">
      <alignment horizontal="center"/>
    </xf>
    <xf numFmtId="0" fontId="4" fillId="2" borderId="87" xfId="0" applyFont="1" applyFill="1" applyBorder="1" applyAlignment="1">
      <alignment horizontal="center" vertical="center" wrapText="1" shrinkToFit="1"/>
    </xf>
    <xf numFmtId="0" fontId="4" fillId="2" borderId="75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16" fontId="6" fillId="2" borderId="2" xfId="0" applyNumberFormat="1" applyFont="1" applyFill="1" applyBorder="1"/>
    <xf numFmtId="16" fontId="4" fillId="2" borderId="72" xfId="0" applyNumberFormat="1" applyFont="1" applyFill="1" applyBorder="1" applyAlignment="1">
      <alignment horizontal="center" vertical="center"/>
    </xf>
    <xf numFmtId="16" fontId="4" fillId="2" borderId="76" xfId="0" applyNumberFormat="1" applyFont="1" applyFill="1" applyBorder="1" applyAlignment="1">
      <alignment horizontal="center" vertical="center"/>
    </xf>
    <xf numFmtId="16" fontId="51" fillId="2" borderId="0" xfId="0" applyNumberFormat="1" applyFont="1" applyFill="1"/>
    <xf numFmtId="16" fontId="4" fillId="2" borderId="83" xfId="0" applyNumberFormat="1" applyFont="1" applyFill="1" applyBorder="1" applyAlignment="1">
      <alignment horizontal="center" vertical="center"/>
    </xf>
    <xf numFmtId="16" fontId="4" fillId="2" borderId="86" xfId="0" applyNumberFormat="1" applyFont="1" applyFill="1" applyBorder="1"/>
    <xf numFmtId="16" fontId="4" fillId="2" borderId="78" xfId="0" applyNumberFormat="1" applyFont="1" applyFill="1" applyBorder="1" applyAlignment="1">
      <alignment horizontal="center" vertical="center"/>
    </xf>
    <xf numFmtId="16" fontId="4" fillId="2" borderId="87" xfId="0" applyNumberFormat="1" applyFont="1" applyFill="1" applyBorder="1" applyAlignment="1">
      <alignment horizontal="center" vertical="center"/>
    </xf>
    <xf numFmtId="16" fontId="4" fillId="2" borderId="75" xfId="0" applyNumberFormat="1" applyFont="1" applyFill="1" applyBorder="1" applyAlignment="1">
      <alignment horizontal="center" vertical="center"/>
    </xf>
    <xf numFmtId="16" fontId="4" fillId="2" borderId="90" xfId="0" applyNumberFormat="1" applyFont="1" applyFill="1" applyBorder="1"/>
    <xf numFmtId="16" fontId="4" fillId="2" borderId="85" xfId="0" applyNumberFormat="1" applyFont="1" applyFill="1" applyBorder="1" applyAlignment="1">
      <alignment horizontal="center"/>
    </xf>
    <xf numFmtId="16" fontId="6" fillId="2" borderId="88" xfId="0" applyNumberFormat="1" applyFont="1" applyFill="1" applyBorder="1"/>
    <xf numFmtId="16" fontId="4" fillId="2" borderId="73" xfId="0" applyNumberFormat="1" applyFont="1" applyFill="1" applyBorder="1" applyAlignment="1">
      <alignment horizontal="center" vertical="center"/>
    </xf>
    <xf numFmtId="16" fontId="4" fillId="2" borderId="79" xfId="0" applyNumberFormat="1" applyFont="1" applyFill="1" applyBorder="1" applyAlignment="1">
      <alignment horizontal="center" vertical="center"/>
    </xf>
    <xf numFmtId="0" fontId="4" fillId="24" borderId="91" xfId="0" applyFont="1" applyFill="1" applyBorder="1"/>
    <xf numFmtId="0" fontId="7" fillId="2" borderId="59" xfId="0" applyFont="1" applyFill="1" applyBorder="1" applyAlignment="1">
      <alignment horizontal="center"/>
    </xf>
    <xf numFmtId="0" fontId="4" fillId="2" borderId="92" xfId="0" applyFont="1" applyFill="1" applyBorder="1"/>
    <xf numFmtId="0" fontId="4" fillId="24" borderId="90" xfId="0" applyFont="1" applyFill="1" applyBorder="1"/>
    <xf numFmtId="0" fontId="4" fillId="2" borderId="84" xfId="0" applyFont="1" applyFill="1" applyBorder="1" applyAlignment="1">
      <alignment horizontal="center" vertical="center"/>
    </xf>
    <xf numFmtId="0" fontId="4" fillId="24" borderId="59" xfId="0" applyFont="1" applyFill="1" applyBorder="1"/>
    <xf numFmtId="0" fontId="70" fillId="0" borderId="1" xfId="0" applyFont="1" applyBorder="1"/>
    <xf numFmtId="0" fontId="4" fillId="23" borderId="1" xfId="0" applyFont="1" applyFill="1" applyBorder="1" applyAlignment="1">
      <alignment horizontal="center" vertical="center" wrapText="1" shrinkToFit="1"/>
    </xf>
    <xf numFmtId="0" fontId="72" fillId="2" borderId="1" xfId="0" applyFont="1" applyFill="1" applyBorder="1" applyAlignment="1">
      <alignment horizontal="center" vertical="center" wrapText="1" shrinkToFit="1"/>
    </xf>
    <xf numFmtId="16" fontId="8" fillId="0" borderId="1" xfId="0" applyNumberFormat="1" applyFont="1" applyBorder="1" applyAlignment="1">
      <alignment horizontal="center" vertical="center" wrapText="1" shrinkToFit="1"/>
    </xf>
    <xf numFmtId="0" fontId="83" fillId="2" borderId="1" xfId="0" applyFont="1" applyFill="1" applyBorder="1" applyAlignment="1">
      <alignment horizontal="center" vertical="center" wrapText="1" shrinkToFit="1"/>
    </xf>
    <xf numFmtId="0" fontId="4" fillId="24" borderId="1" xfId="0" applyFont="1" applyFill="1" applyBorder="1" applyAlignment="1">
      <alignment horizontal="center" vertical="center"/>
    </xf>
    <xf numFmtId="170" fontId="57" fillId="22" borderId="1" xfId="0" applyNumberFormat="1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horizontal="center" vertical="center"/>
    </xf>
    <xf numFmtId="169" fontId="51" fillId="2" borderId="1" xfId="0" applyNumberFormat="1" applyFont="1" applyFill="1" applyBorder="1" applyAlignment="1">
      <alignment horizontal="right" vertical="center" wrapText="1" shrinkToFit="1"/>
    </xf>
    <xf numFmtId="0" fontId="78" fillId="0" borderId="1" xfId="0" applyFont="1" applyBorder="1" applyAlignment="1">
      <alignment horizontal="center" vertical="center" wrapText="1" shrinkToFit="1"/>
    </xf>
    <xf numFmtId="184" fontId="100" fillId="2" borderId="66" xfId="16945" applyNumberFormat="1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82" fillId="23" borderId="1" xfId="0" applyFont="1" applyFill="1" applyBorder="1"/>
    <xf numFmtId="0" fontId="7" fillId="0" borderId="1" xfId="208" applyFont="1" applyBorder="1" applyAlignment="1">
      <alignment horizontal="center" vertical="center" wrapText="1" shrinkToFit="1"/>
    </xf>
    <xf numFmtId="0" fontId="4" fillId="0" borderId="1" xfId="16944" applyFont="1" applyBorder="1" applyAlignment="1">
      <alignment horizontal="center" vertical="center" wrapText="1"/>
    </xf>
    <xf numFmtId="4" fontId="4" fillId="0" borderId="1" xfId="2102" applyNumberFormat="1" applyFont="1" applyFill="1" applyBorder="1" applyAlignment="1">
      <alignment horizontal="center" vertical="center" wrapText="1" shrinkToFit="1"/>
    </xf>
    <xf numFmtId="170" fontId="4" fillId="0" borderId="1" xfId="0" applyNumberFormat="1" applyFont="1" applyBorder="1" applyAlignment="1">
      <alignment horizontal="center" vertical="center" wrapText="1" shrinkToFit="1"/>
    </xf>
    <xf numFmtId="169" fontId="68" fillId="2" borderId="1" xfId="0" applyNumberFormat="1" applyFont="1" applyFill="1" applyBorder="1" applyAlignment="1">
      <alignment horizontal="right" vertical="center" wrapText="1" shrinkToFit="1"/>
    </xf>
    <xf numFmtId="0" fontId="72" fillId="0" borderId="1" xfId="0" applyFont="1" applyBorder="1" applyAlignment="1">
      <alignment horizontal="center" vertical="center" wrapText="1" shrinkToFit="1"/>
    </xf>
    <xf numFmtId="14" fontId="4" fillId="0" borderId="1" xfId="0" applyNumberFormat="1" applyFont="1" applyBorder="1" applyAlignment="1">
      <alignment horizontal="center" vertical="center" wrapText="1" shrinkToFit="1"/>
    </xf>
    <xf numFmtId="16" fontId="4" fillId="0" borderId="1" xfId="0" applyNumberFormat="1" applyFont="1" applyBorder="1" applyAlignment="1">
      <alignment horizontal="center" vertical="center" wrapText="1" shrinkToFit="1"/>
    </xf>
    <xf numFmtId="169" fontId="4" fillId="0" borderId="1" xfId="0" applyNumberFormat="1" applyFont="1" applyBorder="1" applyAlignment="1">
      <alignment horizontal="right" vertical="center" wrapText="1" shrinkToFit="1"/>
    </xf>
    <xf numFmtId="0" fontId="4" fillId="0" borderId="1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/>
    </xf>
    <xf numFmtId="14" fontId="7" fillId="0" borderId="1" xfId="208" applyNumberFormat="1" applyFont="1" applyBorder="1" applyAlignment="1">
      <alignment horizontal="center" vertical="center" wrapText="1" shrinkToFit="1"/>
    </xf>
    <xf numFmtId="169" fontId="7" fillId="0" borderId="1" xfId="208" applyNumberFormat="1" applyFont="1" applyBorder="1" applyAlignment="1">
      <alignment horizontal="center" vertical="center" wrapText="1" shrinkToFit="1"/>
    </xf>
    <xf numFmtId="0" fontId="4" fillId="0" borderId="1" xfId="16944" applyFont="1" applyBorder="1" applyAlignment="1">
      <alignment horizontal="center" vertical="center"/>
    </xf>
    <xf numFmtId="0" fontId="4" fillId="0" borderId="0" xfId="16944" applyFont="1" applyAlignment="1">
      <alignment horizontal="center" vertical="center"/>
    </xf>
    <xf numFmtId="0" fontId="7" fillId="0" borderId="1" xfId="208" applyFont="1" applyBorder="1" applyAlignment="1">
      <alignment horizontal="center" vertical="center" wrapText="1"/>
    </xf>
    <xf numFmtId="170" fontId="4" fillId="0" borderId="1" xfId="16944" applyNumberFormat="1" applyFont="1" applyBorder="1" applyAlignment="1">
      <alignment horizontal="center" vertical="center" wrapText="1"/>
    </xf>
    <xf numFmtId="169" fontId="4" fillId="0" borderId="1" xfId="16944" applyNumberFormat="1" applyFont="1" applyBorder="1" applyAlignment="1">
      <alignment horizontal="center" vertical="center"/>
    </xf>
    <xf numFmtId="16" fontId="4" fillId="0" borderId="1" xfId="16944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 shrinkToFit="1"/>
    </xf>
    <xf numFmtId="169" fontId="8" fillId="0" borderId="1" xfId="0" applyNumberFormat="1" applyFont="1" applyBorder="1" applyAlignment="1">
      <alignment horizontal="center" vertical="center" wrapText="1" shrinkToFit="1"/>
    </xf>
    <xf numFmtId="169" fontId="8" fillId="0" borderId="1" xfId="0" applyNumberFormat="1" applyFont="1" applyBorder="1" applyAlignment="1">
      <alignment horizontal="right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" fontId="8" fillId="0" borderId="0" xfId="0" applyNumberFormat="1" applyFont="1"/>
    <xf numFmtId="0" fontId="8" fillId="0" borderId="0" xfId="0" applyFont="1"/>
    <xf numFmtId="0" fontId="56" fillId="22" borderId="52" xfId="0" applyFont="1" applyFill="1" applyBorder="1" applyAlignment="1">
      <alignment horizontal="center" vertical="center" wrapText="1"/>
    </xf>
    <xf numFmtId="0" fontId="56" fillId="22" borderId="52" xfId="0" applyFont="1" applyFill="1" applyBorder="1" applyAlignment="1">
      <alignment horizontal="center" vertical="center"/>
    </xf>
    <xf numFmtId="2" fontId="56" fillId="22" borderId="52" xfId="0" applyNumberFormat="1" applyFont="1" applyFill="1" applyBorder="1" applyAlignment="1">
      <alignment horizontal="center" vertical="center"/>
    </xf>
    <xf numFmtId="0" fontId="56" fillId="22" borderId="1" xfId="0" applyFont="1" applyFill="1" applyBorder="1" applyAlignment="1">
      <alignment horizontal="center" vertical="center"/>
    </xf>
    <xf numFmtId="169" fontId="59" fillId="22" borderId="65" xfId="1" applyNumberFormat="1" applyFont="1" applyFill="1" applyBorder="1" applyAlignment="1">
      <alignment horizontal="center" vertical="center" wrapText="1"/>
    </xf>
    <xf numFmtId="169" fontId="59" fillId="22" borderId="2" xfId="1" applyNumberFormat="1" applyFont="1" applyFill="1" applyBorder="1" applyAlignment="1">
      <alignment horizontal="center" vertical="center" wrapText="1"/>
    </xf>
    <xf numFmtId="168" fontId="56" fillId="22" borderId="52" xfId="1" applyNumberFormat="1" applyFont="1" applyFill="1" applyBorder="1" applyAlignment="1">
      <alignment horizontal="center" vertical="center" wrapText="1"/>
    </xf>
    <xf numFmtId="0" fontId="56" fillId="22" borderId="66" xfId="0" applyFont="1" applyFill="1" applyBorder="1" applyAlignment="1">
      <alignment horizontal="center" vertical="center"/>
    </xf>
    <xf numFmtId="0" fontId="56" fillId="22" borderId="2" xfId="0" applyFont="1" applyFill="1" applyBorder="1" applyAlignment="1">
      <alignment horizontal="center" vertical="center"/>
    </xf>
    <xf numFmtId="166" fontId="52" fillId="0" borderId="0" xfId="0" applyNumberFormat="1" applyFont="1" applyAlignment="1">
      <alignment horizontal="left"/>
    </xf>
    <xf numFmtId="166" fontId="56" fillId="22" borderId="52" xfId="0" applyNumberFormat="1" applyFont="1" applyFill="1" applyBorder="1" applyAlignment="1">
      <alignment horizontal="center" vertical="center"/>
    </xf>
    <xf numFmtId="167" fontId="56" fillId="22" borderId="52" xfId="0" applyNumberFormat="1" applyFont="1" applyFill="1" applyBorder="1" applyAlignment="1">
      <alignment horizontal="center" vertical="center" wrapText="1"/>
    </xf>
    <xf numFmtId="0" fontId="56" fillId="22" borderId="53" xfId="0" applyFont="1" applyFill="1" applyBorder="1" applyAlignment="1">
      <alignment horizontal="center" vertical="center"/>
    </xf>
    <xf numFmtId="0" fontId="56" fillId="22" borderId="3" xfId="0" applyFont="1" applyFill="1" applyBorder="1" applyAlignment="1">
      <alignment horizontal="center" vertical="center"/>
    </xf>
    <xf numFmtId="0" fontId="56" fillId="22" borderId="72" xfId="0" applyFont="1" applyFill="1" applyBorder="1" applyAlignment="1">
      <alignment horizontal="center" vertical="center"/>
    </xf>
    <xf numFmtId="0" fontId="56" fillId="22" borderId="72" xfId="0" applyFont="1" applyFill="1" applyBorder="1" applyAlignment="1">
      <alignment horizontal="center" vertical="center" wrapText="1"/>
    </xf>
    <xf numFmtId="167" fontId="56" fillId="22" borderId="72" xfId="0" applyNumberFormat="1" applyFont="1" applyFill="1" applyBorder="1" applyAlignment="1">
      <alignment horizontal="center" vertical="center" wrapText="1"/>
    </xf>
    <xf numFmtId="168" fontId="56" fillId="22" borderId="72" xfId="1" applyNumberFormat="1" applyFont="1" applyFill="1" applyBorder="1" applyAlignment="1">
      <alignment horizontal="right" vertical="center" wrapText="1"/>
    </xf>
    <xf numFmtId="2" fontId="56" fillId="22" borderId="72" xfId="0" applyNumberFormat="1" applyFont="1" applyFill="1" applyBorder="1" applyAlignment="1">
      <alignment horizontal="center" vertical="center"/>
    </xf>
    <xf numFmtId="166" fontId="54" fillId="0" borderId="4" xfId="0" applyNumberFormat="1" applyFont="1" applyBorder="1" applyAlignment="1">
      <alignment horizontal="left"/>
    </xf>
    <xf numFmtId="0" fontId="57" fillId="22" borderId="58" xfId="0" applyFont="1" applyFill="1" applyBorder="1" applyAlignment="1">
      <alignment horizontal="center" vertical="center" wrapText="1"/>
    </xf>
    <xf numFmtId="0" fontId="57" fillId="22" borderId="59" xfId="0" applyFont="1" applyFill="1" applyBorder="1" applyAlignment="1">
      <alignment horizontal="center" vertical="center" wrapText="1"/>
    </xf>
    <xf numFmtId="0" fontId="7" fillId="2" borderId="99" xfId="208" applyFont="1" applyFill="1" applyBorder="1" applyAlignment="1">
      <alignment horizontal="center" vertical="center" wrapText="1"/>
    </xf>
    <xf numFmtId="0" fontId="7" fillId="2" borderId="2" xfId="208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3" borderId="1" xfId="16944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 wrapText="1" shrinkToFit="1"/>
    </xf>
    <xf numFmtId="0" fontId="0" fillId="0" borderId="1" xfId="0" applyBorder="1"/>
    <xf numFmtId="0" fontId="103" fillId="0" borderId="1" xfId="0" applyFont="1" applyBorder="1"/>
    <xf numFmtId="0" fontId="99" fillId="0" borderId="0" xfId="0" applyFont="1"/>
    <xf numFmtId="0" fontId="0" fillId="0" borderId="1" xfId="0" applyBorder="1" applyAlignment="1">
      <alignment wrapText="1"/>
    </xf>
    <xf numFmtId="0" fontId="82" fillId="0" borderId="4" xfId="0" applyFont="1" applyBorder="1" applyAlignment="1">
      <alignment horizontal="center"/>
    </xf>
    <xf numFmtId="0" fontId="107" fillId="0" borderId="1" xfId="0" applyFont="1" applyBorder="1"/>
  </cellXfs>
  <cellStyles count="17382">
    <cellStyle name="?" xfId="16948" xr:uid="{9A1297D9-4088-4F24-8F0E-E3D286B706BF}"/>
    <cellStyle name="_01.15" xfId="272" xr:uid="{B52D7B5E-810B-4524-9C7F-B03A8E9256D1}"/>
    <cellStyle name="_02.11" xfId="273" xr:uid="{2B9D9D7E-3262-4EC2-9FE6-6BD43C86B6D0}"/>
    <cellStyle name="_02.18" xfId="247" xr:uid="{57250C55-8FA4-4C27-80A6-A8299ECB4136}"/>
    <cellStyle name="_02.18 2" xfId="274" xr:uid="{D1300732-010D-41C8-97A3-59D2797706E6}"/>
    <cellStyle name="_02.18 3" xfId="1685" xr:uid="{D8B5D7EB-5AEC-4DD7-965D-3E31DF43E819}"/>
    <cellStyle name="_02.19" xfId="275" xr:uid="{56D8FE1B-45CB-4C77-9BCC-4012CD345D96}"/>
    <cellStyle name="_05.08" xfId="276" xr:uid="{1D90339E-3598-4B49-A157-54ADACBA30AC}"/>
    <cellStyle name="_05.28" xfId="242" xr:uid="{FDFB9F6A-D38B-4682-BC7D-8A7225D8039D}"/>
    <cellStyle name="_05.28 2" xfId="277" xr:uid="{5486F2F3-91D7-436E-866D-AEF098E216CB}"/>
    <cellStyle name="_05.28 3" xfId="1684" xr:uid="{62F5471F-7DDB-4C56-B13A-782E3DED9BDA}"/>
    <cellStyle name="_07.24" xfId="278" xr:uid="{19F0670A-5FC8-49E5-B6A9-8A52E900CFB6}"/>
    <cellStyle name="_08.20" xfId="279" xr:uid="{4C6BBDB7-DDD7-48A0-920E-73E84872A622}"/>
    <cellStyle name="_10.06" xfId="280" xr:uid="{E21E6F43-41B6-47E8-B6B4-40AFCBCB04DC}"/>
    <cellStyle name="_10.16" xfId="281" xr:uid="{22B6CD1B-2A37-450D-A57A-32234A0A1C42}"/>
    <cellStyle name="_10.26" xfId="282" xr:uid="{50F83D3B-78AE-46F4-8AD2-4E4BF88B67A2}"/>
    <cellStyle name="_10.29" xfId="283" xr:uid="{30EF8AA1-302B-4ECA-9FDC-9DF9515C2340}"/>
    <cellStyle name="_10.6" xfId="284" xr:uid="{0A6E96A6-FCC8-4C7D-B137-F2513268B412}"/>
    <cellStyle name="_11.19" xfId="285" xr:uid="{65FCC8FB-88C6-4B23-A0ED-59F8F46E9FE5}"/>
    <cellStyle name="_12.27" xfId="286" xr:uid="{2A965FF8-04D3-443E-8599-E17636E7088A}"/>
    <cellStyle name="_4.15" xfId="287" xr:uid="{B121C558-96A8-406E-85C1-0966BFD62815}"/>
    <cellStyle name="_4.20" xfId="288" xr:uid="{70C9E275-5200-4BF7-B6F8-088834786968}"/>
    <cellStyle name="_4.21" xfId="289" xr:uid="{AE0456D0-1F01-48D2-B9CE-3C515FD70E3F}"/>
    <cellStyle name="_8.3" xfId="290" xr:uid="{F57969D7-DA27-48FC-A1CD-5D9F2125A002}"/>
    <cellStyle name="_FW11 SS Color Windown  request - trang" xfId="291" xr:uid="{B7B3193B-096F-4F07-AEE7-FF0587DA04F6}"/>
    <cellStyle name="_Order Product" xfId="292" xr:uid="{02155AB8-EEE4-4D0B-8E99-E670B5A8C762}"/>
    <cellStyle name="_Order Production" xfId="293" xr:uid="{75A15C1C-E061-45F0-82FF-748FCD2E9E30}"/>
    <cellStyle name="_PU" xfId="179" xr:uid="{92C752B0-F2F7-4380-96E0-A18ED7568DAF}"/>
    <cellStyle name="_PU_1" xfId="180" xr:uid="{8CDBA0C9-1C5A-4C0C-931B-E3959B4551B8}"/>
    <cellStyle name="_sh..c (2)" xfId="294" xr:uid="{A618B90D-8CFF-4014-9D11-E373FD61ECA2}"/>
    <cellStyle name="_Sheet1" xfId="295" xr:uid="{0C8496BF-2229-48A8-955E-75A02DA1FC24}"/>
    <cellStyle name="_ss樣品" xfId="296" xr:uid="{B90EE525-D863-46FF-9411-359E1342B601}"/>
    <cellStyle name="_SS量產" xfId="245" xr:uid="{FBE79A6F-EF01-4BD8-9480-6D6D215588E7}"/>
    <cellStyle name="_SS量產 2" xfId="297" xr:uid="{F81EAF33-3A85-4FBE-8AAE-18869F75F965}"/>
    <cellStyle name="_SS量產 3" xfId="1121" xr:uid="{B0955F0E-BD14-4207-9E75-FAE3706A581A}"/>
    <cellStyle name="_反毛皮" xfId="181" xr:uid="{50E92ADB-7388-4735-BEB6-8777C61B5A66}"/>
    <cellStyle name="_樣品" xfId="298" xr:uid="{4A973986-9A6A-4195-920C-CC987B71041C}"/>
    <cellStyle name="_量產" xfId="299" xr:uid="{CED21ADD-1D07-4BD0-9224-E72C73DE85B4}"/>
    <cellStyle name="20% - Accent1 2" xfId="300" xr:uid="{1BD03A28-A055-43F2-8C37-3B11C179EA89}"/>
    <cellStyle name="20% - Accent1 3" xfId="251" xr:uid="{E3540898-4C92-4402-B5E6-1C2A0D665C37}"/>
    <cellStyle name="20% - Accent1 3 2" xfId="301" xr:uid="{98E10B9B-479C-4BF5-BCA4-FF12736AF7EE}"/>
    <cellStyle name="20% - Accent1 3 3" xfId="1767" xr:uid="{2806E7E4-61BA-4590-A9FF-337F319ABA03}"/>
    <cellStyle name="20% - Accent1 4" xfId="302" xr:uid="{252CC8F0-5EF5-4B11-A508-B9EBFCA26E54}"/>
    <cellStyle name="20% - Accent2 2" xfId="303" xr:uid="{AD312970-79A3-46ED-A4FF-5101E7AC780D}"/>
    <cellStyle name="20% - Accent2 3" xfId="304" xr:uid="{5C0A45CB-4EEC-4C80-BBBF-2149082912E2}"/>
    <cellStyle name="20% - Accent2 4" xfId="305" xr:uid="{CA98B902-41A1-4892-959F-F20C041F9B55}"/>
    <cellStyle name="20% - Accent3 2" xfId="306" xr:uid="{59F24D5D-DC56-401F-B113-1E553F405F15}"/>
    <cellStyle name="20% - Accent3 3" xfId="307" xr:uid="{3B7DDB0A-D204-4CDF-B202-CC9A6C0B973B}"/>
    <cellStyle name="20% - Accent3 4" xfId="308" xr:uid="{6D3DFB5E-8EF0-43B8-BFBE-BC8AF9167523}"/>
    <cellStyle name="20% - Accent4 2" xfId="309" xr:uid="{ED5355A2-B9AA-409D-8D0A-91D66350E6D0}"/>
    <cellStyle name="20% - Accent4 3" xfId="310" xr:uid="{C37006DA-DE17-4849-A86C-42558165AC5D}"/>
    <cellStyle name="20% - Accent4 4" xfId="244" xr:uid="{FA39BBB5-EAC5-4C28-A5ED-45A733E2BBA6}"/>
    <cellStyle name="20% - Accent4 4 2" xfId="311" xr:uid="{03FC5A22-7E9C-430B-AB3B-65298F7FF166}"/>
    <cellStyle name="20% - Accent4 4 3" xfId="1768" xr:uid="{6098B7BA-B605-4F18-9C1A-D8A83DA2C72C}"/>
    <cellStyle name="20% - Accent5 2" xfId="312" xr:uid="{1756558D-4BBD-4F84-9622-E3C88EEE19E2}"/>
    <cellStyle name="20% - Accent5 3" xfId="313" xr:uid="{4BB994DF-018D-4D30-AC72-9CB6B3E64CC8}"/>
    <cellStyle name="20% - Accent5 4" xfId="243" xr:uid="{74898CC5-7018-4679-BB75-968857DA49E9}"/>
    <cellStyle name="20% - Accent5 4 2" xfId="314" xr:uid="{CF8E2C7D-2A88-4BAC-B8A3-4AF211E54871}"/>
    <cellStyle name="20% - Accent5 4 3" xfId="1769" xr:uid="{A3C116F7-3AE0-43EE-B5F5-48084CE265A8}"/>
    <cellStyle name="20% - Accent6 2" xfId="315" xr:uid="{69D381D2-4347-4F0D-98B6-8881E24327D5}"/>
    <cellStyle name="20% - Accent6 3" xfId="316" xr:uid="{3B489016-7931-4223-9F05-6B9E44F97D7C}"/>
    <cellStyle name="20% - Accent6 4" xfId="317" xr:uid="{2D59BD7D-6797-4734-A0C5-DAE02BF1365A}"/>
    <cellStyle name="20% - 强调文字颜色 1" xfId="182" xr:uid="{A0625476-161D-49B8-B4CC-40CC9603545A}"/>
    <cellStyle name="20% - 强调文字颜色 2" xfId="183" xr:uid="{5E262B78-FE16-479D-9973-2C897DAF55D3}"/>
    <cellStyle name="20% - 强调文字颜色 3" xfId="184" xr:uid="{BDF88B37-48E9-4E7D-B896-6E29C28EBE9B}"/>
    <cellStyle name="20% - 强调文字颜色 3 2" xfId="318" xr:uid="{3E0F59CC-66E7-4CCA-8E51-C6F1B6B18CE5}"/>
    <cellStyle name="20% - 强调文字颜色 3 3" xfId="1770" xr:uid="{369296F1-288F-4A93-BB4C-748237109820}"/>
    <cellStyle name="20% - 强调文字颜色 3 4" xfId="248" xr:uid="{86B1FF28-925E-47FA-8A48-7258233553F6}"/>
    <cellStyle name="20% - 强调文字颜色 4" xfId="185" xr:uid="{396AAD09-B699-4A62-86D5-86DBBD6CDADC}"/>
    <cellStyle name="20% - 强调文字颜色 5" xfId="186" xr:uid="{13EE2BA6-4ECE-4987-A330-C1A3F2BE165B}"/>
    <cellStyle name="20% - 强调文字颜色 6" xfId="187" xr:uid="{A20CA743-0436-46CA-A2C7-3DC975600F5A}"/>
    <cellStyle name="20% - 輔色1" xfId="17341" xr:uid="{01E1F347-F772-49D9-85FA-AD4B1EFDE11F}"/>
    <cellStyle name="20% - 輔色2" xfId="17342" xr:uid="{43C7BDB3-3677-4083-B64A-68477B4A3D61}"/>
    <cellStyle name="20% - 輔色3" xfId="17343" xr:uid="{DFF711C4-C07E-480E-B78D-65422495888B}"/>
    <cellStyle name="20% - 輔色4" xfId="17344" xr:uid="{D87EFB78-78AA-4165-B3B7-11754033AE0A}"/>
    <cellStyle name="20% - 輔色5" xfId="17345" xr:uid="{984C80CD-E79F-486E-AFB4-C7BC1DAE8194}"/>
    <cellStyle name="20% - 輔色6" xfId="17346" xr:uid="{B30E4B8E-5B5A-439B-9C05-359923173AA5}"/>
    <cellStyle name="25*62*210" xfId="319" xr:uid="{6178048B-6CD1-4828-BD0C-929D01AE3EF8}"/>
    <cellStyle name="25*62*210 2" xfId="320" xr:uid="{9A5EBCB3-74DB-4DC7-A1BC-90FB69046B5D}"/>
    <cellStyle name="25*62*210 3" xfId="321" xr:uid="{2796670C-9870-458A-BE73-EA9A2C2F6A00}"/>
    <cellStyle name="25*62*210 4" xfId="322" xr:uid="{2C8B577D-D5FE-46B0-8289-4AD0BE013300}"/>
    <cellStyle name="25*62*210 5" xfId="323" xr:uid="{FB7121D6-3030-43A3-A959-6A423E7011C5}"/>
    <cellStyle name="25*62*210 6" xfId="324" xr:uid="{DA92CBED-4C29-4BF7-BA59-58E218A77E5F}"/>
    <cellStyle name="25*62*210 7" xfId="325" xr:uid="{03772FBD-0677-4190-9E58-7360A304C3AE}"/>
    <cellStyle name="25*62*210 8" xfId="326" xr:uid="{45516320-9366-4642-8751-14346AD8E29D}"/>
    <cellStyle name="40% - Accent1 2" xfId="327" xr:uid="{9A52CE55-20B7-4011-AC73-A554040A799D}"/>
    <cellStyle name="40% - Accent1 3" xfId="328" xr:uid="{651C1E88-530F-4023-A22A-25D68AF9374F}"/>
    <cellStyle name="40% - Accent1 4" xfId="329" xr:uid="{BD106A56-2D1B-45A1-A7E3-5F5327078FF8}"/>
    <cellStyle name="40% - Accent2 2" xfId="330" xr:uid="{73711F57-C570-4AA0-BDE1-5DD25D774007}"/>
    <cellStyle name="40% - Accent2 3" xfId="331" xr:uid="{E4F3548D-024F-48E0-B196-4E1EDE480552}"/>
    <cellStyle name="40% - Accent2 4" xfId="332" xr:uid="{BC14C8DD-2DB9-4825-ABB8-17927B1673F6}"/>
    <cellStyle name="40% - Accent3 2" xfId="333" xr:uid="{978E7067-3186-41D0-9609-246D38E14C0A}"/>
    <cellStyle name="40% - Accent3 3" xfId="334" xr:uid="{11C9E654-5C1A-4BDE-8BCC-6F15CDB7642A}"/>
    <cellStyle name="40% - Accent3 4" xfId="335" xr:uid="{060A1D52-3BA1-4668-BA78-3CBE22CDBD57}"/>
    <cellStyle name="40% - Accent4 2" xfId="336" xr:uid="{B753DB2B-7098-4641-816E-0E63BE84A6D7}"/>
    <cellStyle name="40% - Accent4 3" xfId="249" xr:uid="{386608A0-0639-4245-9FAA-FDC5ED63B5C2}"/>
    <cellStyle name="40% - Accent4 3 2" xfId="337" xr:uid="{8A415769-EA12-44CC-B148-73791232B510}"/>
    <cellStyle name="40% - Accent4 3 3" xfId="1771" xr:uid="{C2732B2C-48DA-4899-B57B-C38E15A3F497}"/>
    <cellStyle name="40% - Accent4 4" xfId="338" xr:uid="{5FEE19E8-1F67-4A4F-88DF-8B079AF737BE}"/>
    <cellStyle name="40% - Accent5 2" xfId="339" xr:uid="{8E8BCC9E-C5E5-4B05-9DF3-C50D8FBFE753}"/>
    <cellStyle name="40% - Accent5 3" xfId="340" xr:uid="{73F0525F-3E0F-4D80-BE55-A377A2E7A81E}"/>
    <cellStyle name="40% - Accent5 4" xfId="341" xr:uid="{246F8A91-CC8F-42D7-8992-C52542CD7A0E}"/>
    <cellStyle name="40% - Accent6 2" xfId="342" xr:uid="{9631660B-816D-45F4-9590-FA0F04E59379}"/>
    <cellStyle name="40% - Accent6 3" xfId="343" xr:uid="{470B04A1-3139-4F7C-BE04-33C2D827D25C}"/>
    <cellStyle name="40% - Accent6 4" xfId="344" xr:uid="{FF2B090D-B5BC-45B8-AC97-AFEB7480FFC5}"/>
    <cellStyle name="40% - 强调文字颜色 1" xfId="188" xr:uid="{265AE0A0-8810-4A7D-8F1B-B2366EC08041}"/>
    <cellStyle name="40% - 强调文字颜色 2" xfId="189" xr:uid="{8CD73A74-9A4F-4C11-89A1-1B38EC07655A}"/>
    <cellStyle name="40% - 强调文字颜色 3" xfId="190" xr:uid="{F69F60D1-7626-4D8B-BBFF-6EEAAD8474D2}"/>
    <cellStyle name="40% - 强调文字颜色 4" xfId="191" xr:uid="{BBB33101-BC42-4715-8132-E02B6A278C9C}"/>
    <cellStyle name="40% - 强调文字颜色 5" xfId="192" xr:uid="{97616123-889A-47A6-BB18-A187FE66088A}"/>
    <cellStyle name="40% - 强调文字颜色 6" xfId="193" xr:uid="{C9D9B8C4-F4E3-4698-BC54-7369C3EE23F4}"/>
    <cellStyle name="40% - 輔色1" xfId="17347" xr:uid="{E6E48343-75B4-44F6-A695-2646FD916D26}"/>
    <cellStyle name="40% - 輔色2" xfId="17348" xr:uid="{38987F44-377C-4C7D-B8BA-9E5677410DD5}"/>
    <cellStyle name="40% - 輔色3" xfId="17349" xr:uid="{3E9C2DBF-17EE-4425-81E6-1882C710C7E4}"/>
    <cellStyle name="40% - 輔色4" xfId="17350" xr:uid="{D4C78DDB-D196-4214-83B7-8935EDB264BA}"/>
    <cellStyle name="40% - 輔色5" xfId="17351" xr:uid="{393D6CF1-678C-4476-B530-48925F816A4C}"/>
    <cellStyle name="40% - 輔色6" xfId="17352" xr:uid="{07FB340D-DE5A-4455-819C-4520279CD4EB}"/>
    <cellStyle name="60% - Accent1 2" xfId="345" xr:uid="{5E0A3CB2-DF45-4264-816B-1D17E2B6334C}"/>
    <cellStyle name="60% - Accent1 3" xfId="246" xr:uid="{566F9B79-5883-43A1-A25F-8A50086ED3CD}"/>
    <cellStyle name="60% - Accent1 3 2" xfId="346" xr:uid="{39F2F35F-D0E7-4C0F-9B70-E9676F18914F}"/>
    <cellStyle name="60% - Accent1 3 3" xfId="1772" xr:uid="{5DD9CDB7-C51D-4056-B6F2-DB05630D9809}"/>
    <cellStyle name="60% - Accent1 4" xfId="347" xr:uid="{A5988C52-9D80-4050-9F82-0206E486BD76}"/>
    <cellStyle name="60% - Accent2 2" xfId="348" xr:uid="{83A3061E-DA1A-4840-B366-F38E8D912D14}"/>
    <cellStyle name="60% - Accent2 3" xfId="349" xr:uid="{A48895B3-658B-4B6A-8CC0-6A05B80ECAB1}"/>
    <cellStyle name="60% - Accent2 4" xfId="350" xr:uid="{DD2A7334-D213-4E02-A3F9-6AB3FD71803A}"/>
    <cellStyle name="60% - Accent3 2" xfId="351" xr:uid="{9021B935-F82D-4C1F-A7BD-A8B6C9014907}"/>
    <cellStyle name="60% - Accent3 3" xfId="352" xr:uid="{5D3F4316-D0BC-4EA6-A31C-9A4CE2BE9B3D}"/>
    <cellStyle name="60% - Accent3 4" xfId="353" xr:uid="{FD9F2A19-F962-4685-B1CB-9EA0500F88F8}"/>
    <cellStyle name="60% - Accent4 2" xfId="354" xr:uid="{CE379B53-46E3-4FD2-A28A-DC493C916EE7}"/>
    <cellStyle name="60% - Accent4 3" xfId="355" xr:uid="{B7F07AAE-98CD-4A76-B53D-498AD40BFC8B}"/>
    <cellStyle name="60% - Accent4 4" xfId="356" xr:uid="{A21EAA55-A5B2-4384-8CDB-00057431A752}"/>
    <cellStyle name="60% - Accent5 2" xfId="357" xr:uid="{0A6D1B27-F8E3-4ED3-A67B-92D1D85321F4}"/>
    <cellStyle name="60% - Accent5 3" xfId="358" xr:uid="{17E9F0D8-9B06-443B-9D1A-FC6CF462A284}"/>
    <cellStyle name="60% - Accent5 4" xfId="359" xr:uid="{2B0FB1BE-2FAF-4566-9E7F-5FA4865718ED}"/>
    <cellStyle name="60% - Accent6 2" xfId="360" xr:uid="{7371B22E-EB1C-4C1F-8CC3-CEE828F48CBB}"/>
    <cellStyle name="60% - Accent6 3" xfId="361" xr:uid="{3B9A9F08-B77E-47C9-B5EF-5444D2E9048F}"/>
    <cellStyle name="60% - Accent6 4" xfId="362" xr:uid="{A513AE82-8405-46B3-A85A-6A2699AF9C11}"/>
    <cellStyle name="60% - 强调文字颜色 1" xfId="194" xr:uid="{5AA8B8E9-D33F-4B6B-89EC-915756306F31}"/>
    <cellStyle name="60% - 强调文字颜色 2" xfId="195" xr:uid="{845C1ACC-7066-4B34-9972-91D2FE564984}"/>
    <cellStyle name="60% - 强调文字颜色 3" xfId="196" xr:uid="{28CA0611-5FAF-4388-B8D7-ADDC551582EA}"/>
    <cellStyle name="60% - 强调文字颜色 4" xfId="197" xr:uid="{538FF528-E38D-4C42-A6A9-44FD001943C9}"/>
    <cellStyle name="60% - 强调文字颜色 5" xfId="198" xr:uid="{8C942092-CBD1-423F-8292-44796646209D}"/>
    <cellStyle name="60% - 强调文字颜色 6" xfId="199" xr:uid="{F46A695E-9BDB-4034-8D10-98697E576714}"/>
    <cellStyle name="60% - 輔色1" xfId="17353" xr:uid="{EFCB765E-FA74-4D15-AC89-38553B61930D}"/>
    <cellStyle name="60% - 輔色2" xfId="17354" xr:uid="{E22772C2-510D-490A-9FB7-AC82FC83784B}"/>
    <cellStyle name="60% - 輔色3" xfId="17355" xr:uid="{BA1360A5-78BA-43CF-A7FB-1174B128C059}"/>
    <cellStyle name="60% - 輔色4" xfId="17356" xr:uid="{2E3D231C-A8FC-49DE-BE2C-14C1FCE9BE6E}"/>
    <cellStyle name="60% - 輔色5" xfId="17357" xr:uid="{908C9CA4-3899-4997-93A8-0B5E68CF6836}"/>
    <cellStyle name="60% - 輔色6" xfId="17358" xr:uid="{791546A7-A8C6-41A6-9F91-39E4C0A112D8}"/>
    <cellStyle name="Accent1 2" xfId="363" xr:uid="{A728CE5E-F0E9-4560-A28F-F56B6CE2951A}"/>
    <cellStyle name="Accent1 3" xfId="364" xr:uid="{88233D3F-17DC-4BF6-AC3E-FE174EDE3F31}"/>
    <cellStyle name="Accent1 4" xfId="365" xr:uid="{4CB6F0B6-E68A-4468-90C8-BD70C025928B}"/>
    <cellStyle name="Accent2 2" xfId="366" xr:uid="{D9DE5E98-D52F-44DF-BC15-F6A284C4CA89}"/>
    <cellStyle name="Accent2 3" xfId="367" xr:uid="{83AF998F-3692-475E-85FA-835EF60AFD3E}"/>
    <cellStyle name="Accent2 4" xfId="368" xr:uid="{9D4CA3E7-D643-4058-B3B3-81C753584341}"/>
    <cellStyle name="Accent3 2" xfId="369" xr:uid="{4EDDA383-905B-4523-B7AE-045C2F429287}"/>
    <cellStyle name="Accent3 3" xfId="370" xr:uid="{AD9258D9-EAA5-46CC-89B0-2EB87FC15CD8}"/>
    <cellStyle name="Accent3 4" xfId="371" xr:uid="{D751FCE5-C85E-461F-9289-D09B631EA006}"/>
    <cellStyle name="Accent4 2" xfId="372" xr:uid="{4AB5BCE4-62F3-44D8-9C18-C761F9E4BB71}"/>
    <cellStyle name="Accent4 3" xfId="373" xr:uid="{18F39A3C-0033-4ACC-B7EC-0B28B284A684}"/>
    <cellStyle name="Accent4 4" xfId="374" xr:uid="{61ED83CB-4B91-416D-81EB-BE875B3C90F8}"/>
    <cellStyle name="Accent5 2" xfId="375" xr:uid="{2D4ACC25-65FF-49DB-9D2D-B6B347FB770F}"/>
    <cellStyle name="Accent5 3" xfId="376" xr:uid="{869B1885-F195-4896-99CB-BA56ECD54343}"/>
    <cellStyle name="Accent5 4" xfId="377" xr:uid="{DD95B003-CA87-42FA-BA86-20978C530B40}"/>
    <cellStyle name="Accent6 2" xfId="378" xr:uid="{C473396B-3003-4727-B486-318A7D8A1DCD}"/>
    <cellStyle name="Accent6 3" xfId="379" xr:uid="{5520EC44-EFDD-4F8F-85BB-FEE60F169D6C}"/>
    <cellStyle name="Accent6 4" xfId="380" xr:uid="{C650573E-6626-494B-8F8C-856E8FD92E72}"/>
    <cellStyle name="Bad 2" xfId="381" xr:uid="{81975F22-8F9C-42FA-8DD2-AE5EDBEA9052}"/>
    <cellStyle name="Bad 3" xfId="382" xr:uid="{EFD991A4-AF0C-47C7-84A2-0496EA298A29}"/>
    <cellStyle name="Bad 4" xfId="383" xr:uid="{FE60BF09-9869-4252-BEDF-C6466A34C518}"/>
    <cellStyle name="Calculation 2" xfId="384" xr:uid="{5042B707-E274-432E-A583-3D7F1578D664}"/>
    <cellStyle name="Calculation 2 10" xfId="5461" xr:uid="{9D1EA047-8401-40CB-AA4E-553D2AFE757F}"/>
    <cellStyle name="Calculation 2 2" xfId="2990" xr:uid="{8558923C-CE5A-4DC3-99CF-16A92C709078}"/>
    <cellStyle name="Calculation 2 2 10" xfId="3435" xr:uid="{46A2B2C6-DC31-4570-9D0B-1E31517C6B2F}"/>
    <cellStyle name="Calculation 2 2 10 2" xfId="4478" xr:uid="{18A04D36-2550-4D0F-8389-C20D41583D4F}"/>
    <cellStyle name="Calculation 2 2 10 2 2" xfId="6973" xr:uid="{2C243D33-D9FE-4970-A515-89F053F908A4}"/>
    <cellStyle name="Calculation 2 2 10 2 3" xfId="8394" xr:uid="{78B1564F-2826-4551-8511-9D8F019F8D69}"/>
    <cellStyle name="Calculation 2 2 10 2 4" xfId="10095" xr:uid="{B4216120-5B44-4DF2-819F-5E655B0E1C76}"/>
    <cellStyle name="Calculation 2 2 10 2 5" xfId="11591" xr:uid="{EE9C45C1-F459-48A3-9DA9-15EF7FBF846E}"/>
    <cellStyle name="Calculation 2 2 10 2 6" xfId="13071" xr:uid="{659FEB46-61F9-4FE8-9DB0-9255C59BE2C4}"/>
    <cellStyle name="Calculation 2 2 10 2 7" xfId="14738" xr:uid="{DBECDCBB-15F4-4556-A660-2485846AEF0A}"/>
    <cellStyle name="Calculation 2 2 10 2 8" xfId="16411" xr:uid="{97E2ED11-58C5-4B81-98A1-319017D1B524}"/>
    <cellStyle name="Calculation 2 2 10 3" xfId="6182" xr:uid="{EF10291F-7A5A-4280-B267-367CA3191B66}"/>
    <cellStyle name="Calculation 2 2 10 4" xfId="5205" xr:uid="{063444DA-0488-4722-9083-F6A458745737}"/>
    <cellStyle name="Calculation 2 2 10 5" xfId="9054" xr:uid="{142A9DEE-83CC-4812-BC5C-876C381B73B8}"/>
    <cellStyle name="Calculation 2 2 10 6" xfId="10816" xr:uid="{F274E973-CA9F-4E54-9543-F1F1E45C8B78}"/>
    <cellStyle name="Calculation 2 2 10 7" xfId="5327" xr:uid="{50F992E7-337E-453B-A955-612A43865F98}"/>
    <cellStyle name="Calculation 2 2 10 8" xfId="13697" xr:uid="{3271BE00-B895-4E22-9D63-D1739DB7738A}"/>
    <cellStyle name="Calculation 2 2 10 9" xfId="15388" xr:uid="{1A90907D-E512-4EE2-84C9-3E68B2E8338B}"/>
    <cellStyle name="Calculation 2 2 11" xfId="5393" xr:uid="{EDC336E0-CCE3-46F0-A33D-5D423BC1D8FF}"/>
    <cellStyle name="Calculation 2 2 12" xfId="6194" xr:uid="{E09E7DCA-B470-4616-90B6-DDCFF3039EB5}"/>
    <cellStyle name="Calculation 2 2 2" xfId="3276" xr:uid="{2EB659D1-1B35-4262-A2F4-69BD2AE59684}"/>
    <cellStyle name="Calculation 2 2 2 2" xfId="4156" xr:uid="{D23EB314-5AF4-45E4-84B6-70D0469D24FB}"/>
    <cellStyle name="Calculation 2 2 2 2 2" xfId="4949" xr:uid="{55BAB6EE-DFCB-4D58-8589-08D64802A1C6}"/>
    <cellStyle name="Calculation 2 2 2 2 2 2" xfId="7444" xr:uid="{8D746C84-F3E9-4F3A-8875-E4224485F021}"/>
    <cellStyle name="Calculation 2 2 2 2 2 3" xfId="8856" xr:uid="{C8A90992-A292-4080-8C80-0031BC6304D0}"/>
    <cellStyle name="Calculation 2 2 2 2 2 4" xfId="10566" xr:uid="{EE13E14C-D4F7-449C-A8E3-E92931CF7D22}"/>
    <cellStyle name="Calculation 2 2 2 2 2 5" xfId="12062" xr:uid="{14CC54C4-35CD-41A6-AC0F-EEFAD8841823}"/>
    <cellStyle name="Calculation 2 2 2 2 2 6" xfId="13533" xr:uid="{81CF6DA4-C3DC-4ED5-9331-CD5EE0F348BD}"/>
    <cellStyle name="Calculation 2 2 2 2 2 7" xfId="15209" xr:uid="{C2FE2766-E0BE-476A-9548-9FE702AE6DEC}"/>
    <cellStyle name="Calculation 2 2 2 2 2 8" xfId="16873" xr:uid="{4A9A83A9-5C7A-496B-BDAF-E84CC8DBDBF4}"/>
    <cellStyle name="Calculation 2 2 2 2 3" xfId="6724" xr:uid="{9FA677F8-0020-49F1-9D23-7BCE821516C7}"/>
    <cellStyle name="Calculation 2 2 2 2 4" xfId="8081" xr:uid="{27FC34E9-7A81-4320-A997-B53A825391A6}"/>
    <cellStyle name="Calculation 2 2 2 2 5" xfId="9775" xr:uid="{4527001B-6F18-49B1-B8EC-6DBA8DB9138F}"/>
    <cellStyle name="Calculation 2 2 2 2 6" xfId="11351" xr:uid="{3D779CE0-FD94-4D2E-9A6D-1D37B8FA5CA1}"/>
    <cellStyle name="Calculation 2 2 2 2 7" xfId="12760" xr:uid="{81F190EE-D53C-4BE6-8172-6E0829DDB8AD}"/>
    <cellStyle name="Calculation 2 2 2 2 8" xfId="14418" xr:uid="{62AB2D7D-8A92-4024-97E6-EF9E920FB29F}"/>
    <cellStyle name="Calculation 2 2 2 2 9" xfId="16100" xr:uid="{4024C7AF-7F13-40DF-BBDD-2F95874323A3}"/>
    <cellStyle name="Calculation 2 2 2 3" xfId="3718" xr:uid="{0AD04AF6-B1B3-4B96-964E-FCECC50D75DB}"/>
    <cellStyle name="Calculation 2 2 2 3 2" xfId="4663" xr:uid="{156F1A4A-99DD-4329-861B-12C7943F2524}"/>
    <cellStyle name="Calculation 2 2 2 3 2 2" xfId="7158" xr:uid="{3FA4B5BF-6ECD-4188-934D-AF0EF0332683}"/>
    <cellStyle name="Calculation 2 2 2 3 2 3" xfId="8576" xr:uid="{ABB6A28E-A905-45C9-9C4E-6A91553B5033}"/>
    <cellStyle name="Calculation 2 2 2 3 2 4" xfId="10280" xr:uid="{15B05F9A-FA79-4A6E-8214-BD4AA30C10B7}"/>
    <cellStyle name="Calculation 2 2 2 3 2 5" xfId="11776" xr:uid="{2F4119BE-F1F8-4B7B-88E2-E139E74E36CB}"/>
    <cellStyle name="Calculation 2 2 2 3 2 6" xfId="13253" xr:uid="{C604BC6F-47A7-4CEC-BA3D-F30B10A58788}"/>
    <cellStyle name="Calculation 2 2 2 3 2 7" xfId="14923" xr:uid="{9F51F708-477E-4184-8207-2059951C490E}"/>
    <cellStyle name="Calculation 2 2 2 3 2 8" xfId="16593" xr:uid="{7D3D291C-5CB5-47C5-BD26-AD7B51665CD7}"/>
    <cellStyle name="Calculation 2 2 2 3 3" xfId="6398" xr:uid="{550CD216-D1D8-4C37-89E3-81E4BBF075B3}"/>
    <cellStyle name="Calculation 2 2 2 3 4" xfId="7649" xr:uid="{157B1836-BC6F-4D8A-BCF1-D40E324BC409}"/>
    <cellStyle name="Calculation 2 2 2 3 5" xfId="9337" xr:uid="{3400F44C-2FD6-40C0-B350-A03AF74F6449}"/>
    <cellStyle name="Calculation 2 2 2 3 6" xfId="11024" xr:uid="{C7E8422F-4A60-4160-8451-49A430BF76E6}"/>
    <cellStyle name="Calculation 2 2 2 3 7" xfId="12328" xr:uid="{F22C7053-6C62-402B-BB43-4844B487A118}"/>
    <cellStyle name="Calculation 2 2 2 3 8" xfId="13980" xr:uid="{3420D78F-03CB-4D84-9597-79B2BBA14001}"/>
    <cellStyle name="Calculation 2 2 2 3 9" xfId="15668" xr:uid="{0890F3AE-3405-4D0D-B1C0-DBCA09C1789E}"/>
    <cellStyle name="Calculation 2 2 2 4" xfId="8943" xr:uid="{0C591093-718F-4843-A254-195943353A3F}"/>
    <cellStyle name="Calculation 2 2 3" xfId="3142" xr:uid="{E026F400-AC18-4F2A-A3F5-9C0D423F7429}"/>
    <cellStyle name="Calculation 2 2 3 2" xfId="4022" xr:uid="{C60AD91A-7EC7-4C99-A643-A2354F3B94C4}"/>
    <cellStyle name="Calculation 2 2 3 2 2" xfId="4865" xr:uid="{55E2B3BD-6A12-40C5-898D-CDBDAFB17EAB}"/>
    <cellStyle name="Calculation 2 2 3 2 2 2" xfId="7360" xr:uid="{FC710967-0385-44D7-88D6-272BC0D21942}"/>
    <cellStyle name="Calculation 2 2 3 2 2 3" xfId="8773" xr:uid="{6F1B6B55-1DBD-4968-B591-856896B91D41}"/>
    <cellStyle name="Calculation 2 2 3 2 2 4" xfId="10482" xr:uid="{4853F4BB-7813-47DC-926C-3BE001220496}"/>
    <cellStyle name="Calculation 2 2 3 2 2 5" xfId="11978" xr:uid="{1D69AD46-0B99-4691-AB04-72021964DD08}"/>
    <cellStyle name="Calculation 2 2 3 2 2 6" xfId="13450" xr:uid="{CC28D6CE-BE95-4C28-B740-41457BB4B610}"/>
    <cellStyle name="Calculation 2 2 3 2 2 7" xfId="15125" xr:uid="{47BD5FE2-704C-4CB8-BE0B-A44872FA9E58}"/>
    <cellStyle name="Calculation 2 2 3 2 2 8" xfId="16790" xr:uid="{9EAD74E5-7604-4975-B5FF-D469D342C3FC}"/>
    <cellStyle name="Calculation 2 2 3 2 3" xfId="6626" xr:uid="{415BE78E-C5BB-46F2-8796-C2E2FD1615C8}"/>
    <cellStyle name="Calculation 2 2 3 2 4" xfId="7948" xr:uid="{25A71CC6-59D2-49EF-9755-500FB7598E9F}"/>
    <cellStyle name="Calculation 2 2 3 2 5" xfId="9641" xr:uid="{060BDC69-519C-467A-A452-F40A5750B32D}"/>
    <cellStyle name="Calculation 2 2 3 2 6" xfId="11252" xr:uid="{4A187DC7-866B-4657-89F0-F8E67337637B}"/>
    <cellStyle name="Calculation 2 2 3 2 7" xfId="12627" xr:uid="{46949DE6-AF8F-4CBD-820A-EB0163C37AF6}"/>
    <cellStyle name="Calculation 2 2 3 2 8" xfId="14284" xr:uid="{835DD648-DE0F-4E94-B29A-02EF1FB522C1}"/>
    <cellStyle name="Calculation 2 2 3 2 9" xfId="15967" xr:uid="{22BAC114-CF47-4860-840C-28F3C0AC92AF}"/>
    <cellStyle name="Calculation 2 2 3 3" xfId="3584" xr:uid="{C45D2BEE-69B2-4789-9DEC-88F99BE25601}"/>
    <cellStyle name="Calculation 2 2 3 3 2" xfId="4579" xr:uid="{292A5D9A-B653-478D-BC0E-EEA93A9C042C}"/>
    <cellStyle name="Calculation 2 2 3 3 2 2" xfId="7074" xr:uid="{DA6132CC-0418-463D-9F3C-F77CC7D01838}"/>
    <cellStyle name="Calculation 2 2 3 3 2 3" xfId="8493" xr:uid="{DDFA338A-D387-48E9-96B3-4F8157E9DBA7}"/>
    <cellStyle name="Calculation 2 2 3 3 2 4" xfId="10196" xr:uid="{B68D053C-1088-4AFE-8999-16E4A288927E}"/>
    <cellStyle name="Calculation 2 2 3 3 2 5" xfId="11692" xr:uid="{EA8D40EB-04CF-41E3-B928-E60B8344A2B7}"/>
    <cellStyle name="Calculation 2 2 3 3 2 6" xfId="13170" xr:uid="{871458B4-AC26-4D47-9F72-7967115D7CF8}"/>
    <cellStyle name="Calculation 2 2 3 3 2 7" xfId="14839" xr:uid="{1D944B86-40A0-4A9F-B08F-97CC31FF4B27}"/>
    <cellStyle name="Calculation 2 2 3 3 2 8" xfId="16510" xr:uid="{948CD9D5-EA39-4606-86DD-FAB0A2C7B78D}"/>
    <cellStyle name="Calculation 2 2 3 3 3" xfId="6296" xr:uid="{30E8A5A1-0913-4D5B-8820-CC82B14B4A95}"/>
    <cellStyle name="Calculation 2 2 3 3 4" xfId="7516" xr:uid="{868550D6-3D96-4E4A-BA1E-DB2502F1CC24}"/>
    <cellStyle name="Calculation 2 2 3 3 5" xfId="9203" xr:uid="{DDB5C895-171E-419B-91CE-007F5F668436}"/>
    <cellStyle name="Calculation 2 2 3 3 6" xfId="10927" xr:uid="{26B551E0-194C-4BF5-8011-44BE58862DE4}"/>
    <cellStyle name="Calculation 2 2 3 3 7" xfId="12195" xr:uid="{4D92FD1B-3D93-40FF-9CCC-176EA4024452}"/>
    <cellStyle name="Calculation 2 2 3 3 8" xfId="13846" xr:uid="{47A0A43D-1163-4D57-9DB3-59BF85948361}"/>
    <cellStyle name="Calculation 2 2 3 3 9" xfId="15535" xr:uid="{C04B286D-1A9A-4512-8D9D-6AFCE08C1F89}"/>
    <cellStyle name="Calculation 2 2 3 4" xfId="6527" xr:uid="{8FF988F2-374C-41E9-AC1B-E7BD03E246C7}"/>
    <cellStyle name="Calculation 2 2 4" xfId="3222" xr:uid="{C3407399-5C04-4336-B8CA-EE8982A5C175}"/>
    <cellStyle name="Calculation 2 2 4 2" xfId="4102" xr:uid="{128463BB-E1E7-4B78-87E5-01BE5B4C2CE1}"/>
    <cellStyle name="Calculation 2 2 4 2 2" xfId="4913" xr:uid="{E6318ABF-BD4B-480D-9B40-DA1DD6799174}"/>
    <cellStyle name="Calculation 2 2 4 2 2 2" xfId="7408" xr:uid="{CB755C3F-F46E-4784-98F3-D7F0A6B1A9DD}"/>
    <cellStyle name="Calculation 2 2 4 2 2 3" xfId="8820" xr:uid="{82421166-D32E-4CC1-9024-37BDC9C2687E}"/>
    <cellStyle name="Calculation 2 2 4 2 2 4" xfId="10530" xr:uid="{953518FD-14D2-460E-8BA5-2F77C059A91F}"/>
    <cellStyle name="Calculation 2 2 4 2 2 5" xfId="12026" xr:uid="{553A349E-DA82-4C9F-910F-6C4A9370DDF0}"/>
    <cellStyle name="Calculation 2 2 4 2 2 6" xfId="13497" xr:uid="{241F392A-00F6-4F77-97F9-0C80C1C50B97}"/>
    <cellStyle name="Calculation 2 2 4 2 2 7" xfId="15173" xr:uid="{7FBBDE1E-8DC7-4C09-800C-9B110B93D14B}"/>
    <cellStyle name="Calculation 2 2 4 2 2 8" xfId="16837" xr:uid="{D4623A7C-5DEE-4CE5-8DEF-FCCB80A0A263}"/>
    <cellStyle name="Calculation 2 2 4 2 3" xfId="6682" xr:uid="{ACCA9D80-7C93-4EB0-AC93-9AE0D53E3B10}"/>
    <cellStyle name="Calculation 2 2 4 2 4" xfId="8027" xr:uid="{C6C37C01-1E83-46D1-82F0-492E12B6E2CE}"/>
    <cellStyle name="Calculation 2 2 4 2 5" xfId="9721" xr:uid="{96197C69-C6C4-4797-905D-9D2B472DB942}"/>
    <cellStyle name="Calculation 2 2 4 2 6" xfId="11310" xr:uid="{25D9C9C4-C485-4A7B-AB28-DA654D2C30AB}"/>
    <cellStyle name="Calculation 2 2 4 2 7" xfId="12706" xr:uid="{2C811F1E-3BCC-443B-939B-E6091F4D11FA}"/>
    <cellStyle name="Calculation 2 2 4 2 8" xfId="14364" xr:uid="{B4F2C2F6-82CC-46A0-9F23-37EA2C40B522}"/>
    <cellStyle name="Calculation 2 2 4 2 9" xfId="16046" xr:uid="{4DDDCEF7-EF3E-4B0E-871D-C67B309F7A40}"/>
    <cellStyle name="Calculation 2 2 4 3" xfId="3664" xr:uid="{22171659-50DC-4D09-84B5-08494D9432B8}"/>
    <cellStyle name="Calculation 2 2 4 3 2" xfId="4627" xr:uid="{F2BF26EC-2977-476F-BCAB-F95F7E84559D}"/>
    <cellStyle name="Calculation 2 2 4 3 2 2" xfId="7122" xr:uid="{84BE8CC8-38F7-4E1C-85B9-11346D9C1A68}"/>
    <cellStyle name="Calculation 2 2 4 3 2 3" xfId="8540" xr:uid="{5EF330BF-12BC-4AFD-90F7-B428B963D263}"/>
    <cellStyle name="Calculation 2 2 4 3 2 4" xfId="10244" xr:uid="{74302158-8729-43E6-83FC-722EEF471AF2}"/>
    <cellStyle name="Calculation 2 2 4 3 2 5" xfId="11740" xr:uid="{8F02659B-A93C-4884-994D-9E484A47B344}"/>
    <cellStyle name="Calculation 2 2 4 3 2 6" xfId="13217" xr:uid="{B57ECA54-D0A2-4E14-B63F-4E416C88D25C}"/>
    <cellStyle name="Calculation 2 2 4 3 2 7" xfId="14887" xr:uid="{8AC15A65-F806-49AA-A3AA-C02AD2176107}"/>
    <cellStyle name="Calculation 2 2 4 3 2 8" xfId="16557" xr:uid="{F9596FFC-3CE6-4EAE-A24B-8F6FA69E4132}"/>
    <cellStyle name="Calculation 2 2 4 3 3" xfId="6355" xr:uid="{E252C223-CFB2-4904-9495-715519247D5E}"/>
    <cellStyle name="Calculation 2 2 4 3 4" xfId="7595" xr:uid="{CCBE12D5-2911-4C38-98BB-51F160F0F7BC}"/>
    <cellStyle name="Calculation 2 2 4 3 5" xfId="9283" xr:uid="{DC3AF57D-5179-4AAB-BB23-658BA5C3EADD}"/>
    <cellStyle name="Calculation 2 2 4 3 6" xfId="10982" xr:uid="{06480425-9A65-4602-A838-6CFC396567B2}"/>
    <cellStyle name="Calculation 2 2 4 3 7" xfId="12274" xr:uid="{C74A8352-2E97-4222-89DE-49B9B56EB957}"/>
    <cellStyle name="Calculation 2 2 4 3 8" xfId="13926" xr:uid="{64C13D71-CC54-4D62-A754-592A5E35287A}"/>
    <cellStyle name="Calculation 2 2 4 3 9" xfId="15614" xr:uid="{DA08E6E7-A00C-416A-8F5F-38899B2A9DDE}"/>
    <cellStyle name="Calculation 2 2 4 4" xfId="6638" xr:uid="{00B8C97F-0D94-4AF7-9D6F-CA8143BD70F9}"/>
    <cellStyle name="Calculation 2 2 5" xfId="3314" xr:uid="{FFC9ED74-8AC2-4AD3-AB38-0DCD6E775D6D}"/>
    <cellStyle name="Calculation 2 2 5 2" xfId="4194" xr:uid="{28FEBC0C-1983-4EE1-B234-F3BB037E82A3}"/>
    <cellStyle name="Calculation 2 2 5 2 2" xfId="4978" xr:uid="{2D44BC42-70CC-4C08-9294-C7F433B6A1E6}"/>
    <cellStyle name="Calculation 2 2 5 2 2 2" xfId="7473" xr:uid="{41E8E35F-BC8A-44F6-98C5-076DAF6B72DC}"/>
    <cellStyle name="Calculation 2 2 5 2 2 3" xfId="8884" xr:uid="{AF4F559C-2DEA-4398-93DB-A8950A7B7051}"/>
    <cellStyle name="Calculation 2 2 5 2 2 4" xfId="10595" xr:uid="{A18C5279-C6C1-48F9-A96E-9E543942250D}"/>
    <cellStyle name="Calculation 2 2 5 2 2 5" xfId="12091" xr:uid="{C15F1B4F-3C82-448E-A54E-CC7D2C5DC948}"/>
    <cellStyle name="Calculation 2 2 5 2 2 6" xfId="13561" xr:uid="{57D66774-5E5E-4DDD-BBDB-C05A1E6FB886}"/>
    <cellStyle name="Calculation 2 2 5 2 2 7" xfId="15238" xr:uid="{0798407D-392D-411B-8832-75F94EAD31E8}"/>
    <cellStyle name="Calculation 2 2 5 2 2 8" xfId="16901" xr:uid="{632553B5-5CE1-49CD-A57D-B43A4DE6648A}"/>
    <cellStyle name="Calculation 2 2 5 2 3" xfId="6754" xr:uid="{EF867674-5E60-4166-AFC3-90EE7B0C950A}"/>
    <cellStyle name="Calculation 2 2 5 2 4" xfId="8118" xr:uid="{A4024632-74D5-4BCF-B197-62C38632A28F}"/>
    <cellStyle name="Calculation 2 2 5 2 5" xfId="9813" xr:uid="{686DDE4D-1305-4892-B44E-00EA9E335161}"/>
    <cellStyle name="Calculation 2 2 5 2 6" xfId="11382" xr:uid="{9C84655C-453F-4789-BC53-E4A5C3729D43}"/>
    <cellStyle name="Calculation 2 2 5 2 7" xfId="12797" xr:uid="{CC1CA4CF-5E8D-4CEC-B308-E74EDAF737A4}"/>
    <cellStyle name="Calculation 2 2 5 2 8" xfId="14456" xr:uid="{0B401CFE-51FE-42A8-B5B1-7F466BBF2DDE}"/>
    <cellStyle name="Calculation 2 2 5 2 9" xfId="16137" xr:uid="{887EA41B-0CD3-4F76-88EB-D03317AA1A24}"/>
    <cellStyle name="Calculation 2 2 5 3" xfId="3755" xr:uid="{20B43767-C111-4891-8664-5DE1FD53B896}"/>
    <cellStyle name="Calculation 2 2 5 3 2" xfId="4691" xr:uid="{3AAB5830-6EC5-44DD-9F7B-0A29D36E55EB}"/>
    <cellStyle name="Calculation 2 2 5 3 2 2" xfId="7186" xr:uid="{3EF3E264-3C55-47FF-9F4C-44AB5987609F}"/>
    <cellStyle name="Calculation 2 2 5 3 2 3" xfId="8604" xr:uid="{40D11E93-6F7D-4880-BCF7-3E804F1F1C76}"/>
    <cellStyle name="Calculation 2 2 5 3 2 4" xfId="10308" xr:uid="{723D004A-9AD3-405C-87A7-EB5E8E9E7431}"/>
    <cellStyle name="Calculation 2 2 5 3 2 5" xfId="11804" xr:uid="{4B9B3DF6-3850-452C-8516-44CD262BEE73}"/>
    <cellStyle name="Calculation 2 2 5 3 2 6" xfId="13281" xr:uid="{F6FA599B-5E6E-4F70-BC7B-7B9BE37FAFDA}"/>
    <cellStyle name="Calculation 2 2 5 3 2 7" xfId="14951" xr:uid="{5F44F66F-24F6-48D0-BD74-49BB053BC338}"/>
    <cellStyle name="Calculation 2 2 5 3 2 8" xfId="16621" xr:uid="{FB67CC4F-251A-44E4-BB12-7C6DAF36D75B}"/>
    <cellStyle name="Calculation 2 2 5 3 3" xfId="6427" xr:uid="{52EF7DD7-A81E-46BF-8E85-E400FB8884A4}"/>
    <cellStyle name="Calculation 2 2 5 3 4" xfId="7686" xr:uid="{214CC778-4B1D-4C37-A2FC-FFF54D1822A3}"/>
    <cellStyle name="Calculation 2 2 5 3 5" xfId="9374" xr:uid="{B214CCC2-C2F7-4748-9ABF-62240A18EC46}"/>
    <cellStyle name="Calculation 2 2 5 3 6" xfId="11056" xr:uid="{67A4B6AB-B737-4731-B333-5CFEC848EFB5}"/>
    <cellStyle name="Calculation 2 2 5 3 7" xfId="12365" xr:uid="{F40BE4DA-79FD-4769-A71D-18D86E775800}"/>
    <cellStyle name="Calculation 2 2 5 3 8" xfId="14017" xr:uid="{A4803B5D-BCE1-491A-BD78-879775333C16}"/>
    <cellStyle name="Calculation 2 2 5 3 9" xfId="15705" xr:uid="{B42C6C2A-7FBC-47D5-A272-AE5FDA00C240}"/>
    <cellStyle name="Calculation 2 2 5 4" xfId="8977" xr:uid="{8C322358-7BA4-4304-9342-DC4CF9D87F7F}"/>
    <cellStyle name="Calculation 2 2 6" xfId="3240" xr:uid="{6B771834-28B3-486F-8746-3331317D1E88}"/>
    <cellStyle name="Calculation 2 2 6 10" xfId="15289" xr:uid="{7A82CC54-BB7B-480E-8B68-630D3981A419}"/>
    <cellStyle name="Calculation 2 2 6 2" xfId="4120" xr:uid="{FA9BB06B-974E-4B1B-87C6-E159ADBAB519}"/>
    <cellStyle name="Calculation 2 2 6 2 2" xfId="4924" xr:uid="{AF3C9C7E-40AA-4156-B06E-E729F7E5A787}"/>
    <cellStyle name="Calculation 2 2 6 2 2 2" xfId="7419" xr:uid="{A406D885-A4A9-4289-8BD7-3A77FF9035DE}"/>
    <cellStyle name="Calculation 2 2 6 2 2 3" xfId="8831" xr:uid="{04B130E5-474D-403F-B1E0-B376F110C8C6}"/>
    <cellStyle name="Calculation 2 2 6 2 2 4" xfId="10541" xr:uid="{FC6F9219-CD85-43B0-BF13-C0A617930047}"/>
    <cellStyle name="Calculation 2 2 6 2 2 5" xfId="12037" xr:uid="{9F39E06E-C762-4EDE-8D3E-848557631D2A}"/>
    <cellStyle name="Calculation 2 2 6 2 2 6" xfId="13508" xr:uid="{3A70CC5A-7F77-463D-8C4B-FDAFA55AEC50}"/>
    <cellStyle name="Calculation 2 2 6 2 2 7" xfId="15184" xr:uid="{10816351-F941-46B4-8BEE-95033080F29E}"/>
    <cellStyle name="Calculation 2 2 6 2 2 8" xfId="16848" xr:uid="{7D5A1746-F314-4B07-9C88-95BCAEFBB1FE}"/>
    <cellStyle name="Calculation 2 2 6 2 3" xfId="6695" xr:uid="{81AE2A5C-9357-44FB-9FFD-79A398429998}"/>
    <cellStyle name="Calculation 2 2 6 2 4" xfId="8045" xr:uid="{3B36AF08-0AB6-45D0-B345-ED7740B25C43}"/>
    <cellStyle name="Calculation 2 2 6 2 5" xfId="9739" xr:uid="{73A83343-D8B6-44DA-AFE3-DC21A16ED892}"/>
    <cellStyle name="Calculation 2 2 6 2 6" xfId="11323" xr:uid="{23EF02B5-5BA4-44F2-B197-F97E22BC3C4A}"/>
    <cellStyle name="Calculation 2 2 6 2 7" xfId="12724" xr:uid="{FD954110-F215-42F8-8D62-58529C6C44D8}"/>
    <cellStyle name="Calculation 2 2 6 2 8" xfId="14382" xr:uid="{9536B8FE-F7EB-4428-B525-AB1043858B10}"/>
    <cellStyle name="Calculation 2 2 6 2 9" xfId="16064" xr:uid="{3EA660B8-A582-4545-80F0-52400D3D9A9D}"/>
    <cellStyle name="Calculation 2 2 6 3" xfId="3682" xr:uid="{AFF773DA-6E70-47F9-93E1-219BFF6E7E45}"/>
    <cellStyle name="Calculation 2 2 6 3 2" xfId="4638" xr:uid="{8A390CBD-E292-40B4-8896-449677CBDCE1}"/>
    <cellStyle name="Calculation 2 2 6 3 2 2" xfId="7133" xr:uid="{C39CE23B-8143-4310-AFB9-F4321CBB4BFD}"/>
    <cellStyle name="Calculation 2 2 6 3 2 3" xfId="8551" xr:uid="{3C4F7C3E-3A87-4AEE-977B-866A1F835C78}"/>
    <cellStyle name="Calculation 2 2 6 3 2 4" xfId="10255" xr:uid="{C9243CEF-CA7D-4F4B-B028-54D2F35C2D60}"/>
    <cellStyle name="Calculation 2 2 6 3 2 5" xfId="11751" xr:uid="{E8953844-0FCC-4B92-8F12-8A3C4155E0D6}"/>
    <cellStyle name="Calculation 2 2 6 3 2 6" xfId="13228" xr:uid="{25833FB2-DBD6-427A-ADD4-27A28B4C409D}"/>
    <cellStyle name="Calculation 2 2 6 3 2 7" xfId="14898" xr:uid="{C3D032F5-AE1B-435D-B02D-8CDDAC95BA22}"/>
    <cellStyle name="Calculation 2 2 6 3 2 8" xfId="16568" xr:uid="{210BC9AC-CA93-4EC7-941D-8B07185C5B99}"/>
    <cellStyle name="Calculation 2 2 6 3 3" xfId="6369" xr:uid="{1F355E6D-0FE2-4CD7-94B8-56D44E54D32B}"/>
    <cellStyle name="Calculation 2 2 6 3 4" xfId="7613" xr:uid="{AD550681-C321-461D-932F-B3235AE4411B}"/>
    <cellStyle name="Calculation 2 2 6 3 5" xfId="9301" xr:uid="{726167C1-E73B-4FAA-8EC3-53992EE22619}"/>
    <cellStyle name="Calculation 2 2 6 3 6" xfId="10996" xr:uid="{8C55C0B2-887F-4922-A13E-08C1BE6D1463}"/>
    <cellStyle name="Calculation 2 2 6 3 7" xfId="12292" xr:uid="{CA427458-0E14-4C5B-8416-00436B8538AE}"/>
    <cellStyle name="Calculation 2 2 6 3 8" xfId="13944" xr:uid="{A710589A-2D7D-4691-BF04-1DB927E9766B}"/>
    <cellStyle name="Calculation 2 2 6 3 9" xfId="15632" xr:uid="{A20D2213-7C3C-42A5-982A-134A60AD940C}"/>
    <cellStyle name="Calculation 2 2 6 4" xfId="4386" xr:uid="{0258C076-09CE-4E27-8EC1-BBC212DACEFB}"/>
    <cellStyle name="Calculation 2 2 6 4 2" xfId="6894" xr:uid="{52E3B261-176E-4B80-83CA-6EBC59FEC5C6}"/>
    <cellStyle name="Calculation 2 2 6 4 3" xfId="8305" xr:uid="{194B1A7E-4E13-4057-8B49-36233B9E772B}"/>
    <cellStyle name="Calculation 2 2 6 4 4" xfId="10003" xr:uid="{D38906BB-68DB-4FCF-B7A2-842E41596B87}"/>
    <cellStyle name="Calculation 2 2 6 4 5" xfId="11514" xr:uid="{DCAE6EA1-CEB1-4961-8B6B-8F102A8BC3A5}"/>
    <cellStyle name="Calculation 2 2 6 4 6" xfId="12982" xr:uid="{215044DD-CA91-4396-88E0-B0A743429186}"/>
    <cellStyle name="Calculation 2 2 6 4 7" xfId="14646" xr:uid="{285A78DC-D963-4B90-A3E5-A6C3C406C611}"/>
    <cellStyle name="Calculation 2 2 6 4 8" xfId="16322" xr:uid="{D1F35490-ACB7-432C-BC78-9622176565D0}"/>
    <cellStyle name="Calculation 2 2 6 5" xfId="6060" xr:uid="{3256C401-1BCA-478E-85F4-40FEE1CC34A7}"/>
    <cellStyle name="Calculation 2 2 6 6" xfId="5617" xr:uid="{8AF8F282-4C5A-4C8C-9F37-8046F0D175C0}"/>
    <cellStyle name="Calculation 2 2 6 7" xfId="10703" xr:uid="{DDD2A022-2EE7-48E6-80BD-7D906C91BC13}"/>
    <cellStyle name="Calculation 2 2 6 8" xfId="5508" xr:uid="{4AAA2238-B9D9-4887-A338-46A67F5C0201}"/>
    <cellStyle name="Calculation 2 2 6 9" xfId="11137" xr:uid="{D0D4E44C-2312-40F4-9C38-D7067D0F5744}"/>
    <cellStyle name="Calculation 2 2 7" xfId="3105" xr:uid="{FA53D443-94E6-4C51-B230-5244BDEE899C}"/>
    <cellStyle name="Calculation 2 2 7 10" xfId="6022" xr:uid="{06A95477-AC1C-4591-86FF-FB238B1FBCCD}"/>
    <cellStyle name="Calculation 2 2 7 2" xfId="3985" xr:uid="{56DDF5A8-9F70-420E-9950-E905EB316B4A}"/>
    <cellStyle name="Calculation 2 2 7 2 2" xfId="4837" xr:uid="{33659776-40E2-4579-85FA-6D7B1F5A8296}"/>
    <cellStyle name="Calculation 2 2 7 2 2 2" xfId="7332" xr:uid="{946FB513-E235-4DA2-A367-28317A33F4AC}"/>
    <cellStyle name="Calculation 2 2 7 2 2 3" xfId="8745" xr:uid="{492B3392-5786-4B9F-A721-8B04F2CADC76}"/>
    <cellStyle name="Calculation 2 2 7 2 2 4" xfId="10454" xr:uid="{A6FAFB08-F592-4725-84AD-78EB08AB3B94}"/>
    <cellStyle name="Calculation 2 2 7 2 2 5" xfId="11950" xr:uid="{309137A4-1BFD-4836-85DC-4EDCC75D1375}"/>
    <cellStyle name="Calculation 2 2 7 2 2 6" xfId="13422" xr:uid="{9F4D45CD-3473-428D-BAE3-D01EF95F6A2E}"/>
    <cellStyle name="Calculation 2 2 7 2 2 7" xfId="15097" xr:uid="{41411B81-600A-4A5A-9B17-76AFE1E819DF}"/>
    <cellStyle name="Calculation 2 2 7 2 2 8" xfId="16762" xr:uid="{FB67ECAD-9816-4A73-A962-ACCA2152893F}"/>
    <cellStyle name="Calculation 2 2 7 2 3" xfId="6597" xr:uid="{1AB81749-8CC5-428A-A4B4-717F25E1E043}"/>
    <cellStyle name="Calculation 2 2 7 2 4" xfId="7911" xr:uid="{24C4C666-D3EB-402B-82D3-43FC87C7A115}"/>
    <cellStyle name="Calculation 2 2 7 2 5" xfId="9604" xr:uid="{DB4EE998-143E-4C2B-A0DD-48D0E2BE91B7}"/>
    <cellStyle name="Calculation 2 2 7 2 6" xfId="11224" xr:uid="{1692D794-008C-4C80-ADB2-85010BBF5CED}"/>
    <cellStyle name="Calculation 2 2 7 2 7" xfId="12590" xr:uid="{155D9075-6FFA-48A1-BC2B-3CBFE71BB7DC}"/>
    <cellStyle name="Calculation 2 2 7 2 8" xfId="14247" xr:uid="{06ED6A7E-DA91-429D-B7BF-F616DEFAA608}"/>
    <cellStyle name="Calculation 2 2 7 2 9" xfId="15930" xr:uid="{3C18A080-FA24-4F13-912A-8701F347670E}"/>
    <cellStyle name="Calculation 2 2 7 3" xfId="3547" xr:uid="{210569EF-4860-4CEB-89E6-2B3D5B5E7DFA}"/>
    <cellStyle name="Calculation 2 2 7 3 2" xfId="4551" xr:uid="{AD56AEF7-6FD5-4F98-83B5-EA2C1E875619}"/>
    <cellStyle name="Calculation 2 2 7 3 2 2" xfId="7046" xr:uid="{FAA2B5B2-725D-4718-8297-6A0BF8087713}"/>
    <cellStyle name="Calculation 2 2 7 3 2 3" xfId="8465" xr:uid="{E6AE499F-490A-4D27-9636-E81308C45A15}"/>
    <cellStyle name="Calculation 2 2 7 3 2 4" xfId="10168" xr:uid="{544F528C-E5DD-4970-8694-F414B8D99D17}"/>
    <cellStyle name="Calculation 2 2 7 3 2 5" xfId="11664" xr:uid="{C894900F-D931-444D-96F7-D65AC0BBDD00}"/>
    <cellStyle name="Calculation 2 2 7 3 2 6" xfId="13142" xr:uid="{06E92A73-B661-482E-BEAE-9E56ED597480}"/>
    <cellStyle name="Calculation 2 2 7 3 2 7" xfId="14811" xr:uid="{363D9999-AFD2-4F36-B156-194DFA7AFC58}"/>
    <cellStyle name="Calculation 2 2 7 3 2 8" xfId="16482" xr:uid="{873F8C06-9330-4463-B337-38E8F559270A}"/>
    <cellStyle name="Calculation 2 2 7 3 3" xfId="6267" xr:uid="{48509BFA-35AD-4BE0-B769-BFB145D6DDD3}"/>
    <cellStyle name="Calculation 2 2 7 3 4" xfId="5414" xr:uid="{7ABDFBD9-461E-4818-B055-B3F856EDAA43}"/>
    <cellStyle name="Calculation 2 2 7 3 5" xfId="9166" xr:uid="{4F374EFF-BF78-40AB-9E2B-CA4A121C777F}"/>
    <cellStyle name="Calculation 2 2 7 3 6" xfId="10897" xr:uid="{61C3A820-63E6-475D-A944-32881F5E3FF6}"/>
    <cellStyle name="Calculation 2 2 7 3 7" xfId="12158" xr:uid="{4DA6A0A5-EC07-45C7-8832-FD670A2E1700}"/>
    <cellStyle name="Calculation 2 2 7 3 8" xfId="13809" xr:uid="{210FDA93-33C3-4E81-8C7C-7638203742DE}"/>
    <cellStyle name="Calculation 2 2 7 3 9" xfId="15498" xr:uid="{12F39BF5-F88E-42FD-8F3F-149962BBAA90}"/>
    <cellStyle name="Calculation 2 2 7 4" xfId="4325" xr:uid="{50489C89-B0A4-4D70-805F-20278EAD0945}"/>
    <cellStyle name="Calculation 2 2 7 4 2" xfId="6848" xr:uid="{C4A4DDCB-09BB-429F-89F0-63483A8DA9C3}"/>
    <cellStyle name="Calculation 2 2 7 4 3" xfId="8245" xr:uid="{D1A092FB-59DC-4B10-8C15-F5872520798C}"/>
    <cellStyle name="Calculation 2 2 7 4 4" xfId="9942" xr:uid="{067119A8-32D8-4DEF-BED6-81BB6E0DB43A}"/>
    <cellStyle name="Calculation 2 2 7 4 5" xfId="11467" xr:uid="{B568EB40-1F5E-49DC-9966-E292EB483FBF}"/>
    <cellStyle name="Calculation 2 2 7 4 6" xfId="12922" xr:uid="{244BB274-F2F8-4F82-8097-1DB6EFDA8614}"/>
    <cellStyle name="Calculation 2 2 7 4 7" xfId="14585" xr:uid="{C3456D55-A969-4BD1-8738-6E88AB5E7A51}"/>
    <cellStyle name="Calculation 2 2 7 4 8" xfId="16262" xr:uid="{3D542496-272D-4A89-A4C8-9F228D3B324B}"/>
    <cellStyle name="Calculation 2 2 7 5" xfId="5971" xr:uid="{67907B2C-87B2-4851-99A9-55A95AC8C8AF}"/>
    <cellStyle name="Calculation 2 2 7 6" xfId="5631" xr:uid="{1388A7DF-2532-4DCA-8FE6-C059EE3E4FDD}"/>
    <cellStyle name="Calculation 2 2 7 7" xfId="6699" xr:uid="{82250F78-CA1D-489A-92D2-47A1833FBC57}"/>
    <cellStyle name="Calculation 2 2 7 8" xfId="5037" xr:uid="{4B3AB175-A075-4F9A-B970-6C3D32729839}"/>
    <cellStyle name="Calculation 2 2 7 9" xfId="10891" xr:uid="{ABE57C45-32DE-4A42-B0ED-912B7768A4F3}"/>
    <cellStyle name="Calculation 2 2 8" xfId="3375" xr:uid="{5268AA29-D43B-4555-B788-D4F4D14B793E}"/>
    <cellStyle name="Calculation 2 2 8 10" xfId="15332" xr:uid="{F46302ED-3534-4703-B5F6-36B965302196}"/>
    <cellStyle name="Calculation 2 2 8 2" xfId="4255" xr:uid="{00680974-EEB8-4E3A-B584-81164C8D9304}"/>
    <cellStyle name="Calculation 2 2 8 2 2" xfId="5007" xr:uid="{6C38F4A9-A702-4DE9-9FD9-D0BD42E04E1E}"/>
    <cellStyle name="Calculation 2 2 8 2 2 2" xfId="7502" xr:uid="{996CEA8B-D179-4EFF-8BBD-667A4F7084B3}"/>
    <cellStyle name="Calculation 2 2 8 2 2 3" xfId="8912" xr:uid="{2C24B03E-1BA4-4B46-8412-7FB493A75447}"/>
    <cellStyle name="Calculation 2 2 8 2 2 4" xfId="10624" xr:uid="{F1F9474C-651B-4C18-A1F4-99E8780D2A4F}"/>
    <cellStyle name="Calculation 2 2 8 2 2 5" xfId="12120" xr:uid="{52E177BA-43F4-40B9-8229-3151627F673E}"/>
    <cellStyle name="Calculation 2 2 8 2 2 6" xfId="13589" xr:uid="{34BA7E49-E970-40D7-85C8-EE97B60B8783}"/>
    <cellStyle name="Calculation 2 2 8 2 2 7" xfId="15267" xr:uid="{5999AAB3-92CE-446A-B970-7D0E7C3CB21E}"/>
    <cellStyle name="Calculation 2 2 8 2 2 8" xfId="16929" xr:uid="{40DD8C2B-F62D-4543-829B-92BB3A0353F2}"/>
    <cellStyle name="Calculation 2 2 8 2 3" xfId="6795" xr:uid="{1F91D9F4-BEC1-4A10-8A6D-F86BBDB9B6F1}"/>
    <cellStyle name="Calculation 2 2 8 2 4" xfId="8178" xr:uid="{D105DE08-F0E6-400E-A8A3-9E445284CC78}"/>
    <cellStyle name="Calculation 2 2 8 2 5" xfId="9874" xr:uid="{8723C12B-963C-4894-A20F-17960E4233A3}"/>
    <cellStyle name="Calculation 2 2 8 2 6" xfId="11413" xr:uid="{16EB7AF9-BCD6-4EA7-8C59-246343C52D44}"/>
    <cellStyle name="Calculation 2 2 8 2 7" xfId="12857" xr:uid="{D084F083-D51D-41B4-9274-6B29C99216E0}"/>
    <cellStyle name="Calculation 2 2 8 2 8" xfId="14517" xr:uid="{4DA6F1F9-2B41-4310-B9EE-3A9E47997ACF}"/>
    <cellStyle name="Calculation 2 2 8 2 9" xfId="16197" xr:uid="{D0ACC838-A488-47CE-8FDE-D8F842705777}"/>
    <cellStyle name="Calculation 2 2 8 3" xfId="3815" xr:uid="{05871BB8-5717-4B0F-B6D8-55804CFC6E3B}"/>
    <cellStyle name="Calculation 2 2 8 3 2" xfId="4719" xr:uid="{EB897D4E-32D5-4CFA-AD03-6BD35AC81035}"/>
    <cellStyle name="Calculation 2 2 8 3 2 2" xfId="7214" xr:uid="{28691709-A0A2-41B0-889A-0CFD2CE9AEAA}"/>
    <cellStyle name="Calculation 2 2 8 3 2 3" xfId="8632" xr:uid="{34515C2E-0570-4A64-B3A9-747F2BF93B46}"/>
    <cellStyle name="Calculation 2 2 8 3 2 4" xfId="10336" xr:uid="{6CAD3070-531A-4B1D-AF23-2B9702E3B24E}"/>
    <cellStyle name="Calculation 2 2 8 3 2 5" xfId="11832" xr:uid="{67FF8DCC-656E-4D4E-936E-32E808843812}"/>
    <cellStyle name="Calculation 2 2 8 3 2 6" xfId="13309" xr:uid="{E8C9C7D4-814C-445B-86D0-723715757283}"/>
    <cellStyle name="Calculation 2 2 8 3 2 7" xfId="14979" xr:uid="{93F9008F-47A3-4F08-AAB3-67F928D34D11}"/>
    <cellStyle name="Calculation 2 2 8 3 2 8" xfId="16649" xr:uid="{E07D0042-E664-46EE-A8EF-3FF814FC6D29}"/>
    <cellStyle name="Calculation 2 2 8 3 3" xfId="6465" xr:uid="{F86B0430-73DB-4524-9AFA-7B77FDE5AD48}"/>
    <cellStyle name="Calculation 2 2 8 3 4" xfId="7746" xr:uid="{F5C579DF-7B88-4831-B619-95A570DACC00}"/>
    <cellStyle name="Calculation 2 2 8 3 5" xfId="9434" xr:uid="{40948047-2F93-4755-94E8-465DF7FBD038}"/>
    <cellStyle name="Calculation 2 2 8 3 6" xfId="11094" xr:uid="{139D2480-44EC-498E-AF2E-C277DA19215A}"/>
    <cellStyle name="Calculation 2 2 8 3 7" xfId="12425" xr:uid="{9A9D3184-0094-45C1-B8B8-8CE39FC91A2C}"/>
    <cellStyle name="Calculation 2 2 8 3 8" xfId="14077" xr:uid="{E1E0D22C-73BC-46EA-81F9-3B21E15CA5D9}"/>
    <cellStyle name="Calculation 2 2 8 3 9" xfId="15765" xr:uid="{7E997E0D-7B38-40A9-82D8-A831D19690D1}"/>
    <cellStyle name="Calculation 2 2 8 4" xfId="4431" xr:uid="{4DEB3DC1-B6FF-4446-A02B-E3E62376BC99}"/>
    <cellStyle name="Calculation 2 2 8 4 2" xfId="6929" xr:uid="{C407C254-BAFE-4D25-B35E-B6B0D2A9E1F9}"/>
    <cellStyle name="Calculation 2 2 8 4 3" xfId="8348" xr:uid="{3B058739-8097-4BE4-BC1A-649440C4D774}"/>
    <cellStyle name="Calculation 2 2 8 4 4" xfId="10048" xr:uid="{46B814F5-60DF-4258-BA9D-396269F6331B}"/>
    <cellStyle name="Calculation 2 2 8 4 5" xfId="11546" xr:uid="{111638BD-9B4F-4F3B-9228-E647611B4877}"/>
    <cellStyle name="Calculation 2 2 8 4 6" xfId="13025" xr:uid="{2BE54C93-AF8B-4860-8330-5FEB6D61520F}"/>
    <cellStyle name="Calculation 2 2 8 4 7" xfId="14691" xr:uid="{443AA90C-D87D-4309-B542-75D7377AAF72}"/>
    <cellStyle name="Calculation 2 2 8 4 8" xfId="16365" xr:uid="{963CD09F-5529-4B55-80D2-ABF2FD65DF3D}"/>
    <cellStyle name="Calculation 2 2 8 5" xfId="6133" xr:uid="{52F42598-926A-4D63-AB1D-E5B0E8E53B93}"/>
    <cellStyle name="Calculation 2 2 8 6" xfId="5645" xr:uid="{2D2B0AC4-8177-4F88-9B31-DAE6C2DEE309}"/>
    <cellStyle name="Calculation 2 2 8 7" xfId="10765" xr:uid="{A6F26CDC-755E-4D61-B0CD-88C778DF80BE}"/>
    <cellStyle name="Calculation 2 2 8 8" xfId="5307" xr:uid="{919676B6-7C58-407D-B3EF-68C96C3974DA}"/>
    <cellStyle name="Calculation 2 2 8 9" xfId="13641" xr:uid="{7BD67FEC-6799-4358-94FE-09616863CB1F}"/>
    <cellStyle name="Calculation 2 2 9" xfId="3873" xr:uid="{9770A66C-25F6-441E-AC31-B90282B7F389}"/>
    <cellStyle name="Calculation 2 2 9 2" xfId="4764" xr:uid="{4F0D3406-27F4-455E-8051-1D4DD918EAA8}"/>
    <cellStyle name="Calculation 2 2 9 2 2" xfId="7259" xr:uid="{9ED03821-292E-4C0B-9182-F16BEB83C28B}"/>
    <cellStyle name="Calculation 2 2 9 2 3" xfId="8674" xr:uid="{1CB0012B-4C1E-4A76-9463-AE142B1A9E79}"/>
    <cellStyle name="Calculation 2 2 9 2 4" xfId="10381" xr:uid="{A2576FBB-0B92-4D07-8038-7203DE9FC800}"/>
    <cellStyle name="Calculation 2 2 9 2 5" xfId="11877" xr:uid="{8DB7A3DB-8785-4622-97E8-31729B7C3BF6}"/>
    <cellStyle name="Calculation 2 2 9 2 6" xfId="13351" xr:uid="{3FD64C5C-2C88-4C4F-8C0A-20743297E4ED}"/>
    <cellStyle name="Calculation 2 2 9 2 7" xfId="15024" xr:uid="{5729521F-7E14-46FC-B2CD-1C001A72A768}"/>
    <cellStyle name="Calculation 2 2 9 2 8" xfId="16691" xr:uid="{D411B041-1645-4A0F-84E5-EFBCEAF38FCA}"/>
    <cellStyle name="Calculation 2 2 9 3" xfId="6514" xr:uid="{49B0C887-E533-4ADF-AB26-C3560978DECB}"/>
    <cellStyle name="Calculation 2 2 9 4" xfId="7801" xr:uid="{5C66EE52-44EB-4A2A-BDD9-555B8399ADF1}"/>
    <cellStyle name="Calculation 2 2 9 5" xfId="9492" xr:uid="{9D53F5A5-3048-4ECD-AFB6-00271ABE4EED}"/>
    <cellStyle name="Calculation 2 2 9 6" xfId="11145" xr:uid="{B7DC92BE-6F29-40EC-A99F-67F578D89388}"/>
    <cellStyle name="Calculation 2 2 9 7" xfId="12480" xr:uid="{DE188FF1-7B74-4AF4-B81F-60BCC567D7F3}"/>
    <cellStyle name="Calculation 2 2 9 8" xfId="14135" xr:uid="{BE61FD0D-402D-4E84-BD1B-3B03B2964A51}"/>
    <cellStyle name="Calculation 2 2 9 9" xfId="15820" xr:uid="{167C3E05-FBCC-4F7B-87DF-3B8BC3CEC609}"/>
    <cellStyle name="Calculation 2 3" xfId="2970" xr:uid="{7E59625F-83CE-451E-8CAF-0A1C185134BD}"/>
    <cellStyle name="Calculation 2 3 10" xfId="3417" xr:uid="{BE273B0C-8095-4896-B877-DB557049DBA1}"/>
    <cellStyle name="Calculation 2 3 10 2" xfId="4464" xr:uid="{2F5633A0-F33E-43C2-8B76-A9923D85E48A}"/>
    <cellStyle name="Calculation 2 3 10 2 2" xfId="6959" xr:uid="{3E2811F0-D891-43A7-8C22-4332689E9314}"/>
    <cellStyle name="Calculation 2 3 10 2 3" xfId="8380" xr:uid="{987A28F3-CCA9-47A1-8B8D-50B547DF1D91}"/>
    <cellStyle name="Calculation 2 3 10 2 4" xfId="10081" xr:uid="{1B6D5C8F-E026-42A7-AC0B-15E1FF5B2870}"/>
    <cellStyle name="Calculation 2 3 10 2 5" xfId="11577" xr:uid="{997BCF00-99E7-470C-ADA2-548E8493A743}"/>
    <cellStyle name="Calculation 2 3 10 2 6" xfId="13057" xr:uid="{F3F1B372-8DC6-4D90-A260-C38A31B99AA0}"/>
    <cellStyle name="Calculation 2 3 10 2 7" xfId="14724" xr:uid="{E87FB370-2D6E-4339-A91B-5F5FF61742D4}"/>
    <cellStyle name="Calculation 2 3 10 2 8" xfId="16397" xr:uid="{7DD33A09-CFD1-4C16-8257-F7ECBCC63276}"/>
    <cellStyle name="Calculation 2 3 10 3" xfId="6167" xr:uid="{63603C7B-2CF6-4DEB-8DFA-03D9557B52B1}"/>
    <cellStyle name="Calculation 2 3 10 4" xfId="5212" xr:uid="{98072FD5-8B27-45BE-8C6D-F634C0D064F4}"/>
    <cellStyle name="Calculation 2 3 10 5" xfId="9036" xr:uid="{68FBBAE1-6A80-43A7-B6FC-644F57478E78}"/>
    <cellStyle name="Calculation 2 3 10 6" xfId="10800" xr:uid="{455806A7-C2A4-4A40-B2DE-2AA5CCC30F37}"/>
    <cellStyle name="Calculation 2 3 10 7" xfId="5865" xr:uid="{1EDEC04B-8FD9-4861-AB33-550F762C440F}"/>
    <cellStyle name="Calculation 2 3 10 8" xfId="13679" xr:uid="{9E9CDB8B-280B-4E08-9842-FC6FD2A37180}"/>
    <cellStyle name="Calculation 2 3 10 9" xfId="15370" xr:uid="{9447BABF-2E93-4573-BBAC-E5957B57C2D4}"/>
    <cellStyle name="Calculation 2 3 11" xfId="5833" xr:uid="{647D9DE5-CB4F-45E4-A841-B4589EB3E246}"/>
    <cellStyle name="Calculation 2 3 12" xfId="6062" xr:uid="{6CB4CA35-3A20-4542-B43C-F565471FAF3C}"/>
    <cellStyle name="Calculation 2 3 2" xfId="3258" xr:uid="{E722F486-1069-4569-AB71-E63BF775DDE2}"/>
    <cellStyle name="Calculation 2 3 2 2" xfId="4138" xr:uid="{15BBFB40-D034-419F-B050-19E778B04240}"/>
    <cellStyle name="Calculation 2 3 2 2 2" xfId="4935" xr:uid="{0A979EAB-85EB-4EAC-8270-366A474BB171}"/>
    <cellStyle name="Calculation 2 3 2 2 2 2" xfId="7430" xr:uid="{8FF80FB2-FA20-4AE7-BD89-554D04C17EB1}"/>
    <cellStyle name="Calculation 2 3 2 2 2 3" xfId="8842" xr:uid="{B4D16C77-DF55-4F40-B3B9-3AA5AF15E472}"/>
    <cellStyle name="Calculation 2 3 2 2 2 4" xfId="10552" xr:uid="{083C4CF4-EE03-4D09-90F5-F2F2C5BDC541}"/>
    <cellStyle name="Calculation 2 3 2 2 2 5" xfId="12048" xr:uid="{0A57921C-AC65-4CC4-BED1-4DE0F3BDB47A}"/>
    <cellStyle name="Calculation 2 3 2 2 2 6" xfId="13519" xr:uid="{16BDD54F-9CA9-4F7F-8558-62500786576C}"/>
    <cellStyle name="Calculation 2 3 2 2 2 7" xfId="15195" xr:uid="{EEE2EB88-5393-48E6-9B23-A4E78B91192A}"/>
    <cellStyle name="Calculation 2 3 2 2 2 8" xfId="16859" xr:uid="{7FCD14BF-E626-4042-A2EB-DDAC39A76481}"/>
    <cellStyle name="Calculation 2 3 2 2 3" xfId="6709" xr:uid="{B8909DCF-B834-4A8F-A111-B4D1A34647E2}"/>
    <cellStyle name="Calculation 2 3 2 2 4" xfId="8063" xr:uid="{42EAEF9F-3EE5-4CCB-9855-9BF5B045F049}"/>
    <cellStyle name="Calculation 2 3 2 2 5" xfId="9757" xr:uid="{8E505BD2-B838-4F98-9C08-6633BFE21C4B}"/>
    <cellStyle name="Calculation 2 3 2 2 6" xfId="11337" xr:uid="{2B516317-FBA0-4913-940D-E65BA3B325F6}"/>
    <cellStyle name="Calculation 2 3 2 2 7" xfId="12742" xr:uid="{F1A8CD8E-1480-4176-8A4F-783EF5899CBE}"/>
    <cellStyle name="Calculation 2 3 2 2 8" xfId="14400" xr:uid="{E19C3270-612A-4619-B085-97B258504ABD}"/>
    <cellStyle name="Calculation 2 3 2 2 9" xfId="16082" xr:uid="{B19A7508-61CE-452B-8263-996E409B8C6A}"/>
    <cellStyle name="Calculation 2 3 2 3" xfId="3700" xr:uid="{242166C1-E1FE-4F7B-AF75-E41CE314163E}"/>
    <cellStyle name="Calculation 2 3 2 3 2" xfId="4649" xr:uid="{E3A0A1DA-F6CF-4766-9D59-72C351105EF6}"/>
    <cellStyle name="Calculation 2 3 2 3 2 2" xfId="7144" xr:uid="{1802354D-BA61-4F93-B1D9-F4292CE5E116}"/>
    <cellStyle name="Calculation 2 3 2 3 2 3" xfId="8562" xr:uid="{20A49B71-0E05-4C66-8651-8FC867752C5E}"/>
    <cellStyle name="Calculation 2 3 2 3 2 4" xfId="10266" xr:uid="{D7BB910B-58C8-4BEC-8CA7-70D6CD19D294}"/>
    <cellStyle name="Calculation 2 3 2 3 2 5" xfId="11762" xr:uid="{4073FD2B-BC95-4028-B4E2-FEEDA9F7B36B}"/>
    <cellStyle name="Calculation 2 3 2 3 2 6" xfId="13239" xr:uid="{46D3015C-C81B-4685-8377-18614E6A8CAC}"/>
    <cellStyle name="Calculation 2 3 2 3 2 7" xfId="14909" xr:uid="{850B38A2-D42C-41F3-98BB-F31E635314C2}"/>
    <cellStyle name="Calculation 2 3 2 3 2 8" xfId="16579" xr:uid="{49B11CE4-85CB-45E4-8031-4822B3C1F3C9}"/>
    <cellStyle name="Calculation 2 3 2 3 3" xfId="6382" xr:uid="{355AE31C-0EB0-4024-8548-76DF6E3C912F}"/>
    <cellStyle name="Calculation 2 3 2 3 4" xfId="7631" xr:uid="{91F6DFEF-8608-413D-A133-4D1CD456EBEB}"/>
    <cellStyle name="Calculation 2 3 2 3 5" xfId="9319" xr:uid="{EC760125-2DD0-452C-8CD7-1AAF26D6EEA9}"/>
    <cellStyle name="Calculation 2 3 2 3 6" xfId="11009" xr:uid="{EDA1879B-B656-42A3-BB3A-34F0E9DF6689}"/>
    <cellStyle name="Calculation 2 3 2 3 7" xfId="12310" xr:uid="{C9210966-877D-49C0-977F-0622BA445989}"/>
    <cellStyle name="Calculation 2 3 2 3 8" xfId="13962" xr:uid="{9BBFB4A1-EDBD-43A0-9C04-58D8CB32D696}"/>
    <cellStyle name="Calculation 2 3 2 3 9" xfId="15650" xr:uid="{57DFF602-1122-4B1E-AE64-12840B1E8DE7}"/>
    <cellStyle name="Calculation 2 3 2 4" xfId="8925" xr:uid="{642F5265-3110-4344-A9B8-7364D2E99D2A}"/>
    <cellStyle name="Calculation 2 3 3" xfId="3130" xr:uid="{30B8F36F-AF41-4970-AD10-41BCC07D0E73}"/>
    <cellStyle name="Calculation 2 3 3 2" xfId="4010" xr:uid="{B056922E-EE61-41FE-AB0F-F430956C9D45}"/>
    <cellStyle name="Calculation 2 3 3 2 2" xfId="4855" xr:uid="{D3CE9CDB-7331-415A-A31B-DA47371F3FE2}"/>
    <cellStyle name="Calculation 2 3 3 2 2 2" xfId="7350" xr:uid="{13C642D5-DC06-43B4-8F3B-BC2D6E80A12E}"/>
    <cellStyle name="Calculation 2 3 3 2 2 3" xfId="8763" xr:uid="{12A101AD-B1C9-4059-8A9A-E5F7AB464499}"/>
    <cellStyle name="Calculation 2 3 3 2 2 4" xfId="10472" xr:uid="{FE2CCD92-A3CA-48CB-BF88-E4C7F69CD63B}"/>
    <cellStyle name="Calculation 2 3 3 2 2 5" xfId="11968" xr:uid="{615333D2-ABF9-4795-815B-DF5EECE8FBBC}"/>
    <cellStyle name="Calculation 2 3 3 2 2 6" xfId="13440" xr:uid="{AAEB5206-D543-40A6-A976-2789CCC4D33F}"/>
    <cellStyle name="Calculation 2 3 3 2 2 7" xfId="15115" xr:uid="{25E9D316-C638-41C4-8341-AA7FA6807CFF}"/>
    <cellStyle name="Calculation 2 3 3 2 2 8" xfId="16780" xr:uid="{6244E544-54DF-488D-B36A-D743401B84A4}"/>
    <cellStyle name="Calculation 2 3 3 2 3" xfId="6616" xr:uid="{4DFFF13F-F19B-4B78-BD1E-2D11C7776A61}"/>
    <cellStyle name="Calculation 2 3 3 2 4" xfId="7936" xr:uid="{23C44A62-83E0-4348-B460-3CA8731CDB16}"/>
    <cellStyle name="Calculation 2 3 3 2 5" xfId="9629" xr:uid="{A5ABF488-4975-40FF-AC84-095B47167894}"/>
    <cellStyle name="Calculation 2 3 3 2 6" xfId="11242" xr:uid="{308E401B-0699-47A8-8367-9DF955052742}"/>
    <cellStyle name="Calculation 2 3 3 2 7" xfId="12615" xr:uid="{24DEE431-D9EB-49CC-89C7-8364B1F4B82C}"/>
    <cellStyle name="Calculation 2 3 3 2 8" xfId="14272" xr:uid="{DCB50C2B-36B5-4F11-A69E-FE633BAEF884}"/>
    <cellStyle name="Calculation 2 3 3 2 9" xfId="15955" xr:uid="{6008FF95-ECCF-44B9-9B1C-16F41C938D4F}"/>
    <cellStyle name="Calculation 2 3 3 3" xfId="3572" xr:uid="{8FCCE77A-D652-4A51-BFB4-A358EFD6DE5E}"/>
    <cellStyle name="Calculation 2 3 3 3 2" xfId="4569" xr:uid="{518191A5-A88C-42D0-AF16-E23417C6F1CA}"/>
    <cellStyle name="Calculation 2 3 3 3 2 2" xfId="7064" xr:uid="{7FC1986E-CA87-4200-B603-AF96BB6B22DF}"/>
    <cellStyle name="Calculation 2 3 3 3 2 3" xfId="8483" xr:uid="{0A88ACD5-E5BC-47DD-B5AC-879469C948AE}"/>
    <cellStyle name="Calculation 2 3 3 3 2 4" xfId="10186" xr:uid="{DA12229D-CBD0-4DDD-B371-421BF46BD4B6}"/>
    <cellStyle name="Calculation 2 3 3 3 2 5" xfId="11682" xr:uid="{D6C62121-8E1A-4C1C-81BD-FB02E8A76037}"/>
    <cellStyle name="Calculation 2 3 3 3 2 6" xfId="13160" xr:uid="{663B09F9-F381-447C-A637-711325F46B0A}"/>
    <cellStyle name="Calculation 2 3 3 3 2 7" xfId="14829" xr:uid="{8C866B4B-FD4A-41E3-A32A-535D5C2A1FB6}"/>
    <cellStyle name="Calculation 2 3 3 3 2 8" xfId="16500" xr:uid="{62AE88BE-2C1E-486C-BBF2-3469C409C9EF}"/>
    <cellStyle name="Calculation 2 3 3 3 3" xfId="6286" xr:uid="{7A5137F1-71DB-4B2C-80C4-9B9EC155061F}"/>
    <cellStyle name="Calculation 2 3 3 3 4" xfId="5105" xr:uid="{A4FFD7E4-F8BE-4395-ACF8-6EC8120C8441}"/>
    <cellStyle name="Calculation 2 3 3 3 5" xfId="9191" xr:uid="{EE224F2E-F512-438A-8749-72A6FDD171BA}"/>
    <cellStyle name="Calculation 2 3 3 3 6" xfId="10916" xr:uid="{0E14FC2F-E84C-4DCF-A3A2-A54F895BDFB0}"/>
    <cellStyle name="Calculation 2 3 3 3 7" xfId="12183" xr:uid="{3E1A19EE-5167-42AF-AF30-AFECDB59ED7A}"/>
    <cellStyle name="Calculation 2 3 3 3 8" xfId="13834" xr:uid="{1E562A99-0324-4FD7-92A8-A7F06A2EA00B}"/>
    <cellStyle name="Calculation 2 3 3 3 9" xfId="15523" xr:uid="{743B18D7-D5BE-4C6B-95BC-189E83471A47}"/>
    <cellStyle name="Calculation 2 3 3 4" xfId="5900" xr:uid="{455A705D-F9A5-4EF8-A4CC-BEBBA9A9C784}"/>
    <cellStyle name="Calculation 2 3 4" xfId="3107" xr:uid="{58C31808-E133-48CF-9D82-D4234DA9985F}"/>
    <cellStyle name="Calculation 2 3 4 2" xfId="3987" xr:uid="{7713C947-F831-472F-9817-6C9417AABA49}"/>
    <cellStyle name="Calculation 2 3 4 2 2" xfId="4838" xr:uid="{D8AFE001-E4F6-48C8-8077-F472A4769BD6}"/>
    <cellStyle name="Calculation 2 3 4 2 2 2" xfId="7333" xr:uid="{7FF80287-AD92-40B3-B67B-5EB051F1C7B3}"/>
    <cellStyle name="Calculation 2 3 4 2 2 3" xfId="8746" xr:uid="{AD66C74F-39A3-436E-9192-4AFDF5A3D981}"/>
    <cellStyle name="Calculation 2 3 4 2 2 4" xfId="10455" xr:uid="{B508B1EB-38A7-4833-B26A-6FE8BE280DD1}"/>
    <cellStyle name="Calculation 2 3 4 2 2 5" xfId="11951" xr:uid="{DC4054E7-FF69-4DE9-8BC1-085EF1B743D8}"/>
    <cellStyle name="Calculation 2 3 4 2 2 6" xfId="13423" xr:uid="{CBDF4F8C-DAAC-44BF-B657-3A12A3F9A9CE}"/>
    <cellStyle name="Calculation 2 3 4 2 2 7" xfId="15098" xr:uid="{839BFADD-EB8E-427D-80E1-B19EF1FF9B65}"/>
    <cellStyle name="Calculation 2 3 4 2 2 8" xfId="16763" xr:uid="{8BE37667-1DC0-4466-A97F-32F467059EFD}"/>
    <cellStyle name="Calculation 2 3 4 2 3" xfId="6598" xr:uid="{D94B94E0-D170-4655-8FCD-112870288DE9}"/>
    <cellStyle name="Calculation 2 3 4 2 4" xfId="7913" xr:uid="{8829521A-0666-49B0-A85B-F199DF63234E}"/>
    <cellStyle name="Calculation 2 3 4 2 5" xfId="9606" xr:uid="{7F2AAC6B-4698-452F-9095-401FB8660A16}"/>
    <cellStyle name="Calculation 2 3 4 2 6" xfId="11225" xr:uid="{FB3C1B08-C30A-422E-8FEC-35F402FB0ADA}"/>
    <cellStyle name="Calculation 2 3 4 2 7" xfId="12592" xr:uid="{1AA0C9E4-6EF1-4ECA-A2B3-15F23B2D53E9}"/>
    <cellStyle name="Calculation 2 3 4 2 8" xfId="14249" xr:uid="{3A0AD04C-6477-47A3-92C6-EC303EB2E868}"/>
    <cellStyle name="Calculation 2 3 4 2 9" xfId="15932" xr:uid="{50A57355-DCBA-4D3D-9995-9D93F80222C9}"/>
    <cellStyle name="Calculation 2 3 4 3" xfId="3549" xr:uid="{9A157EC0-D7B2-4361-8190-DDF2384936D6}"/>
    <cellStyle name="Calculation 2 3 4 3 2" xfId="4552" xr:uid="{B274FBEA-8CB1-4BD5-91C4-268F50992835}"/>
    <cellStyle name="Calculation 2 3 4 3 2 2" xfId="7047" xr:uid="{BCFBF7FE-252B-4EA8-9F04-D254E05046EC}"/>
    <cellStyle name="Calculation 2 3 4 3 2 3" xfId="8466" xr:uid="{E55CCBA2-7288-42FF-8746-3EA9653FCB90}"/>
    <cellStyle name="Calculation 2 3 4 3 2 4" xfId="10169" xr:uid="{D2B455F0-EA7E-4BC0-B022-4FE73ABD9EE7}"/>
    <cellStyle name="Calculation 2 3 4 3 2 5" xfId="11665" xr:uid="{92A23638-2553-4EB8-A1F0-B7C8E78E8A9C}"/>
    <cellStyle name="Calculation 2 3 4 3 2 6" xfId="13143" xr:uid="{70A201B2-E4C9-437B-A378-937BB408AD67}"/>
    <cellStyle name="Calculation 2 3 4 3 2 7" xfId="14812" xr:uid="{F4602A46-966E-4FDF-B8F0-90191E418423}"/>
    <cellStyle name="Calculation 2 3 4 3 2 8" xfId="16483" xr:uid="{44624361-7E6E-46FB-A7D5-50867C3897FD}"/>
    <cellStyle name="Calculation 2 3 4 3 3" xfId="6268" xr:uid="{FAFE3C0B-DE46-4C2C-A913-33C711038BD4}"/>
    <cellStyle name="Calculation 2 3 4 3 4" xfId="5087" xr:uid="{26925A45-A400-42C4-A9C2-CDDCA19F0C35}"/>
    <cellStyle name="Calculation 2 3 4 3 5" xfId="9168" xr:uid="{5F07267F-09CE-44D4-BC83-A6C77BBDFD58}"/>
    <cellStyle name="Calculation 2 3 4 3 6" xfId="10898" xr:uid="{39A58CC1-B8E5-40C0-8342-009468F09B7B}"/>
    <cellStyle name="Calculation 2 3 4 3 7" xfId="12160" xr:uid="{7C20339A-46E2-4185-A354-E68381A2FEEA}"/>
    <cellStyle name="Calculation 2 3 4 3 8" xfId="13811" xr:uid="{AB1E38B5-48BC-4353-A5C2-FBD2D9915356}"/>
    <cellStyle name="Calculation 2 3 4 3 9" xfId="15500" xr:uid="{180E7F6D-FA1A-47BE-AA24-E73B0236250F}"/>
    <cellStyle name="Calculation 2 3 4 4" xfId="6371" xr:uid="{DAA1082A-39E6-4ADC-9A80-EB85BFFDF851}"/>
    <cellStyle name="Calculation 2 3 5" xfId="3239" xr:uid="{473CA028-8D17-4F12-AEC0-73E8F3DE0A83}"/>
    <cellStyle name="Calculation 2 3 5 2" xfId="4119" xr:uid="{07DCB8AB-E122-4187-A5BA-A12A2943CEC9}"/>
    <cellStyle name="Calculation 2 3 5 2 2" xfId="4923" xr:uid="{036FB980-00CC-43C4-920E-811CDFF2468F}"/>
    <cellStyle name="Calculation 2 3 5 2 2 2" xfId="7418" xr:uid="{72EC5F23-1CD1-44B2-BE3F-03F25896A8C3}"/>
    <cellStyle name="Calculation 2 3 5 2 2 3" xfId="8830" xr:uid="{D91ACE5C-5F9A-4E1C-ADD7-BD92644026B4}"/>
    <cellStyle name="Calculation 2 3 5 2 2 4" xfId="10540" xr:uid="{FE60DEEE-7561-49F9-9749-5B48B59796CE}"/>
    <cellStyle name="Calculation 2 3 5 2 2 5" xfId="12036" xr:uid="{3385CA94-83FB-4195-B60E-D27C1A894956}"/>
    <cellStyle name="Calculation 2 3 5 2 2 6" xfId="13507" xr:uid="{F9F9A7B2-AD7D-4AA3-96D6-454CA5092B11}"/>
    <cellStyle name="Calculation 2 3 5 2 2 7" xfId="15183" xr:uid="{0BE4BEF2-082A-4DBB-A7D8-9B773F2A4A3D}"/>
    <cellStyle name="Calculation 2 3 5 2 2 8" xfId="16847" xr:uid="{A134DEB2-719B-4610-A9AE-B060E0C20019}"/>
    <cellStyle name="Calculation 2 3 5 2 3" xfId="6694" xr:uid="{A4412A13-54E6-4E67-9086-D12738E96FDD}"/>
    <cellStyle name="Calculation 2 3 5 2 4" xfId="8044" xr:uid="{FC243CF6-6320-4429-9989-00E284BE1963}"/>
    <cellStyle name="Calculation 2 3 5 2 5" xfId="9738" xr:uid="{7201875F-7E61-4830-AF08-2DA48C2DFCA9}"/>
    <cellStyle name="Calculation 2 3 5 2 6" xfId="11322" xr:uid="{B2B5D597-F21A-43E1-9FD4-FF0600A906FC}"/>
    <cellStyle name="Calculation 2 3 5 2 7" xfId="12723" xr:uid="{BF2B0FA7-B94C-4257-9F86-171E60D40D0C}"/>
    <cellStyle name="Calculation 2 3 5 2 8" xfId="14381" xr:uid="{883E100D-3D0D-4ED1-9127-5B7A7CA06861}"/>
    <cellStyle name="Calculation 2 3 5 2 9" xfId="16063" xr:uid="{7DB1F390-EFB4-4ABA-9486-BE06E43F1CE6}"/>
    <cellStyle name="Calculation 2 3 5 3" xfId="3681" xr:uid="{27B54881-FFB8-4129-BF8D-580C4B0DD3EB}"/>
    <cellStyle name="Calculation 2 3 5 3 2" xfId="4637" xr:uid="{8FD78F7A-027F-4970-B2E3-479ACF84FEDD}"/>
    <cellStyle name="Calculation 2 3 5 3 2 2" xfId="7132" xr:uid="{97B7592C-1783-4C3F-BE58-C50FB92A5AE9}"/>
    <cellStyle name="Calculation 2 3 5 3 2 3" xfId="8550" xr:uid="{D9D4FBFC-7377-4DC3-AB90-6456ACDB82C2}"/>
    <cellStyle name="Calculation 2 3 5 3 2 4" xfId="10254" xr:uid="{1DF120C8-8C61-41D3-860C-58287B12CF51}"/>
    <cellStyle name="Calculation 2 3 5 3 2 5" xfId="11750" xr:uid="{AFA11069-48A3-4DE2-9F71-10C4B7293BDD}"/>
    <cellStyle name="Calculation 2 3 5 3 2 6" xfId="13227" xr:uid="{C2C8E646-E6FB-473D-AD05-730F2E714532}"/>
    <cellStyle name="Calculation 2 3 5 3 2 7" xfId="14897" xr:uid="{B391C80B-BE19-4877-A7EC-192CD630E984}"/>
    <cellStyle name="Calculation 2 3 5 3 2 8" xfId="16567" xr:uid="{D6A687D5-C467-44BE-A098-93744140E46D}"/>
    <cellStyle name="Calculation 2 3 5 3 3" xfId="6368" xr:uid="{148E9806-0C3F-4457-9179-77636211C8C5}"/>
    <cellStyle name="Calculation 2 3 5 3 4" xfId="7612" xr:uid="{AAA3CB00-799C-4559-853D-3187D368593E}"/>
    <cellStyle name="Calculation 2 3 5 3 5" xfId="9300" xr:uid="{EB901A50-0607-4EFD-8228-DA6B3B574858}"/>
    <cellStyle name="Calculation 2 3 5 3 6" xfId="10995" xr:uid="{C58DD6C8-535E-4737-97C3-4EE4ED5767F6}"/>
    <cellStyle name="Calculation 2 3 5 3 7" xfId="12291" xr:uid="{69F19FD1-3BDE-4908-9D15-8CE8DBFC6D32}"/>
    <cellStyle name="Calculation 2 3 5 3 8" xfId="13943" xr:uid="{123BA17E-B443-494B-9737-E31E54C7EAA8}"/>
    <cellStyle name="Calculation 2 3 5 3 9" xfId="15631" xr:uid="{83F7107A-92D3-423B-A6E8-C8B36E5DBF5D}"/>
    <cellStyle name="Calculation 2 3 5 4" xfId="5945" xr:uid="{1943753F-3EC4-49EE-BFBB-BD78657120A2}"/>
    <cellStyle name="Calculation 2 3 6" xfId="3096" xr:uid="{4C672EAE-31C6-4529-8412-F82A580B181E}"/>
    <cellStyle name="Calculation 2 3 6 10" xfId="5450" xr:uid="{4815A1A4-5A35-4A34-863D-DCF5CFF7AB88}"/>
    <cellStyle name="Calculation 2 3 6 2" xfId="3976" xr:uid="{61A699F7-5BBA-4848-A973-40CA08374D1F}"/>
    <cellStyle name="Calculation 2 3 6 2 2" xfId="4831" xr:uid="{9622BE74-2887-4841-B8B4-9A7EF5CFDB20}"/>
    <cellStyle name="Calculation 2 3 6 2 2 2" xfId="7326" xr:uid="{6C582BC5-E466-4B03-93DA-0EC48B6988A1}"/>
    <cellStyle name="Calculation 2 3 6 2 2 3" xfId="8739" xr:uid="{091856D1-4955-47E8-8EEE-A53139A5F464}"/>
    <cellStyle name="Calculation 2 3 6 2 2 4" xfId="10448" xr:uid="{ADDC1042-3175-4470-8D18-F80466BDBCFF}"/>
    <cellStyle name="Calculation 2 3 6 2 2 5" xfId="11944" xr:uid="{45E3E3A9-C4BA-470D-98D6-A3FA7069D891}"/>
    <cellStyle name="Calculation 2 3 6 2 2 6" xfId="13416" xr:uid="{8A2CC450-6815-4B04-9EDD-CA1E0A8F086E}"/>
    <cellStyle name="Calculation 2 3 6 2 2 7" xfId="15091" xr:uid="{39CFD7B3-0565-4092-909A-A2BC2130A053}"/>
    <cellStyle name="Calculation 2 3 6 2 2 8" xfId="16756" xr:uid="{8A27A2EB-3D98-4019-893B-9661E449A3E2}"/>
    <cellStyle name="Calculation 2 3 6 2 3" xfId="6591" xr:uid="{4650EEF7-5C4F-404D-9BB9-7C4931277F0D}"/>
    <cellStyle name="Calculation 2 3 6 2 4" xfId="7902" xr:uid="{63EB5102-1B66-48CA-95A5-BCD80E4AD372}"/>
    <cellStyle name="Calculation 2 3 6 2 5" xfId="9595" xr:uid="{59E9F069-5910-409B-9480-5CFBEA9BA0EB}"/>
    <cellStyle name="Calculation 2 3 6 2 6" xfId="11218" xr:uid="{A24E18E3-FC46-41A4-850B-159E18F22404}"/>
    <cellStyle name="Calculation 2 3 6 2 7" xfId="12581" xr:uid="{05B7BEA6-91CA-4648-882E-4BA998A5C1E7}"/>
    <cellStyle name="Calculation 2 3 6 2 8" xfId="14238" xr:uid="{B86B048F-E2E9-4A6B-A109-E02D4ED5982B}"/>
    <cellStyle name="Calculation 2 3 6 2 9" xfId="15921" xr:uid="{6367A991-7684-441B-90C8-475E8A64C3E5}"/>
    <cellStyle name="Calculation 2 3 6 3" xfId="3538" xr:uid="{4AAECEB8-B7B0-4D69-AA3B-66078CC88AF7}"/>
    <cellStyle name="Calculation 2 3 6 3 2" xfId="4545" xr:uid="{3D25D260-D1E8-4F45-8CC4-A19675FC8423}"/>
    <cellStyle name="Calculation 2 3 6 3 2 2" xfId="7040" xr:uid="{97636006-D75F-44EE-AA5F-043C4A869C64}"/>
    <cellStyle name="Calculation 2 3 6 3 2 3" xfId="8459" xr:uid="{1A5F3265-9C1F-41EE-A338-09F70300E416}"/>
    <cellStyle name="Calculation 2 3 6 3 2 4" xfId="10162" xr:uid="{C68F44A0-B429-4738-9D7D-785C223E15BC}"/>
    <cellStyle name="Calculation 2 3 6 3 2 5" xfId="11658" xr:uid="{5F4A140D-9741-4EAE-B8CD-456A34C17BC3}"/>
    <cellStyle name="Calculation 2 3 6 3 2 6" xfId="13136" xr:uid="{86D04CD7-EA0B-4DB6-82DD-F41D4B898566}"/>
    <cellStyle name="Calculation 2 3 6 3 2 7" xfId="14805" xr:uid="{16B43D10-C00D-44B1-A9ED-1F027E7B2C51}"/>
    <cellStyle name="Calculation 2 3 6 3 2 8" xfId="16476" xr:uid="{E5CA1AB1-F687-4575-8DFE-31AC3122D69E}"/>
    <cellStyle name="Calculation 2 3 6 3 3" xfId="6260" xr:uid="{4F5F69DC-B247-4371-897C-5F79BF7AB217}"/>
    <cellStyle name="Calculation 2 3 6 3 4" xfId="5131" xr:uid="{7E5606E7-F13E-4B99-A941-A3B7833DA3CF}"/>
    <cellStyle name="Calculation 2 3 6 3 5" xfId="9157" xr:uid="{6B800841-BBB4-48DD-A1D7-F999EF41C619}"/>
    <cellStyle name="Calculation 2 3 6 3 6" xfId="10890" xr:uid="{98964F49-5C26-4E39-9166-E162D2491C2E}"/>
    <cellStyle name="Calculation 2 3 6 3 7" xfId="12149" xr:uid="{3DF05040-F0A9-45E4-8A40-5DEA7E03DDFB}"/>
    <cellStyle name="Calculation 2 3 6 3 8" xfId="13800" xr:uid="{A687CBAB-2522-49AD-9135-B07A3490DC3E}"/>
    <cellStyle name="Calculation 2 3 6 3 9" xfId="15489" xr:uid="{C00D6938-6826-4625-A78D-EB0C6269BAE8}"/>
    <cellStyle name="Calculation 2 3 6 4" xfId="4323" xr:uid="{C2DB0E7E-F412-4CCD-8F2B-DB87400C7D1D}"/>
    <cellStyle name="Calculation 2 3 6 4 2" xfId="6846" xr:uid="{F17CC1FE-C0D2-482C-9970-2CB1D3252ADB}"/>
    <cellStyle name="Calculation 2 3 6 4 3" xfId="8243" xr:uid="{8F0DD35A-C53D-4B77-9236-0F14C762E751}"/>
    <cellStyle name="Calculation 2 3 6 4 4" xfId="9940" xr:uid="{6726738D-D90C-4536-907C-92BF93F5F230}"/>
    <cellStyle name="Calculation 2 3 6 4 5" xfId="11465" xr:uid="{7FFEA556-C3A5-4FA2-88D1-8B8AB2F16AB1}"/>
    <cellStyle name="Calculation 2 3 6 4 6" xfId="12920" xr:uid="{C7FC75CD-D554-482A-AB21-94207DE90D8A}"/>
    <cellStyle name="Calculation 2 3 6 4 7" xfId="14583" xr:uid="{9E956B6B-F610-4A56-91BD-3C9790658F5A}"/>
    <cellStyle name="Calculation 2 3 6 4 8" xfId="16260" xr:uid="{95043350-C768-4383-BBC5-5DF118EAE835}"/>
    <cellStyle name="Calculation 2 3 6 5" xfId="5967" xr:uid="{8EBB7271-6FD8-40E3-9C88-B82C9D846061}"/>
    <cellStyle name="Calculation 2 3 6 6" xfId="5632" xr:uid="{783E319F-28B6-4AE3-8F63-2D38B2661E07}"/>
    <cellStyle name="Calculation 2 3 6 7" xfId="6323" xr:uid="{3CDE5E0C-5F99-478C-A917-2AB8D77AC603}"/>
    <cellStyle name="Calculation 2 3 6 8" xfId="5398" xr:uid="{78767EE0-7BC2-4060-A8C2-3BD4F735B325}"/>
    <cellStyle name="Calculation 2 3 6 9" xfId="5555" xr:uid="{E81C62E4-5049-4698-A929-559D7384FBCC}"/>
    <cellStyle name="Calculation 2 3 7" xfId="3024" xr:uid="{4DC3C1BE-727A-4CB9-B640-74DFAD129AE9}"/>
    <cellStyle name="Calculation 2 3 7 10" xfId="5471" xr:uid="{EC5279C8-6647-4119-973A-ED13E1D017EE}"/>
    <cellStyle name="Calculation 2 3 7 2" xfId="3904" xr:uid="{519706C5-2510-4E64-B6A8-3A0724DBBF06}"/>
    <cellStyle name="Calculation 2 3 7 2 2" xfId="4781" xr:uid="{6AC11B99-4255-4695-880A-297091ED0459}"/>
    <cellStyle name="Calculation 2 3 7 2 2 2" xfId="7276" xr:uid="{D57A4F7F-FBDB-4FCE-B03C-C1A6D9809031}"/>
    <cellStyle name="Calculation 2 3 7 2 2 3" xfId="8691" xr:uid="{ABB14BC1-C817-41D1-B438-77358ED9A4E1}"/>
    <cellStyle name="Calculation 2 3 7 2 2 4" xfId="10398" xr:uid="{6F405150-C4B6-4481-B8EE-4CF5CBCA79EE}"/>
    <cellStyle name="Calculation 2 3 7 2 2 5" xfId="11894" xr:uid="{7F6952D0-9CA2-4E2B-AED2-DFEA53797BE8}"/>
    <cellStyle name="Calculation 2 3 7 2 2 6" xfId="13368" xr:uid="{C12FA66C-7369-402B-8356-288C8151E768}"/>
    <cellStyle name="Calculation 2 3 7 2 2 7" xfId="15041" xr:uid="{4BD203FC-11B4-490F-9369-6FD05575562F}"/>
    <cellStyle name="Calculation 2 3 7 2 2 8" xfId="16708" xr:uid="{47C3DC02-5FFB-490A-BA57-7E9C4E5325F6}"/>
    <cellStyle name="Calculation 2 3 7 2 3" xfId="6535" xr:uid="{91873BB4-A596-43FB-B2B6-30F88045045A}"/>
    <cellStyle name="Calculation 2 3 7 2 4" xfId="7832" xr:uid="{4E61DE82-EBA9-43B6-B29F-6AC95EAA83FC}"/>
    <cellStyle name="Calculation 2 3 7 2 5" xfId="9523" xr:uid="{E27749B8-A678-4436-A1B8-118819E6ECE3}"/>
    <cellStyle name="Calculation 2 3 7 2 6" xfId="11166" xr:uid="{4E35D5FD-1BAE-46E1-8489-5256D5596E39}"/>
    <cellStyle name="Calculation 2 3 7 2 7" xfId="12511" xr:uid="{EF31F89F-B8E2-4AC7-A668-EBE82ACB90D9}"/>
    <cellStyle name="Calculation 2 3 7 2 8" xfId="14166" xr:uid="{317A3B00-C731-47AE-94FE-1481E0AAC769}"/>
    <cellStyle name="Calculation 2 3 7 2 9" xfId="15851" xr:uid="{D0634DCC-D901-4EE0-945B-651AF4AC3BAF}"/>
    <cellStyle name="Calculation 2 3 7 3" xfId="3466" xr:uid="{AEDD0CE6-C1D8-4083-AA03-821035A92720}"/>
    <cellStyle name="Calculation 2 3 7 3 2" xfId="4495" xr:uid="{2B4AE332-A7CE-480C-B13E-B5BF204AC3F0}"/>
    <cellStyle name="Calculation 2 3 7 3 2 2" xfId="6990" xr:uid="{A818E78B-06A7-4004-A2E8-387E1786CE58}"/>
    <cellStyle name="Calculation 2 3 7 3 2 3" xfId="8411" xr:uid="{4098FCFF-459C-40C3-8BC3-8CDB5105DEDD}"/>
    <cellStyle name="Calculation 2 3 7 3 2 4" xfId="10112" xr:uid="{BF625EDD-5999-4BE6-9DE8-356671E0B99C}"/>
    <cellStyle name="Calculation 2 3 7 3 2 5" xfId="11608" xr:uid="{31E34BA5-6F0A-47F3-9009-CB4516C29B70}"/>
    <cellStyle name="Calculation 2 3 7 3 2 6" xfId="13088" xr:uid="{88185354-7719-4F20-9A07-9131B5D6DCD9}"/>
    <cellStyle name="Calculation 2 3 7 3 2 7" xfId="14755" xr:uid="{C099A2ED-CE83-4EE1-9EAD-4B47CD9EE6BD}"/>
    <cellStyle name="Calculation 2 3 7 3 2 8" xfId="16428" xr:uid="{0FD47574-88F5-423D-999B-A771F40E0B29}"/>
    <cellStyle name="Calculation 2 3 7 3 3" xfId="6203" xr:uid="{F74288F5-0EDB-4ACB-8D46-89BF742D8AB1}"/>
    <cellStyle name="Calculation 2 3 7 3 4" xfId="5180" xr:uid="{81552274-DBBF-4092-BBB6-2B21C7DF07F0}"/>
    <cellStyle name="Calculation 2 3 7 3 5" xfId="9085" xr:uid="{B5CF933E-DDBD-4DE1-BE45-407D9D2BA386}"/>
    <cellStyle name="Calculation 2 3 7 3 6" xfId="10837" xr:uid="{EFB0B637-864B-4883-A0FB-19B3DD829B4A}"/>
    <cellStyle name="Calculation 2 3 7 3 7" xfId="6766" xr:uid="{3BFF10E2-DD2D-42CE-BFED-2D25CFAC8F7D}"/>
    <cellStyle name="Calculation 2 3 7 3 8" xfId="13728" xr:uid="{ED1BD9FB-89E2-4469-A43D-16CA436DC452}"/>
    <cellStyle name="Calculation 2 3 7 3 9" xfId="15419" xr:uid="{61569A04-1749-43C8-BFC3-21D43DE1C618}"/>
    <cellStyle name="Calculation 2 3 7 4" xfId="4277" xr:uid="{21450F7C-5E57-4DB1-997A-643ACBC26C3F}"/>
    <cellStyle name="Calculation 2 3 7 4 2" xfId="6810" xr:uid="{0E3E4032-911E-40C2-972A-626F4722408D}"/>
    <cellStyle name="Calculation 2 3 7 4 3" xfId="8199" xr:uid="{AEA59B5C-4912-41E6-92B0-99BD7FBB107A}"/>
    <cellStyle name="Calculation 2 3 7 4 4" xfId="9894" xr:uid="{08809B04-7043-4550-8F29-4BB99499BD9D}"/>
    <cellStyle name="Calculation 2 3 7 4 5" xfId="11430" xr:uid="{76A48B46-98E0-4EAF-8F5C-A14CF0A12D70}"/>
    <cellStyle name="Calculation 2 3 7 4 6" xfId="12876" xr:uid="{96B04B8F-133E-4434-81EC-66721BD8CC46}"/>
    <cellStyle name="Calculation 2 3 7 4 7" xfId="14537" xr:uid="{4EA51DCA-D03B-47A3-B5C9-A24D0B6EC3C1}"/>
    <cellStyle name="Calculation 2 3 7 4 8" xfId="16216" xr:uid="{AA72FF46-F849-4739-A123-6C18E9D85C92}"/>
    <cellStyle name="Calculation 2 3 7 5" xfId="5911" xr:uid="{CFCEE98D-9370-41DC-997A-04B93A9C111C}"/>
    <cellStyle name="Calculation 2 3 7 6" xfId="5748" xr:uid="{DBBE5234-5C81-40D2-B0B9-BEFA78CF2B9A}"/>
    <cellStyle name="Calculation 2 3 7 7" xfId="5797" xr:uid="{D8DA6631-92A8-4571-ADE2-220A0C626257}"/>
    <cellStyle name="Calculation 2 3 7 8" xfId="5403" xr:uid="{EF0119AA-859D-40D3-9C08-78797DE08FAD}"/>
    <cellStyle name="Calculation 2 3 7 9" xfId="5873" xr:uid="{E01985CA-1683-4EA2-B0E1-ABB6D0FA2918}"/>
    <cellStyle name="Calculation 2 3 8" xfId="3041" xr:uid="{539197B3-A6E6-412F-A285-4B23534C00D6}"/>
    <cellStyle name="Calculation 2 3 8 10" xfId="10990" xr:uid="{8FA5578F-75D8-4AD9-A11A-567E2CB9C37E}"/>
    <cellStyle name="Calculation 2 3 8 2" xfId="3921" xr:uid="{574EF901-DDC9-44A6-A209-F786CB881923}"/>
    <cellStyle name="Calculation 2 3 8 2 2" xfId="4794" xr:uid="{7A0BB547-9193-4B4C-A5CB-F47F0B491B62}"/>
    <cellStyle name="Calculation 2 3 8 2 2 2" xfId="7289" xr:uid="{6761C0D5-3B26-4A78-9432-51962FEF6182}"/>
    <cellStyle name="Calculation 2 3 8 2 2 3" xfId="8704" xr:uid="{C0262422-59B0-4E66-89A5-EF7F3C7550B7}"/>
    <cellStyle name="Calculation 2 3 8 2 2 4" xfId="10411" xr:uid="{1764BE55-F77C-42B3-BD98-EE3BA31035C9}"/>
    <cellStyle name="Calculation 2 3 8 2 2 5" xfId="11907" xr:uid="{35DF111C-DF0E-427B-9F0B-3273965F25F3}"/>
    <cellStyle name="Calculation 2 3 8 2 2 6" xfId="13381" xr:uid="{7615A17F-E24C-48BD-ACD8-3F6131229CE8}"/>
    <cellStyle name="Calculation 2 3 8 2 2 7" xfId="15054" xr:uid="{CAFA81CC-F2CE-47DE-9B11-63CCA3EA16CC}"/>
    <cellStyle name="Calculation 2 3 8 2 2 8" xfId="16721" xr:uid="{C835C3C5-059E-48B8-89D2-90AF83102E83}"/>
    <cellStyle name="Calculation 2 3 8 2 3" xfId="6549" xr:uid="{6DAE8BFF-742D-4865-BB33-25DFE679DB47}"/>
    <cellStyle name="Calculation 2 3 8 2 4" xfId="7849" xr:uid="{5D820214-25FC-4A8B-B80F-4F785B502465}"/>
    <cellStyle name="Calculation 2 3 8 2 5" xfId="9540" xr:uid="{9F5C79FD-0CAE-4F90-B29E-0F6FC4A6F04D}"/>
    <cellStyle name="Calculation 2 3 8 2 6" xfId="11180" xr:uid="{02CBB005-075D-4F73-8E1D-2896FDA11B8C}"/>
    <cellStyle name="Calculation 2 3 8 2 7" xfId="12528" xr:uid="{35F14C05-6EE8-4031-9752-5854094E7FF0}"/>
    <cellStyle name="Calculation 2 3 8 2 8" xfId="14183" xr:uid="{DA7FA2DB-1F3A-48B8-95D2-E93B94B8FDB6}"/>
    <cellStyle name="Calculation 2 3 8 2 9" xfId="15868" xr:uid="{6845D7CE-0ADA-4B3A-A75B-4A023372057A}"/>
    <cellStyle name="Calculation 2 3 8 3" xfId="3483" xr:uid="{66DA488F-990B-468A-85AC-C53A35EC4D09}"/>
    <cellStyle name="Calculation 2 3 8 3 2" xfId="4508" xr:uid="{F68EE818-D759-497C-BB3D-E33B35CFD47A}"/>
    <cellStyle name="Calculation 2 3 8 3 2 2" xfId="7003" xr:uid="{D893ED22-EB87-48BE-BF1E-40581F92BD9A}"/>
    <cellStyle name="Calculation 2 3 8 3 2 3" xfId="8424" xr:uid="{88090D2C-5745-4D93-9785-2ADD39376FC3}"/>
    <cellStyle name="Calculation 2 3 8 3 2 4" xfId="10125" xr:uid="{6AA5377A-35D6-4BB5-B0A1-21B0190E06F1}"/>
    <cellStyle name="Calculation 2 3 8 3 2 5" xfId="11621" xr:uid="{757CFE34-ABAC-4437-B579-4754C5E75370}"/>
    <cellStyle name="Calculation 2 3 8 3 2 6" xfId="13101" xr:uid="{50D42A10-AFFE-4CE3-A9F3-0CA09908E33A}"/>
    <cellStyle name="Calculation 2 3 8 3 2 7" xfId="14768" xr:uid="{1002D84C-587C-4686-971E-06B865D6ED46}"/>
    <cellStyle name="Calculation 2 3 8 3 2 8" xfId="16441" xr:uid="{549830D3-1136-4C93-94DF-86E6A9E2F693}"/>
    <cellStyle name="Calculation 2 3 8 3 3" xfId="6216" xr:uid="{5E1676C2-88F3-43E1-A2F9-CDA7FDDB0A97}"/>
    <cellStyle name="Calculation 2 3 8 3 4" xfId="5171" xr:uid="{6479B1E2-B4BA-4B95-BCCA-FBF6341577FC}"/>
    <cellStyle name="Calculation 2 3 8 3 5" xfId="9102" xr:uid="{06F9C0C0-98EB-44F8-A385-4CA9FC51BD4E}"/>
    <cellStyle name="Calculation 2 3 8 3 6" xfId="10851" xr:uid="{06198B08-1F0A-42E7-BB8C-B577A75A745D}"/>
    <cellStyle name="Calculation 2 3 8 3 7" xfId="5345" xr:uid="{719DDD82-AC14-439D-888C-16DC605013F8}"/>
    <cellStyle name="Calculation 2 3 8 3 8" xfId="13745" xr:uid="{69DEB56C-D42A-4D07-B653-1F0B289E64F3}"/>
    <cellStyle name="Calculation 2 3 8 3 9" xfId="15436" xr:uid="{7DE564DD-94E2-40F3-B604-B3D63576E0D9}"/>
    <cellStyle name="Calculation 2 3 8 4" xfId="4290" xr:uid="{FA08C5FD-E6E4-4D6E-BED5-F4CBB6AA01AA}"/>
    <cellStyle name="Calculation 2 3 8 4 2" xfId="6820" xr:uid="{99BB70E8-7371-426E-957B-72FE0AEB9F10}"/>
    <cellStyle name="Calculation 2 3 8 4 3" xfId="8212" xr:uid="{73F76ADC-1ACC-49F9-A325-21D86284AA0D}"/>
    <cellStyle name="Calculation 2 3 8 4 4" xfId="9907" xr:uid="{D0917FAD-F2F9-4711-A477-81E9D0519AA1}"/>
    <cellStyle name="Calculation 2 3 8 4 5" xfId="11440" xr:uid="{FFE8A481-02E4-4CA0-A955-C681F2F7D39C}"/>
    <cellStyle name="Calculation 2 3 8 4 6" xfId="12889" xr:uid="{7352FDF5-C8D4-4B12-875C-4E2DA2B47B79}"/>
    <cellStyle name="Calculation 2 3 8 4 7" xfId="14550" xr:uid="{AAB99193-AC88-4C85-A341-05E4F01527D9}"/>
    <cellStyle name="Calculation 2 3 8 4 8" xfId="16229" xr:uid="{975CA96D-3A4C-4342-B427-C6EE97C79331}"/>
    <cellStyle name="Calculation 2 3 8 5" xfId="5925" xr:uid="{32B885BF-2CEC-4C28-A06F-557E9F07C35B}"/>
    <cellStyle name="Calculation 2 3 8 6" xfId="5685" xr:uid="{D40A5CC5-A357-41A1-9C11-4F0D62A2B6F4}"/>
    <cellStyle name="Calculation 2 3 8 7" xfId="5906" xr:uid="{78251230-1178-47DB-A527-4470745708F4}"/>
    <cellStyle name="Calculation 2 3 8 8" xfId="5859" xr:uid="{DFB25740-A2A9-4C2D-B557-F8F43204FD7D}"/>
    <cellStyle name="Calculation 2 3 8 9" xfId="5050" xr:uid="{3F21EFDE-BF60-4811-A038-83270E2356BB}"/>
    <cellStyle name="Calculation 2 3 9" xfId="3854" xr:uid="{6986D581-D903-4EB9-938D-BDA95C49D05F}"/>
    <cellStyle name="Calculation 2 3 9 2" xfId="4749" xr:uid="{7CCE68BB-E15F-4840-8569-5681E9ACE1B0}"/>
    <cellStyle name="Calculation 2 3 9 2 2" xfId="7244" xr:uid="{0AC158D2-98E3-4A5D-AFDD-E1E4B0909D5A}"/>
    <cellStyle name="Calculation 2 3 9 2 3" xfId="8660" xr:uid="{67E1112D-0BAC-493F-A90D-44FA052AC6DD}"/>
    <cellStyle name="Calculation 2 3 9 2 4" xfId="10366" xr:uid="{7A6341D5-81CA-4512-9EF9-7721D34D42B4}"/>
    <cellStyle name="Calculation 2 3 9 2 5" xfId="11862" xr:uid="{A73E257F-BB82-43AA-A8FA-3DA2EC3B8FD4}"/>
    <cellStyle name="Calculation 2 3 9 2 6" xfId="13337" xr:uid="{E8DA5247-B36C-40DC-9948-FC47AEE12E26}"/>
    <cellStyle name="Calculation 2 3 9 2 7" xfId="15009" xr:uid="{97EEEC27-298A-4836-8BFC-1E4C43C50DB0}"/>
    <cellStyle name="Calculation 2 3 9 2 8" xfId="16677" xr:uid="{7014F3C2-E2E3-407A-997A-F6857A61CF18}"/>
    <cellStyle name="Calculation 2 3 9 3" xfId="6497" xr:uid="{3DD31A65-33D9-4617-B02F-8F57D86BD2C2}"/>
    <cellStyle name="Calculation 2 3 9 4" xfId="7783" xr:uid="{83BB4935-86C3-4BFE-8E2A-08D274F42B68}"/>
    <cellStyle name="Calculation 2 3 9 5" xfId="9473" xr:uid="{87B806ED-87DD-46D3-8FA4-73556761CD6D}"/>
    <cellStyle name="Calculation 2 3 9 6" xfId="11127" xr:uid="{B0F13A04-D2B2-4F24-B3A3-5E4B7728B55B}"/>
    <cellStyle name="Calculation 2 3 9 7" xfId="12462" xr:uid="{BDDC0040-D9EE-469F-8C05-E038F69D1772}"/>
    <cellStyle name="Calculation 2 3 9 8" xfId="14116" xr:uid="{8DD924AC-EFB2-470B-813A-410456F8FB5F}"/>
    <cellStyle name="Calculation 2 3 9 9" xfId="15802" xr:uid="{B77B966E-074C-476A-9DBA-FD0DB18EECB9}"/>
    <cellStyle name="Calculation 2 4" xfId="3050" xr:uid="{9CC9EF4D-9F4C-4E8D-826B-EC1D0B5FC3B0}"/>
    <cellStyle name="Calculation 2 4 2" xfId="3930" xr:uid="{C571CD04-AEB7-464A-B44A-3712031989CC}"/>
    <cellStyle name="Calculation 2 4 2 2" xfId="4799" xr:uid="{F4BA9D32-8F81-46B9-93F0-E2DC3892A79B}"/>
    <cellStyle name="Calculation 2 4 2 2 2" xfId="7294" xr:uid="{F9101528-F793-4555-A79F-50C9E8B31094}"/>
    <cellStyle name="Calculation 2 4 2 2 3" xfId="8709" xr:uid="{9A5927E2-EAA2-41C5-85C2-D0D6B6DF2BF6}"/>
    <cellStyle name="Calculation 2 4 2 2 4" xfId="10416" xr:uid="{7C67D643-D01C-4D4F-9AE2-E0763228E2EF}"/>
    <cellStyle name="Calculation 2 4 2 2 5" xfId="11912" xr:uid="{2FB2FBC0-86AB-4ABA-8B29-062EDA096E4C}"/>
    <cellStyle name="Calculation 2 4 2 2 6" xfId="13386" xr:uid="{6D828C7F-FC87-4AD4-8206-3A6370D70390}"/>
    <cellStyle name="Calculation 2 4 2 2 7" xfId="15059" xr:uid="{4F66457D-BB52-4A72-B15B-7133199B5FEC}"/>
    <cellStyle name="Calculation 2 4 2 2 8" xfId="16726" xr:uid="{46B38730-835B-4159-9ACA-95E9961897DB}"/>
    <cellStyle name="Calculation 2 4 2 3" xfId="6554" xr:uid="{EE268C2C-9973-4CDE-9C0E-E144A856174B}"/>
    <cellStyle name="Calculation 2 4 2 4" xfId="7858" xr:uid="{D749EC9B-EF66-4177-86E2-A31E03EFE367}"/>
    <cellStyle name="Calculation 2 4 2 5" xfId="9549" xr:uid="{90799AC7-5F4B-4FF0-984C-3F1C2C7A4F61}"/>
    <cellStyle name="Calculation 2 4 2 6" xfId="11185" xr:uid="{08F56F9A-8279-4853-9BD7-D77FC6BD7E47}"/>
    <cellStyle name="Calculation 2 4 2 7" xfId="12537" xr:uid="{A9F061E0-5F83-4919-9628-8B4EF147EC2B}"/>
    <cellStyle name="Calculation 2 4 2 8" xfId="14192" xr:uid="{E3722D05-0713-4308-8D83-781246F82F9E}"/>
    <cellStyle name="Calculation 2 4 2 9" xfId="15877" xr:uid="{2FE86C67-5C64-4F38-B76E-7F9C1080E82C}"/>
    <cellStyle name="Calculation 2 4 3" xfId="3492" xr:uid="{A14AE14E-C68D-4079-923B-AF86DEAE58A1}"/>
    <cellStyle name="Calculation 2 4 3 2" xfId="4513" xr:uid="{1F0574B7-E8BE-4FB3-8A80-892D7C73E646}"/>
    <cellStyle name="Calculation 2 4 3 2 2" xfId="7008" xr:uid="{91A4EFB7-38B1-43EC-83A0-61C83F571041}"/>
    <cellStyle name="Calculation 2 4 3 2 3" xfId="8429" xr:uid="{4A432B3F-1247-4E95-AABE-9DD9AE69CBDD}"/>
    <cellStyle name="Calculation 2 4 3 2 4" xfId="10130" xr:uid="{9A77F140-D24A-4849-AFC5-CD21FFFD2BDD}"/>
    <cellStyle name="Calculation 2 4 3 2 5" xfId="11626" xr:uid="{47FFD561-4BF1-4B2A-BC8D-BB44505EB1E2}"/>
    <cellStyle name="Calculation 2 4 3 2 6" xfId="13106" xr:uid="{D1157751-6839-436C-AEB3-3F799E4BE1F4}"/>
    <cellStyle name="Calculation 2 4 3 2 7" xfId="14773" xr:uid="{F0E6C76B-4AD4-4B44-BE9C-6F1663926117}"/>
    <cellStyle name="Calculation 2 4 3 2 8" xfId="16446" xr:uid="{3828ED6D-8BC1-47CD-B417-66092E3541E7}"/>
    <cellStyle name="Calculation 2 4 3 3" xfId="6223" xr:uid="{8A0537F4-3101-46C1-B346-37AC8E534EEA}"/>
    <cellStyle name="Calculation 2 4 3 4" xfId="5091" xr:uid="{11A9BD4B-092A-456C-AE2A-FC9533DCD8F6}"/>
    <cellStyle name="Calculation 2 4 3 5" xfId="9111" xr:uid="{20D56FD4-A416-471C-A444-E43563F31482}"/>
    <cellStyle name="Calculation 2 4 3 6" xfId="10857" xr:uid="{D6E77023-2061-481D-873C-78B2F0D799D7}"/>
    <cellStyle name="Calculation 2 4 3 7" xfId="5818" xr:uid="{486A976E-A91E-499B-A4EF-2E2159EAB19C}"/>
    <cellStyle name="Calculation 2 4 3 8" xfId="13754" xr:uid="{0CBAC1AF-5313-46F1-9317-0D1051C41F28}"/>
    <cellStyle name="Calculation 2 4 3 9" xfId="15445" xr:uid="{FB7524EF-1108-4C77-9E52-654978CD7786}"/>
    <cellStyle name="Calculation 2 4 4" xfId="5804" xr:uid="{80D3B6B4-F654-45CE-80AA-599DFBA2F734}"/>
    <cellStyle name="Calculation 2 5" xfId="3027" xr:uid="{F073C123-B4BF-4EAA-9C5F-DEE1AF154AB0}"/>
    <cellStyle name="Calculation 2 5 10" xfId="5376" xr:uid="{05644E1D-0CA7-41BF-9519-A0C65EF6D890}"/>
    <cellStyle name="Calculation 2 5 2" xfId="3907" xr:uid="{F5628FE6-324E-4F61-855E-2B9E57658891}"/>
    <cellStyle name="Calculation 2 5 2 2" xfId="4783" xr:uid="{D44B17D8-1C10-4B43-87F8-908A48371A9F}"/>
    <cellStyle name="Calculation 2 5 2 2 2" xfId="7278" xr:uid="{05D1FD73-1F55-444B-99B5-7775D0E89E62}"/>
    <cellStyle name="Calculation 2 5 2 2 3" xfId="8693" xr:uid="{F1C41358-7053-461E-81AF-D067C6B929A7}"/>
    <cellStyle name="Calculation 2 5 2 2 4" xfId="10400" xr:uid="{0D1AF604-DF98-4F61-9A07-9BF6BA955388}"/>
    <cellStyle name="Calculation 2 5 2 2 5" xfId="11896" xr:uid="{3DF85CDE-D745-445B-A707-B74F477F7C39}"/>
    <cellStyle name="Calculation 2 5 2 2 6" xfId="13370" xr:uid="{BCB10F4A-FB5B-439C-88F5-095748E60366}"/>
    <cellStyle name="Calculation 2 5 2 2 7" xfId="15043" xr:uid="{9ADA4F06-F06F-4A1E-8CB9-62B60C9C0715}"/>
    <cellStyle name="Calculation 2 5 2 2 8" xfId="16710" xr:uid="{D317587D-2E88-4C06-8925-552DAB6C7FEF}"/>
    <cellStyle name="Calculation 2 5 2 3" xfId="6537" xr:uid="{4A88E673-D158-429E-978B-95EC09908F90}"/>
    <cellStyle name="Calculation 2 5 2 4" xfId="7835" xr:uid="{E45540B3-B9B6-4D86-ADFB-BB5D53FB2442}"/>
    <cellStyle name="Calculation 2 5 2 5" xfId="9526" xr:uid="{D84CF7DC-2AF3-42EA-9A55-929FEA053B4D}"/>
    <cellStyle name="Calculation 2 5 2 6" xfId="11168" xr:uid="{7E1250AD-6004-4EFE-A16A-907C9694388C}"/>
    <cellStyle name="Calculation 2 5 2 7" xfId="12514" xr:uid="{FA9D5775-B4CC-4203-9827-FD5C567BB1E9}"/>
    <cellStyle name="Calculation 2 5 2 8" xfId="14169" xr:uid="{5945F0C4-9276-4923-96AB-395B1386E948}"/>
    <cellStyle name="Calculation 2 5 2 9" xfId="15854" xr:uid="{E0D8D863-51C0-4AFA-A780-06602156D49F}"/>
    <cellStyle name="Calculation 2 5 3" xfId="3469" xr:uid="{568ABB69-FF9D-4092-8249-A141B070A9BC}"/>
    <cellStyle name="Calculation 2 5 3 2" xfId="4497" xr:uid="{5E62814A-E1DD-433A-A965-DD5CC26F6B02}"/>
    <cellStyle name="Calculation 2 5 3 2 2" xfId="6992" xr:uid="{6A355E0E-C602-4CBF-90AD-D52968B3D46D}"/>
    <cellStyle name="Calculation 2 5 3 2 3" xfId="8413" xr:uid="{2D8C3FDC-3A6F-4BA9-B7DA-62B7AC3696B9}"/>
    <cellStyle name="Calculation 2 5 3 2 4" xfId="10114" xr:uid="{74BB9BCC-CF9C-4EBF-9D04-696B181E0915}"/>
    <cellStyle name="Calculation 2 5 3 2 5" xfId="11610" xr:uid="{F08582F4-987F-4C6D-825E-2E111DB5DA98}"/>
    <cellStyle name="Calculation 2 5 3 2 6" xfId="13090" xr:uid="{38372666-36BE-49A3-8D54-FDC8EE7BD4C4}"/>
    <cellStyle name="Calculation 2 5 3 2 7" xfId="14757" xr:uid="{ABCBC15F-94B4-40A1-A801-EAA92B070399}"/>
    <cellStyle name="Calculation 2 5 3 2 8" xfId="16430" xr:uid="{D52503B2-358A-49B2-B635-284180ED5AB6}"/>
    <cellStyle name="Calculation 2 5 3 3" xfId="6205" xr:uid="{9B9C18C3-181D-44D9-A733-896C236E5F6E}"/>
    <cellStyle name="Calculation 2 5 3 4" xfId="5177" xr:uid="{FB76121A-8F40-4C9D-8294-A931A59CDCCB}"/>
    <cellStyle name="Calculation 2 5 3 5" xfId="9088" xr:uid="{903D0D79-EA72-4AC6-8E8B-72AE51D0D88E}"/>
    <cellStyle name="Calculation 2 5 3 6" xfId="10839" xr:uid="{A70D3AA1-9E37-44D9-B7BD-2CF9708C56D8}"/>
    <cellStyle name="Calculation 2 5 3 7" xfId="5612" xr:uid="{9AB20420-9C75-4B73-A04B-EF5C7C593D43}"/>
    <cellStyle name="Calculation 2 5 3 8" xfId="13731" xr:uid="{E341534D-2B95-4834-84D8-69112E89FAB1}"/>
    <cellStyle name="Calculation 2 5 3 9" xfId="15422" xr:uid="{1EDD8BA2-B09A-4F34-AFA6-ECA55C6A4CDA}"/>
    <cellStyle name="Calculation 2 5 4" xfId="4280" xr:uid="{F0364172-AAB1-4BB2-9E8E-9855791909C9}"/>
    <cellStyle name="Calculation 2 5 4 2" xfId="6812" xr:uid="{EBE81D5A-DCE9-4745-A039-3A8FA4B905C7}"/>
    <cellStyle name="Calculation 2 5 4 3" xfId="8202" xr:uid="{2DEF879C-0691-4094-A7AC-F5E8F5DE3CA8}"/>
    <cellStyle name="Calculation 2 5 4 4" xfId="9897" xr:uid="{3B48F2B7-EACB-45F9-BDAC-8D7C37F161B7}"/>
    <cellStyle name="Calculation 2 5 4 5" xfId="11432" xr:uid="{1E4D9A92-57F3-4D86-8388-877EEE91ED3C}"/>
    <cellStyle name="Calculation 2 5 4 6" xfId="12879" xr:uid="{79360431-315B-43B8-B91E-E7D615921E5E}"/>
    <cellStyle name="Calculation 2 5 4 7" xfId="14540" xr:uid="{BB1F81C1-4A5E-4634-A45E-3979EEC7EC85}"/>
    <cellStyle name="Calculation 2 5 4 8" xfId="16219" xr:uid="{D51F2EDF-B565-45E5-A59F-FF3D8D5AA03E}"/>
    <cellStyle name="Calculation 2 5 5" xfId="5914" xr:uid="{E36F750F-E822-41BC-A73F-E693D28A34A6}"/>
    <cellStyle name="Calculation 2 5 6" xfId="5726" xr:uid="{D4768AC8-0C6F-4F5D-8AB2-AE89818AB63C}"/>
    <cellStyle name="Calculation 2 5 7" xfId="5790" xr:uid="{5AB87998-31C3-4FD2-B496-57342BBA2CD2}"/>
    <cellStyle name="Calculation 2 5 8" xfId="5075" xr:uid="{20218BF7-1C0D-4AF9-A6C9-6F86A0B9909B}"/>
    <cellStyle name="Calculation 2 5 9" xfId="5501" xr:uid="{EBE39B79-5B5A-4789-A332-A8565101C169}"/>
    <cellStyle name="Calculation 2 6" xfId="3174" xr:uid="{1370D940-9BBB-441B-AF1F-F77245948D99}"/>
    <cellStyle name="Calculation 2 6 10" xfId="6525" xr:uid="{63E52FA8-AFEB-423C-AA0E-9975BD3822E1}"/>
    <cellStyle name="Calculation 2 6 2" xfId="4054" xr:uid="{AE335421-783B-4C58-AB7B-593AB629ADF0}"/>
    <cellStyle name="Calculation 2 6 2 2" xfId="4882" xr:uid="{111C157E-B0C0-42AF-89A7-7AFD9897584C}"/>
    <cellStyle name="Calculation 2 6 2 2 2" xfId="7377" xr:uid="{F94D2AB6-866C-437A-B211-B99C43DC191F}"/>
    <cellStyle name="Calculation 2 6 2 2 3" xfId="8789" xr:uid="{10A53756-3B6F-4045-9C6C-49246446CCBA}"/>
    <cellStyle name="Calculation 2 6 2 2 4" xfId="10499" xr:uid="{85761420-1C01-460F-A4DE-21B182057160}"/>
    <cellStyle name="Calculation 2 6 2 2 5" xfId="11995" xr:uid="{0C922DCD-C900-4F86-8A77-838EB7488919}"/>
    <cellStyle name="Calculation 2 6 2 2 6" xfId="13466" xr:uid="{40A491EC-7DCA-41AF-AC24-18D5F711B3EB}"/>
    <cellStyle name="Calculation 2 6 2 2 7" xfId="15142" xr:uid="{94D9A122-BE3A-47C4-8146-DB2697464B13}"/>
    <cellStyle name="Calculation 2 6 2 2 8" xfId="16806" xr:uid="{AF9D66B8-DE43-4739-8B32-24E06CE70806}"/>
    <cellStyle name="Calculation 2 6 2 3" xfId="6648" xr:uid="{49B29935-61F4-4D24-80F1-2C63A8B1F91F}"/>
    <cellStyle name="Calculation 2 6 2 4" xfId="7979" xr:uid="{2691C3A8-DFD1-44F2-9259-AFDB1ED02ADF}"/>
    <cellStyle name="Calculation 2 6 2 5" xfId="9673" xr:uid="{09DF82D0-CA22-417E-A2DD-FD0B832DEA1C}"/>
    <cellStyle name="Calculation 2 6 2 6" xfId="11275" xr:uid="{22D1D943-E3E2-4ED7-B100-038CB683A510}"/>
    <cellStyle name="Calculation 2 6 2 7" xfId="12658" xr:uid="{0C680E2A-0630-47B5-8EFC-95F1D0C7831F}"/>
    <cellStyle name="Calculation 2 6 2 8" xfId="14316" xr:uid="{80B7946F-E08B-402E-BBA4-033682F56798}"/>
    <cellStyle name="Calculation 2 6 2 9" xfId="15998" xr:uid="{7256CFD6-19B7-4722-9BCE-CFD2BE6B3617}"/>
    <cellStyle name="Calculation 2 6 3" xfId="3616" xr:uid="{F167706C-95CB-4CEF-8964-58BFA6A111CB}"/>
    <cellStyle name="Calculation 2 6 3 2" xfId="4596" xr:uid="{0890DF2A-D673-4CEB-8D01-34227F085C0D}"/>
    <cellStyle name="Calculation 2 6 3 2 2" xfId="7091" xr:uid="{FCEFE1F1-559A-4980-BA1B-7208F1D9DF78}"/>
    <cellStyle name="Calculation 2 6 3 2 3" xfId="8509" xr:uid="{A804D50D-8029-4D82-8E62-23474F4A9085}"/>
    <cellStyle name="Calculation 2 6 3 2 4" xfId="10213" xr:uid="{3E79F9C8-C737-4060-8CA8-D33094A52F68}"/>
    <cellStyle name="Calculation 2 6 3 2 5" xfId="11709" xr:uid="{91424D77-7626-4B83-955A-53B10E29CDDB}"/>
    <cellStyle name="Calculation 2 6 3 2 6" xfId="13186" xr:uid="{C2C8079D-9C22-48ED-B16D-6B1605627EB1}"/>
    <cellStyle name="Calculation 2 6 3 2 7" xfId="14856" xr:uid="{DE1029CA-794F-4D24-8A77-4E9AB9D9652C}"/>
    <cellStyle name="Calculation 2 6 3 2 8" xfId="16526" xr:uid="{22391D12-8707-4A57-8E45-CD4011B7D3C9}"/>
    <cellStyle name="Calculation 2 6 3 3" xfId="6320" xr:uid="{FA47E6BE-535E-4C6D-A0BA-F15BFC1E7226}"/>
    <cellStyle name="Calculation 2 6 3 4" xfId="7547" xr:uid="{C477FF5D-4205-4966-BF99-B5407D44DB69}"/>
    <cellStyle name="Calculation 2 6 3 5" xfId="9235" xr:uid="{613DA15F-E740-4D48-99D6-709A425A8E3B}"/>
    <cellStyle name="Calculation 2 6 3 6" xfId="10948" xr:uid="{0168AFD4-7CB7-4179-9661-FF782F23AE3D}"/>
    <cellStyle name="Calculation 2 6 3 7" xfId="12226" xr:uid="{1F9FA0F4-D0A5-4B21-9C72-7DA806750337}"/>
    <cellStyle name="Calculation 2 6 3 8" xfId="13878" xr:uid="{EC02BC21-8640-4E01-9C9A-D0332AC09198}"/>
    <cellStyle name="Calculation 2 6 3 9" xfId="15566" xr:uid="{9D7B337D-CF69-4FD6-A539-E3D0CF820E9A}"/>
    <cellStyle name="Calculation 2 6 4" xfId="4340" xr:uid="{BDF37F50-4F69-4DDD-9C1D-B3C308F54BFF}"/>
    <cellStyle name="Calculation 2 6 4 2" xfId="6859" xr:uid="{4FD72522-D795-4CA3-B86F-FCD2962DF31C}"/>
    <cellStyle name="Calculation 2 6 4 3" xfId="8259" xr:uid="{8757CCDC-825D-4AD5-9217-EA4BC134C497}"/>
    <cellStyle name="Calculation 2 6 4 4" xfId="9957" xr:uid="{D0A66B44-A672-4572-AE54-DAE60EC251ED}"/>
    <cellStyle name="Calculation 2 6 4 5" xfId="11478" xr:uid="{8B93C3FD-A86F-49F6-AFA6-ACF5FCB2C3D4}"/>
    <cellStyle name="Calculation 2 6 4 6" xfId="12936" xr:uid="{4FC3A5A7-1B93-4ECC-BCC5-FF2E28FD9954}"/>
    <cellStyle name="Calculation 2 6 4 7" xfId="14600" xr:uid="{7B003706-E600-4714-AB9F-B40C33421057}"/>
    <cellStyle name="Calculation 2 6 4 8" xfId="16276" xr:uid="{F523B5CF-3734-4DC2-9D1A-5B262FB3FFCD}"/>
    <cellStyle name="Calculation 2 6 5" xfId="6004" xr:uid="{F67916F6-1737-4105-ABCF-09DDA57F92A2}"/>
    <cellStyle name="Calculation 2 6 6" xfId="5096" xr:uid="{9084A6CF-B65B-4231-8C9D-0ACB3D44B00F}"/>
    <cellStyle name="Calculation 2 6 7" xfId="10651" xr:uid="{A3412FF1-B61D-42F4-B73B-0500A7414EE2}"/>
    <cellStyle name="Calculation 2 6 8" xfId="5898" xr:uid="{C253888A-CDE3-4BFF-9338-E549ABA28E5B}"/>
    <cellStyle name="Calculation 2 6 9" xfId="11158" xr:uid="{90B019F7-B60D-4DBC-BB66-043013E955BE}"/>
    <cellStyle name="Calculation 2 7" xfId="3836" xr:uid="{94CBCAC3-C39C-43EC-BFB0-B89F1F141E9E}"/>
    <cellStyle name="Calculation 2 7 2" xfId="4735" xr:uid="{8F3934F8-5553-4B6A-8AE1-A28CB5F4C63F}"/>
    <cellStyle name="Calculation 2 7 2 2" xfId="7230" xr:uid="{3508C280-F9D9-4680-9F9E-32C8B1CA4DE8}"/>
    <cellStyle name="Calculation 2 7 2 3" xfId="8646" xr:uid="{6B05C02B-F2AF-44AB-AEF4-EA0577CE6CEF}"/>
    <cellStyle name="Calculation 2 7 2 4" xfId="10352" xr:uid="{1DC406E6-3C0C-4F68-90DD-048F694B272B}"/>
    <cellStyle name="Calculation 2 7 2 5" xfId="11848" xr:uid="{50189D53-F2E0-48B8-9BEF-43E57B86DF9F}"/>
    <cellStyle name="Calculation 2 7 2 6" xfId="13323" xr:uid="{99ECA2B5-A1F6-4F1C-B3B2-161170244FD4}"/>
    <cellStyle name="Calculation 2 7 2 7" xfId="14995" xr:uid="{2FA299F0-8F71-4B35-B988-7F6BFB67C8DC}"/>
    <cellStyle name="Calculation 2 7 2 8" xfId="16663" xr:uid="{D7104BEE-0A69-4A12-90F7-65D84F6FBDB4}"/>
    <cellStyle name="Calculation 2 7 3" xfId="6481" xr:uid="{ED12C595-9883-432A-A748-F2CF1111211A}"/>
    <cellStyle name="Calculation 2 7 4" xfId="7765" xr:uid="{2C1EAC9B-76EA-4AAE-952E-5B4E9E468D72}"/>
    <cellStyle name="Calculation 2 7 5" xfId="9455" xr:uid="{F5EAFD49-3CA0-4CCA-848F-D804B82A21D2}"/>
    <cellStyle name="Calculation 2 7 6" xfId="11112" xr:uid="{E8B274BC-A7EF-4283-A644-C79EBCBBB950}"/>
    <cellStyle name="Calculation 2 7 7" xfId="12444" xr:uid="{A61A7D6B-7C33-4E84-A8E8-448A34288A9B}"/>
    <cellStyle name="Calculation 2 7 8" xfId="14098" xr:uid="{1D667337-2BD2-4E37-814D-3B43AD92FCAE}"/>
    <cellStyle name="Calculation 2 7 9" xfId="15784" xr:uid="{A025BB07-3C7D-4047-A75F-CCAE21220ED9}"/>
    <cellStyle name="Calculation 2 8" xfId="3399" xr:uid="{4936E597-578F-4EEB-9BF6-E553ECC1FE64}"/>
    <cellStyle name="Calculation 2 8 2" xfId="4450" xr:uid="{FF21E51F-3F6D-4CDD-A41A-E5FF1EB8F822}"/>
    <cellStyle name="Calculation 2 8 2 2" xfId="6945" xr:uid="{0E4EEF4B-C549-4383-A658-274C800FC4C5}"/>
    <cellStyle name="Calculation 2 8 2 3" xfId="8366" xr:uid="{B60977ED-F5A7-48AE-BA88-8FCF1978910E}"/>
    <cellStyle name="Calculation 2 8 2 4" xfId="10067" xr:uid="{59F0EB67-04A6-481F-8516-4F28BAE6C85D}"/>
    <cellStyle name="Calculation 2 8 2 5" xfId="11563" xr:uid="{72CF755C-96C2-45EA-A869-1D696E1AC553}"/>
    <cellStyle name="Calculation 2 8 2 6" xfId="13043" xr:uid="{455A3F65-6FBD-4F25-B6F1-98D14ECC90F1}"/>
    <cellStyle name="Calculation 2 8 2 7" xfId="14710" xr:uid="{C8732812-9A69-4458-9617-73F178574FFD}"/>
    <cellStyle name="Calculation 2 8 2 8" xfId="16383" xr:uid="{9967394E-B510-4656-B0A8-E096BA088225}"/>
    <cellStyle name="Calculation 2 8 3" xfId="6152" xr:uid="{38EBB687-2DD4-452B-823B-9C72087D1D83}"/>
    <cellStyle name="Calculation 2 8 4" xfId="5890" xr:uid="{116F7262-3F12-409D-BFD7-B22D3CE29656}"/>
    <cellStyle name="Calculation 2 8 5" xfId="9018" xr:uid="{5CB7303B-8BD6-426F-9DC8-C4F217595A06}"/>
    <cellStyle name="Calculation 2 8 6" xfId="10785" xr:uid="{4C0C7DC7-A3BB-4482-A32C-F307256CB72B}"/>
    <cellStyle name="Calculation 2 8 7" xfId="5596" xr:uid="{DFCBC749-AAD0-43DD-B425-D9B5D53EF4B8}"/>
    <cellStyle name="Calculation 2 8 8" xfId="13661" xr:uid="{EF624E51-454D-4257-883B-302041250D67}"/>
    <cellStyle name="Calculation 2 8 9" xfId="15352" xr:uid="{7A46AE4D-E604-40C9-8098-A0147FB48466}"/>
    <cellStyle name="Calculation 2 9" xfId="6909" xr:uid="{5DD625FD-FDCD-4D70-BE61-84D0F07415AE}"/>
    <cellStyle name="Calculation 3" xfId="385" xr:uid="{0A671FB2-6CE5-4806-8343-629F32FBE114}"/>
    <cellStyle name="Calculation 3 10" xfId="5604" xr:uid="{09067FB4-64C8-4788-B3C8-4D54AD1157A0}"/>
    <cellStyle name="Calculation 3 2" xfId="2991" xr:uid="{42EDB2A1-242F-41C4-88A2-B2280A0B0FC2}"/>
    <cellStyle name="Calculation 3 2 10" xfId="3436" xr:uid="{6185D476-62B2-4C2C-AC2B-324A9C7D7063}"/>
    <cellStyle name="Calculation 3 2 10 2" xfId="4479" xr:uid="{433EE1BE-8553-4EBB-987E-5A038447B5C3}"/>
    <cellStyle name="Calculation 3 2 10 2 2" xfId="6974" xr:uid="{23FB7699-E39A-48B3-8F51-F1A015EB167A}"/>
    <cellStyle name="Calculation 3 2 10 2 3" xfId="8395" xr:uid="{F23BC3F3-C78B-4286-B40A-89D438866485}"/>
    <cellStyle name="Calculation 3 2 10 2 4" xfId="10096" xr:uid="{EE8501DD-78F6-4131-896E-250EB0A9A1A2}"/>
    <cellStyle name="Calculation 3 2 10 2 5" xfId="11592" xr:uid="{5D4422D6-7668-4DC9-B227-9615501E3082}"/>
    <cellStyle name="Calculation 3 2 10 2 6" xfId="13072" xr:uid="{3A91BAF3-EDCA-4B23-9E96-E7DE08E134DF}"/>
    <cellStyle name="Calculation 3 2 10 2 7" xfId="14739" xr:uid="{0C8FAB7D-5675-45D9-AD4A-E80B02C1B10A}"/>
    <cellStyle name="Calculation 3 2 10 2 8" xfId="16412" xr:uid="{BEB6BABD-C781-4336-8E25-42A40EF15637}"/>
    <cellStyle name="Calculation 3 2 10 3" xfId="6183" xr:uid="{4E0C8722-8386-472C-B2B8-FCED709BE4EF}"/>
    <cellStyle name="Calculation 3 2 10 4" xfId="5204" xr:uid="{B1C229D5-6D86-4D69-97E5-EF27AEFD3F63}"/>
    <cellStyle name="Calculation 3 2 10 5" xfId="9055" xr:uid="{70F04B64-6C52-49D9-BA92-927726CD0997}"/>
    <cellStyle name="Calculation 3 2 10 6" xfId="10817" xr:uid="{07B45269-E5D6-479E-9154-D9FF03155202}"/>
    <cellStyle name="Calculation 3 2 10 7" xfId="5328" xr:uid="{C078D912-B18B-4373-9DBD-C8D955BB65AC}"/>
    <cellStyle name="Calculation 3 2 10 8" xfId="13698" xr:uid="{2EF96D71-D7D3-42FA-9295-BE86AF9555FB}"/>
    <cellStyle name="Calculation 3 2 10 9" xfId="15389" xr:uid="{89690059-F0BC-4547-839F-5F571FBFAA50}"/>
    <cellStyle name="Calculation 3 2 11" xfId="5826" xr:uid="{6E8DFC92-2976-4057-AF1E-4CE88F7DAD0E}"/>
    <cellStyle name="Calculation 3 2 12" xfId="6526" xr:uid="{1D404055-223B-4DA5-B3B2-F95C01E04C06}"/>
    <cellStyle name="Calculation 3 2 2" xfId="3277" xr:uid="{F9C19BA9-7C2C-4C1E-A4A4-06F11FFA5668}"/>
    <cellStyle name="Calculation 3 2 2 2" xfId="4157" xr:uid="{815ABC23-B2A1-425D-B76D-3617962F6F35}"/>
    <cellStyle name="Calculation 3 2 2 2 2" xfId="4950" xr:uid="{C8075E21-2D9E-481B-A974-CF8D4D0921EC}"/>
    <cellStyle name="Calculation 3 2 2 2 2 2" xfId="7445" xr:uid="{5B038506-DC74-4572-A150-B5ED2A731F8E}"/>
    <cellStyle name="Calculation 3 2 2 2 2 3" xfId="8857" xr:uid="{E4F8D290-4C80-4B63-9878-A059E633326E}"/>
    <cellStyle name="Calculation 3 2 2 2 2 4" xfId="10567" xr:uid="{F470A5EC-5BC8-495D-A471-84949B5C665A}"/>
    <cellStyle name="Calculation 3 2 2 2 2 5" xfId="12063" xr:uid="{88D8399C-60C4-403A-B709-0D6ABDC71DCA}"/>
    <cellStyle name="Calculation 3 2 2 2 2 6" xfId="13534" xr:uid="{189D9DDD-C547-44F3-A4BF-2442A723E8EA}"/>
    <cellStyle name="Calculation 3 2 2 2 2 7" xfId="15210" xr:uid="{B90E49C3-4DA5-4718-84C0-2E6F1F4B8A90}"/>
    <cellStyle name="Calculation 3 2 2 2 2 8" xfId="16874" xr:uid="{7C845182-7CC9-427B-B669-C5BEBA245753}"/>
    <cellStyle name="Calculation 3 2 2 2 3" xfId="6725" xr:uid="{54D3A3E6-79DC-42C3-9B40-89463B598546}"/>
    <cellStyle name="Calculation 3 2 2 2 4" xfId="8082" xr:uid="{8153CCD4-2447-4DCD-B0B2-CC45D22B10B8}"/>
    <cellStyle name="Calculation 3 2 2 2 5" xfId="9776" xr:uid="{EC48D95A-80BC-4BD6-BE35-F02253B00595}"/>
    <cellStyle name="Calculation 3 2 2 2 6" xfId="11352" xr:uid="{47674B55-34ED-483B-8E65-099C887FBAB0}"/>
    <cellStyle name="Calculation 3 2 2 2 7" xfId="12761" xr:uid="{6C018157-6A83-4FE9-A140-699302451E19}"/>
    <cellStyle name="Calculation 3 2 2 2 8" xfId="14419" xr:uid="{3966734A-5E12-47FC-92A8-6DA5586A6DD4}"/>
    <cellStyle name="Calculation 3 2 2 2 9" xfId="16101" xr:uid="{79868129-60FF-4BDE-81B1-0F216EE3E5DE}"/>
    <cellStyle name="Calculation 3 2 2 3" xfId="3719" xr:uid="{57B68FE6-BE23-409B-BD7A-A3130ED372D7}"/>
    <cellStyle name="Calculation 3 2 2 3 2" xfId="4664" xr:uid="{1302AC78-5130-4EBF-9C73-635BA25A5146}"/>
    <cellStyle name="Calculation 3 2 2 3 2 2" xfId="7159" xr:uid="{FD1EFC0B-D344-4223-96C4-61EEEF71DE37}"/>
    <cellStyle name="Calculation 3 2 2 3 2 3" xfId="8577" xr:uid="{AC43F4D7-E835-418F-8251-19B0C671DFC9}"/>
    <cellStyle name="Calculation 3 2 2 3 2 4" xfId="10281" xr:uid="{E3B340EE-8E1F-4F5D-8424-E8720E06E339}"/>
    <cellStyle name="Calculation 3 2 2 3 2 5" xfId="11777" xr:uid="{C42E5B98-90C9-4FCB-B4FF-36A1C748AEF6}"/>
    <cellStyle name="Calculation 3 2 2 3 2 6" xfId="13254" xr:uid="{9454B544-B122-40C9-B1D8-17CAB426D524}"/>
    <cellStyle name="Calculation 3 2 2 3 2 7" xfId="14924" xr:uid="{543DB7C2-2E6B-414F-B85A-5ED95D7ACC49}"/>
    <cellStyle name="Calculation 3 2 2 3 2 8" xfId="16594" xr:uid="{E730CCFC-AFEF-4B2A-B423-049B58B4D3E7}"/>
    <cellStyle name="Calculation 3 2 2 3 3" xfId="6399" xr:uid="{81C5D291-DA54-4D84-9624-2A97CB9212E0}"/>
    <cellStyle name="Calculation 3 2 2 3 4" xfId="7650" xr:uid="{932129AB-3332-497E-938B-64EF24BFED47}"/>
    <cellStyle name="Calculation 3 2 2 3 5" xfId="9338" xr:uid="{856A7C6B-62BD-473F-9F65-0B90E4FDA3DF}"/>
    <cellStyle name="Calculation 3 2 2 3 6" xfId="11025" xr:uid="{75E6D831-BAE5-4753-9C51-E88771CBCF07}"/>
    <cellStyle name="Calculation 3 2 2 3 7" xfId="12329" xr:uid="{4C3103C0-BE81-483F-9A98-CCB7785F6A2E}"/>
    <cellStyle name="Calculation 3 2 2 3 8" xfId="13981" xr:uid="{2253924D-5EB0-4EA1-90F5-ACCF86E6490A}"/>
    <cellStyle name="Calculation 3 2 2 3 9" xfId="15669" xr:uid="{59EE7F5B-7444-4AA4-830D-6F2A794B0A64}"/>
    <cellStyle name="Calculation 3 2 2 4" xfId="8944" xr:uid="{7DC6C978-5F5A-4460-83E8-049912A907AA}"/>
    <cellStyle name="Calculation 3 2 3" xfId="3143" xr:uid="{89D5428B-03DB-4107-BD2E-81C5BDBDE3D7}"/>
    <cellStyle name="Calculation 3 2 3 2" xfId="4023" xr:uid="{E4EAF1B8-206E-41BD-B050-CDC3FA04F175}"/>
    <cellStyle name="Calculation 3 2 3 2 2" xfId="4866" xr:uid="{F887E77A-663C-4736-8B17-248329D737B6}"/>
    <cellStyle name="Calculation 3 2 3 2 2 2" xfId="7361" xr:uid="{F89C8FE7-B763-4E19-A33F-0420CF009BBC}"/>
    <cellStyle name="Calculation 3 2 3 2 2 3" xfId="8774" xr:uid="{277FF199-0F45-4EA4-9B99-A6D7220869D1}"/>
    <cellStyle name="Calculation 3 2 3 2 2 4" xfId="10483" xr:uid="{4BABB51A-6E27-454D-9302-4C98CA4123BD}"/>
    <cellStyle name="Calculation 3 2 3 2 2 5" xfId="11979" xr:uid="{5611E3CD-F71E-4582-A232-FA53D56FE3B2}"/>
    <cellStyle name="Calculation 3 2 3 2 2 6" xfId="13451" xr:uid="{1F3A73FC-6B62-4705-B48A-EFCDCC29A331}"/>
    <cellStyle name="Calculation 3 2 3 2 2 7" xfId="15126" xr:uid="{C96756FF-8B65-4578-A611-C0E0A5F0027F}"/>
    <cellStyle name="Calculation 3 2 3 2 2 8" xfId="16791" xr:uid="{14AC62E5-B083-40ED-8681-4E40F5ED9770}"/>
    <cellStyle name="Calculation 3 2 3 2 3" xfId="6627" xr:uid="{18630AE5-6FBC-466B-B270-29D630C11D90}"/>
    <cellStyle name="Calculation 3 2 3 2 4" xfId="7949" xr:uid="{7E670351-7320-4F75-B6A6-873691FFA5EF}"/>
    <cellStyle name="Calculation 3 2 3 2 5" xfId="9642" xr:uid="{F29F75EB-3C39-45C5-B4CB-580DEA127DA6}"/>
    <cellStyle name="Calculation 3 2 3 2 6" xfId="11253" xr:uid="{3E64232C-1421-4EC4-B2AB-AA9852090B48}"/>
    <cellStyle name="Calculation 3 2 3 2 7" xfId="12628" xr:uid="{8DBD2805-F535-4408-9CBA-CFE387CC492C}"/>
    <cellStyle name="Calculation 3 2 3 2 8" xfId="14285" xr:uid="{58C789E2-368A-477A-B3AF-D232460A6CB5}"/>
    <cellStyle name="Calculation 3 2 3 2 9" xfId="15968" xr:uid="{A711B6F2-F40C-430E-9A6F-D594E4AC82D9}"/>
    <cellStyle name="Calculation 3 2 3 3" xfId="3585" xr:uid="{53C4137D-4D9B-4F8A-81DC-AF6909EBBA08}"/>
    <cellStyle name="Calculation 3 2 3 3 2" xfId="4580" xr:uid="{66E14F11-6DDB-4A58-96DE-567BA02908FC}"/>
    <cellStyle name="Calculation 3 2 3 3 2 2" xfId="7075" xr:uid="{24F3BF0B-16A5-4CA2-9A63-9C48518BFDDB}"/>
    <cellStyle name="Calculation 3 2 3 3 2 3" xfId="8494" xr:uid="{300BC2F5-CB72-4CDA-84DB-4C8E0472F111}"/>
    <cellStyle name="Calculation 3 2 3 3 2 4" xfId="10197" xr:uid="{26DCDF21-6BAE-4357-9EDC-BEA047D4D369}"/>
    <cellStyle name="Calculation 3 2 3 3 2 5" xfId="11693" xr:uid="{81A7884A-2D2B-4FBE-B5AB-E7FB40766F38}"/>
    <cellStyle name="Calculation 3 2 3 3 2 6" xfId="13171" xr:uid="{DB17C22C-9F26-4F6A-A618-0FE33973C817}"/>
    <cellStyle name="Calculation 3 2 3 3 2 7" xfId="14840" xr:uid="{AF9A9941-17DD-4FDA-9810-A323D19BDF50}"/>
    <cellStyle name="Calculation 3 2 3 3 2 8" xfId="16511" xr:uid="{310AC95B-1F95-43A8-ADFB-51376B517C49}"/>
    <cellStyle name="Calculation 3 2 3 3 3" xfId="6297" xr:uid="{B7B9B894-493A-4DF7-9948-07FE95E5A857}"/>
    <cellStyle name="Calculation 3 2 3 3 4" xfId="7517" xr:uid="{AB6E47E9-09E3-4EFF-8838-F9D37C958F6D}"/>
    <cellStyle name="Calculation 3 2 3 3 5" xfId="9204" xr:uid="{0BE672FB-57EC-4C05-A5CE-98110B4005DE}"/>
    <cellStyle name="Calculation 3 2 3 3 6" xfId="10928" xr:uid="{917A6945-0AA5-4E5E-93C1-6FF7158D9BCF}"/>
    <cellStyle name="Calculation 3 2 3 3 7" xfId="12196" xr:uid="{9F898C01-8AE0-498F-9FC8-27806C830523}"/>
    <cellStyle name="Calculation 3 2 3 3 8" xfId="13847" xr:uid="{31FC6E16-576A-4DBE-8075-30A905BC5EA5}"/>
    <cellStyle name="Calculation 3 2 3 3 9" xfId="15536" xr:uid="{C1C364E5-E7B3-44B0-9E90-15AF82BC55C2}"/>
    <cellStyle name="Calculation 3 2 3 4" xfId="6195" xr:uid="{79D7E89F-6287-42A3-967D-817333D68D8F}"/>
    <cellStyle name="Calculation 3 2 4" xfId="3225" xr:uid="{452166B4-61D3-4318-8BE4-96B1FDA469F2}"/>
    <cellStyle name="Calculation 3 2 4 2" xfId="4105" xr:uid="{75791972-1851-41D1-8679-620F28976267}"/>
    <cellStyle name="Calculation 3 2 4 2 2" xfId="4914" xr:uid="{EC3D968F-6FD5-4100-BE30-CF71E6D1E0E3}"/>
    <cellStyle name="Calculation 3 2 4 2 2 2" xfId="7409" xr:uid="{55A623AF-2402-4C23-A351-C399AAE1C3FC}"/>
    <cellStyle name="Calculation 3 2 4 2 2 3" xfId="8821" xr:uid="{F2A04950-98D6-4D78-A82D-98499290C1FE}"/>
    <cellStyle name="Calculation 3 2 4 2 2 4" xfId="10531" xr:uid="{158F5BAB-5128-4DCE-9A57-EDA6618C0199}"/>
    <cellStyle name="Calculation 3 2 4 2 2 5" xfId="12027" xr:uid="{FEFA19FF-6558-4305-AD8C-2E816553663D}"/>
    <cellStyle name="Calculation 3 2 4 2 2 6" xfId="13498" xr:uid="{988C2CFD-E32E-4BF3-8968-A138BC324A51}"/>
    <cellStyle name="Calculation 3 2 4 2 2 7" xfId="15174" xr:uid="{02F3247D-B008-499E-80D9-7D181415B0F1}"/>
    <cellStyle name="Calculation 3 2 4 2 2 8" xfId="16838" xr:uid="{0B810823-47DB-416D-8102-23FEFAD3CDBD}"/>
    <cellStyle name="Calculation 3 2 4 2 3" xfId="6684" xr:uid="{04079D63-8135-4BA1-9B2F-5A7152D9C615}"/>
    <cellStyle name="Calculation 3 2 4 2 4" xfId="8030" xr:uid="{6F3CA683-BD65-4BD8-BE80-2A74837AA363}"/>
    <cellStyle name="Calculation 3 2 4 2 5" xfId="9724" xr:uid="{4B5EBF53-31F6-47B7-BFA6-FF9A3CABB3CB}"/>
    <cellStyle name="Calculation 3 2 4 2 6" xfId="11311" xr:uid="{7A70D91D-3406-4B05-81A7-0074392D639E}"/>
    <cellStyle name="Calculation 3 2 4 2 7" xfId="12709" xr:uid="{0241D958-C94B-450A-B831-7B7B24FBA119}"/>
    <cellStyle name="Calculation 3 2 4 2 8" xfId="14367" xr:uid="{F3BF8E76-8093-4DC2-85B5-8B11DD651984}"/>
    <cellStyle name="Calculation 3 2 4 2 9" xfId="16049" xr:uid="{D832A0AD-195B-45EB-9D1E-4CF0C283399B}"/>
    <cellStyle name="Calculation 3 2 4 3" xfId="3667" xr:uid="{F51E1745-75F5-4150-9F51-DB369F80D4B7}"/>
    <cellStyle name="Calculation 3 2 4 3 2" xfId="4628" xr:uid="{751AB23B-505E-4FA6-9E66-F8C4C7000311}"/>
    <cellStyle name="Calculation 3 2 4 3 2 2" xfId="7123" xr:uid="{2F3FA26C-DB57-4332-AD06-D8BC82DFC47E}"/>
    <cellStyle name="Calculation 3 2 4 3 2 3" xfId="8541" xr:uid="{80E88E6A-237C-432E-A4CC-55E8F9806055}"/>
    <cellStyle name="Calculation 3 2 4 3 2 4" xfId="10245" xr:uid="{6DBCA37A-C6EC-43BF-B4A0-91CC167122C9}"/>
    <cellStyle name="Calculation 3 2 4 3 2 5" xfId="11741" xr:uid="{C5E65FCD-101E-4593-B5BF-E36EC8CEE9D2}"/>
    <cellStyle name="Calculation 3 2 4 3 2 6" xfId="13218" xr:uid="{8996BF19-A8C6-40DD-BD71-596571948649}"/>
    <cellStyle name="Calculation 3 2 4 3 2 7" xfId="14888" xr:uid="{F9DF54F7-980C-4B1A-BD45-D4FE050949E0}"/>
    <cellStyle name="Calculation 3 2 4 3 2 8" xfId="16558" xr:uid="{B378A6C9-7816-4EAC-AE31-12DD3064B31F}"/>
    <cellStyle name="Calculation 3 2 4 3 3" xfId="6358" xr:uid="{4D228E05-A98C-4A79-9A2F-2D5D0858E90D}"/>
    <cellStyle name="Calculation 3 2 4 3 4" xfId="7598" xr:uid="{D12B17BA-061D-475D-8337-E892810DF49A}"/>
    <cellStyle name="Calculation 3 2 4 3 5" xfId="9286" xr:uid="{3EE4EAEE-6998-4B2B-99BC-F472BDD050AF}"/>
    <cellStyle name="Calculation 3 2 4 3 6" xfId="10983" xr:uid="{38FF15C2-4451-4773-A3BE-3A820C7DE5B4}"/>
    <cellStyle name="Calculation 3 2 4 3 7" xfId="12277" xr:uid="{90EF4F1E-E5D4-4C7A-B2A2-FFCBA876056B}"/>
    <cellStyle name="Calculation 3 2 4 3 8" xfId="13929" xr:uid="{F4B812C3-8133-4FD6-86D8-301B260E4718}"/>
    <cellStyle name="Calculation 3 2 4 3 9" xfId="15617" xr:uid="{E2093EF4-9410-4F71-BC28-6EFC3A66B23E}"/>
    <cellStyle name="Calculation 3 2 4 4" xfId="5965" xr:uid="{523BC8CE-4FC1-4E6D-8962-E2D0662880FA}"/>
    <cellStyle name="Calculation 3 2 5" xfId="3315" xr:uid="{7B197E26-53DA-4842-9B7B-D6A74FE5F274}"/>
    <cellStyle name="Calculation 3 2 5 2" xfId="4195" xr:uid="{1B268F45-C64C-4D0D-BF19-116A7B22CA31}"/>
    <cellStyle name="Calculation 3 2 5 2 2" xfId="4979" xr:uid="{14B4547E-A5E1-47B6-BEF8-AFE0CF295A76}"/>
    <cellStyle name="Calculation 3 2 5 2 2 2" xfId="7474" xr:uid="{C66AB99E-F04E-48B8-BA27-157D12E9DFEA}"/>
    <cellStyle name="Calculation 3 2 5 2 2 3" xfId="8885" xr:uid="{E867D76A-3747-4A23-9720-A843832B5A78}"/>
    <cellStyle name="Calculation 3 2 5 2 2 4" xfId="10596" xr:uid="{5371B69E-B1C3-4F25-B8B1-55FCA3676325}"/>
    <cellStyle name="Calculation 3 2 5 2 2 5" xfId="12092" xr:uid="{9D639743-E005-446F-B6B6-93095768CF8A}"/>
    <cellStyle name="Calculation 3 2 5 2 2 6" xfId="13562" xr:uid="{862A0021-C268-4EC4-9A50-7DE908310B8F}"/>
    <cellStyle name="Calculation 3 2 5 2 2 7" xfId="15239" xr:uid="{3D1F81C9-218F-4022-AF6E-289D14EC1FC0}"/>
    <cellStyle name="Calculation 3 2 5 2 2 8" xfId="16902" xr:uid="{651639D2-07F3-46F3-826C-ACE987A06EDD}"/>
    <cellStyle name="Calculation 3 2 5 2 3" xfId="6755" xr:uid="{8CE26006-0D22-4A39-8526-ABF3786D1F27}"/>
    <cellStyle name="Calculation 3 2 5 2 4" xfId="8119" xr:uid="{A083F39C-F425-486C-8594-E8ADCCB34921}"/>
    <cellStyle name="Calculation 3 2 5 2 5" xfId="9814" xr:uid="{581B0CF1-8B76-4B30-B905-8EFC75DE2F0B}"/>
    <cellStyle name="Calculation 3 2 5 2 6" xfId="11383" xr:uid="{C1F91356-6DCD-46E0-ABC3-44B0F738FCD9}"/>
    <cellStyle name="Calculation 3 2 5 2 7" xfId="12798" xr:uid="{4D8B02D1-DE3A-4E0B-8E24-7D8F74016F5C}"/>
    <cellStyle name="Calculation 3 2 5 2 8" xfId="14457" xr:uid="{262B358E-401B-479B-AB54-64E8117B8046}"/>
    <cellStyle name="Calculation 3 2 5 2 9" xfId="16138" xr:uid="{96CA0C7E-B6A4-426A-95CE-CA2B8C188AB0}"/>
    <cellStyle name="Calculation 3 2 5 3" xfId="3756" xr:uid="{B4021B1A-B4EC-4DDB-AEEB-B33A673A645E}"/>
    <cellStyle name="Calculation 3 2 5 3 2" xfId="4692" xr:uid="{2909C439-E69C-4749-92A4-8BD9BEAC4CC3}"/>
    <cellStyle name="Calculation 3 2 5 3 2 2" xfId="7187" xr:uid="{8AA7E881-7A08-4A29-9718-D3E274456D94}"/>
    <cellStyle name="Calculation 3 2 5 3 2 3" xfId="8605" xr:uid="{4D9F5C13-5683-439C-8EE5-9CC0EE43FF7A}"/>
    <cellStyle name="Calculation 3 2 5 3 2 4" xfId="10309" xr:uid="{5F01A908-8F93-4E3C-A99F-1BCEED26221E}"/>
    <cellStyle name="Calculation 3 2 5 3 2 5" xfId="11805" xr:uid="{CB9504B5-4CD5-457E-8CB0-C3A9A51BC478}"/>
    <cellStyle name="Calculation 3 2 5 3 2 6" xfId="13282" xr:uid="{CEDCC0C0-17CC-4AC5-9A68-1BC9887ABDD3}"/>
    <cellStyle name="Calculation 3 2 5 3 2 7" xfId="14952" xr:uid="{103F3F37-E143-43DF-A1E9-7A653B646EB2}"/>
    <cellStyle name="Calculation 3 2 5 3 2 8" xfId="16622" xr:uid="{2FBA16F8-316A-4C22-859C-55D0B2E0AA7E}"/>
    <cellStyle name="Calculation 3 2 5 3 3" xfId="6428" xr:uid="{77D18D87-A743-494A-9F91-C4D60AD001E2}"/>
    <cellStyle name="Calculation 3 2 5 3 4" xfId="7687" xr:uid="{8026BBC6-4828-40B8-AD35-26ADCF82F7FA}"/>
    <cellStyle name="Calculation 3 2 5 3 5" xfId="9375" xr:uid="{307D00E1-3806-41F8-9B43-5896D0BAFEDB}"/>
    <cellStyle name="Calculation 3 2 5 3 6" xfId="11057" xr:uid="{A562ED7C-A494-4897-B51D-2502DAF35892}"/>
    <cellStyle name="Calculation 3 2 5 3 7" xfId="12366" xr:uid="{C0BD9184-C8A4-419A-99E9-F32146A49017}"/>
    <cellStyle name="Calculation 3 2 5 3 8" xfId="14018" xr:uid="{C1108E67-497F-4895-8918-A1BD16C80C3B}"/>
    <cellStyle name="Calculation 3 2 5 3 9" xfId="15706" xr:uid="{BE5D84D5-BFE9-4482-B0B1-B5576EF3D857}"/>
    <cellStyle name="Calculation 3 2 5 4" xfId="8978" xr:uid="{91A7CA92-BC4F-473F-B55F-A3C2EEEB3E10}"/>
    <cellStyle name="Calculation 3 2 6" xfId="3111" xr:uid="{143A4957-2B33-472B-8215-C6B4BB2A1B5D}"/>
    <cellStyle name="Calculation 3 2 6 10" xfId="10727" xr:uid="{5ABFDF86-346D-4F4E-97FF-FDC3DF135F7A}"/>
    <cellStyle name="Calculation 3 2 6 2" xfId="3991" xr:uid="{E01EEA2B-0722-438E-8229-6948F1FFC7EC}"/>
    <cellStyle name="Calculation 3 2 6 2 2" xfId="4841" xr:uid="{6D67C866-6264-4FD4-B07A-300473D62CE9}"/>
    <cellStyle name="Calculation 3 2 6 2 2 2" xfId="7336" xr:uid="{10FE4816-73E2-42AA-A0C9-7BB699C76898}"/>
    <cellStyle name="Calculation 3 2 6 2 2 3" xfId="8749" xr:uid="{57C940C6-013C-4A55-9C05-231AB26992D0}"/>
    <cellStyle name="Calculation 3 2 6 2 2 4" xfId="10458" xr:uid="{51CC3566-089A-4552-B6C0-B2E8FB655319}"/>
    <cellStyle name="Calculation 3 2 6 2 2 5" xfId="11954" xr:uid="{E51DE996-5412-43FC-8CD2-D21C8F166455}"/>
    <cellStyle name="Calculation 3 2 6 2 2 6" xfId="13426" xr:uid="{084884F6-55FB-4A23-9593-0F54A56C853D}"/>
    <cellStyle name="Calculation 3 2 6 2 2 7" xfId="15101" xr:uid="{ED99B9E0-50FD-4F05-B1F3-B7ED1A162848}"/>
    <cellStyle name="Calculation 3 2 6 2 2 8" xfId="16766" xr:uid="{6A7E9726-F690-4163-ACAA-47EE4AE858CA}"/>
    <cellStyle name="Calculation 3 2 6 2 3" xfId="6601" xr:uid="{487A9A17-D5C2-43BE-91E5-B0EC28F31CC4}"/>
    <cellStyle name="Calculation 3 2 6 2 4" xfId="7917" xr:uid="{FBDD1D89-D672-401A-9F47-3D5A49DE8B50}"/>
    <cellStyle name="Calculation 3 2 6 2 5" xfId="9610" xr:uid="{6BB7C466-A7DC-4BA0-8E20-5BE5568FD5A9}"/>
    <cellStyle name="Calculation 3 2 6 2 6" xfId="11228" xr:uid="{9B5D2173-7538-455F-BD03-2BA37D8F86B5}"/>
    <cellStyle name="Calculation 3 2 6 2 7" xfId="12596" xr:uid="{4BD8320E-F659-4481-BE7D-6CD26CD828CE}"/>
    <cellStyle name="Calculation 3 2 6 2 8" xfId="14253" xr:uid="{1B070908-1ECB-4A16-956B-33B696DB34FA}"/>
    <cellStyle name="Calculation 3 2 6 2 9" xfId="15936" xr:uid="{CC0525D6-55FE-48FA-AE2A-A9F3277B164F}"/>
    <cellStyle name="Calculation 3 2 6 3" xfId="3553" xr:uid="{4825EDBF-3C09-4BE8-8836-B630C44239EC}"/>
    <cellStyle name="Calculation 3 2 6 3 2" xfId="4555" xr:uid="{DFEE8EFA-F81E-47CA-BDE2-7581863E303A}"/>
    <cellStyle name="Calculation 3 2 6 3 2 2" xfId="7050" xr:uid="{0BDC01CE-3CA1-4A6E-ABC5-25D600DC8B0F}"/>
    <cellStyle name="Calculation 3 2 6 3 2 3" xfId="8469" xr:uid="{5F3B3289-4021-490F-83F4-ECB8E569A4B3}"/>
    <cellStyle name="Calculation 3 2 6 3 2 4" xfId="10172" xr:uid="{DEE496C8-C14D-4517-8D47-FF0CC7FD81FA}"/>
    <cellStyle name="Calculation 3 2 6 3 2 5" xfId="11668" xr:uid="{FDF13C13-868B-4195-9F4B-6C2EB30D2C3D}"/>
    <cellStyle name="Calculation 3 2 6 3 2 6" xfId="13146" xr:uid="{ACEC202E-B187-4D5F-A13F-E4BD3ECAA025}"/>
    <cellStyle name="Calculation 3 2 6 3 2 7" xfId="14815" xr:uid="{F6D80F28-999E-48DB-9823-7D1730967C88}"/>
    <cellStyle name="Calculation 3 2 6 3 2 8" xfId="16486" xr:uid="{8750ADE1-1AC1-4581-9006-FB989C9151C5}"/>
    <cellStyle name="Calculation 3 2 6 3 3" xfId="6271" xr:uid="{50F1D4F0-E50B-475E-B9FE-C19409A6C21E}"/>
    <cellStyle name="Calculation 3 2 6 3 4" xfId="5055" xr:uid="{017CBC09-B4DB-4299-AFFE-26A57274CD01}"/>
    <cellStyle name="Calculation 3 2 6 3 5" xfId="9172" xr:uid="{38F872E4-3FB4-4876-BC9B-168FB69054B8}"/>
    <cellStyle name="Calculation 3 2 6 3 6" xfId="10901" xr:uid="{7D5A35FC-19C9-4F7E-A3C5-A920FAA559EB}"/>
    <cellStyle name="Calculation 3 2 6 3 7" xfId="12164" xr:uid="{F89FCC49-8EA1-48ED-9691-8DC67ABBE37E}"/>
    <cellStyle name="Calculation 3 2 6 3 8" xfId="13815" xr:uid="{BA9F4AC6-2268-434D-9D62-6C4A4F94F0B6}"/>
    <cellStyle name="Calculation 3 2 6 3 9" xfId="15504" xr:uid="{B72A2E11-2A86-4827-AD40-5B5A84A76E2B}"/>
    <cellStyle name="Calculation 3 2 6 4" xfId="4328" xr:uid="{BE43DCF2-F14D-4387-8442-633A3FE971A0}"/>
    <cellStyle name="Calculation 3 2 6 4 2" xfId="6851" xr:uid="{6AEDAEE0-EE85-4E91-A132-D5FBAA1AE32B}"/>
    <cellStyle name="Calculation 3 2 6 4 3" xfId="8248" xr:uid="{19944757-BF05-4CD5-8D16-A884DB3E62BE}"/>
    <cellStyle name="Calculation 3 2 6 4 4" xfId="9945" xr:uid="{6390855D-F2C8-416E-846C-1D308A81D8DE}"/>
    <cellStyle name="Calculation 3 2 6 4 5" xfId="11470" xr:uid="{4A8EE99D-13EF-41A4-8E73-165BA1B521D7}"/>
    <cellStyle name="Calculation 3 2 6 4 6" xfId="12925" xr:uid="{3BF433A4-0415-4BCB-9A1D-B1EB9769157E}"/>
    <cellStyle name="Calculation 3 2 6 4 7" xfId="14588" xr:uid="{FD825520-7180-4A39-90D9-08D0589B0E89}"/>
    <cellStyle name="Calculation 3 2 6 4 8" xfId="16265" xr:uid="{90CA749D-4E34-4105-A819-B95C4CBB8DA8}"/>
    <cellStyle name="Calculation 3 2 6 5" xfId="5975" xr:uid="{2D1EE112-B25F-4FAB-AA69-5C401F3A85C6}"/>
    <cellStyle name="Calculation 3 2 6 6" xfId="5629" xr:uid="{88EEBBCE-9AA0-4855-ACA7-4FA12C4C2392}"/>
    <cellStyle name="Calculation 3 2 6 7" xfId="6844" xr:uid="{A88192E7-36A8-4A38-9FDB-A172A13C83AC}"/>
    <cellStyle name="Calculation 3 2 6 8" xfId="5862" xr:uid="{C765B617-B6BC-4058-9698-A63F2A743C39}"/>
    <cellStyle name="Calculation 3 2 6 9" xfId="11072" xr:uid="{275751D5-0277-42DE-9985-5D320B79F676}"/>
    <cellStyle name="Calculation 3 2 7" xfId="3061" xr:uid="{22EE9D4E-10FA-4E46-A876-652219E9D5BB}"/>
    <cellStyle name="Calculation 3 2 7 10" xfId="11555" xr:uid="{820EC0CA-B2FB-4716-B3FB-38E7D73DED20}"/>
    <cellStyle name="Calculation 3 2 7 2" xfId="3941" xr:uid="{F264DE35-81AC-4CA5-B5FC-607F8068B1DF}"/>
    <cellStyle name="Calculation 3 2 7 2 2" xfId="4808" xr:uid="{86D06D2C-E949-47FE-8C86-E8B515513DB2}"/>
    <cellStyle name="Calculation 3 2 7 2 2 2" xfId="7303" xr:uid="{49A49B75-4EE4-4F24-AE8E-D2FE125A5896}"/>
    <cellStyle name="Calculation 3 2 7 2 2 3" xfId="8717" xr:uid="{3468A242-3C01-4CDD-A1F9-A6CFA035CA00}"/>
    <cellStyle name="Calculation 3 2 7 2 2 4" xfId="10425" xr:uid="{75D90D72-C1EA-4BDC-9923-C2FE585DC059}"/>
    <cellStyle name="Calculation 3 2 7 2 2 5" xfId="11921" xr:uid="{86DE8B68-71E9-450D-9702-24AB794ED296}"/>
    <cellStyle name="Calculation 3 2 7 2 2 6" xfId="13394" xr:uid="{B7122A12-5168-4084-AAA8-5AE60B912EF6}"/>
    <cellStyle name="Calculation 3 2 7 2 2 7" xfId="15068" xr:uid="{D898EA41-FC76-4457-8751-59DE1405E000}"/>
    <cellStyle name="Calculation 3 2 7 2 2 8" xfId="16734" xr:uid="{25731757-03A9-4FFE-940A-5E76FA42365F}"/>
    <cellStyle name="Calculation 3 2 7 2 3" xfId="6564" xr:uid="{A0016039-E38F-4CA4-A0C6-2F8F9ACAA7E9}"/>
    <cellStyle name="Calculation 3 2 7 2 4" xfId="7868" xr:uid="{56CF09C3-C988-41B8-90B3-3F4920FD2E11}"/>
    <cellStyle name="Calculation 3 2 7 2 5" xfId="9560" xr:uid="{2AED7324-A23B-4184-A568-FCA08FE6AF5F}"/>
    <cellStyle name="Calculation 3 2 7 2 6" xfId="11195" xr:uid="{77DEFACE-00FE-4E72-B142-861B706D25A8}"/>
    <cellStyle name="Calculation 3 2 7 2 7" xfId="12547" xr:uid="{4675D245-3168-47C3-8C57-D2E6450BD48D}"/>
    <cellStyle name="Calculation 3 2 7 2 8" xfId="14203" xr:uid="{F7E28433-7F6A-4431-8AE0-CC5400ABD6AF}"/>
    <cellStyle name="Calculation 3 2 7 2 9" xfId="15887" xr:uid="{1B9327B2-8D9A-4A08-97BC-A48F28CA76EE}"/>
    <cellStyle name="Calculation 3 2 7 3" xfId="3503" xr:uid="{9C4C08B0-E619-4698-A7F0-E121EA70280E}"/>
    <cellStyle name="Calculation 3 2 7 3 2" xfId="4522" xr:uid="{B305EB1A-185C-4B7A-AFD0-F30F42A7A624}"/>
    <cellStyle name="Calculation 3 2 7 3 2 2" xfId="7017" xr:uid="{0FB49A5B-A731-483C-9129-14997336EB78}"/>
    <cellStyle name="Calculation 3 2 7 3 2 3" xfId="8437" xr:uid="{E0B7F474-C6E9-47EF-8B7C-87C673E1D76E}"/>
    <cellStyle name="Calculation 3 2 7 3 2 4" xfId="10139" xr:uid="{04C30A6A-81DE-426B-9516-A84E9B5602F2}"/>
    <cellStyle name="Calculation 3 2 7 3 2 5" xfId="11635" xr:uid="{B9E9993E-2426-40E1-8A52-4F682C1CD7C3}"/>
    <cellStyle name="Calculation 3 2 7 3 2 6" xfId="13114" xr:uid="{65FC451B-E1A3-492A-8BD2-19081602663E}"/>
    <cellStyle name="Calculation 3 2 7 3 2 7" xfId="14782" xr:uid="{7996358A-C67B-4462-873B-8ED6C2F3FCEB}"/>
    <cellStyle name="Calculation 3 2 7 3 2 8" xfId="16454" xr:uid="{7D76935B-34B6-41A8-B5EA-73A8C771E233}"/>
    <cellStyle name="Calculation 3 2 7 3 3" xfId="6233" xr:uid="{5DF5811C-EB2C-4AD9-9495-8973147729D0}"/>
    <cellStyle name="Calculation 3 2 7 3 4" xfId="5154" xr:uid="{21A8D410-9158-4023-8536-1B280C4EED2D}"/>
    <cellStyle name="Calculation 3 2 7 3 5" xfId="9122" xr:uid="{B6353083-21FA-4BF4-9BB5-78F9EEBB1A23}"/>
    <cellStyle name="Calculation 3 2 7 3 6" xfId="10866" xr:uid="{F111C417-CA3E-4405-BF81-3C62DA0C54D3}"/>
    <cellStyle name="Calculation 3 2 7 3 7" xfId="5346" xr:uid="{C8BC5CE4-37D2-4307-B65B-E4DB4D088E56}"/>
    <cellStyle name="Calculation 3 2 7 3 8" xfId="13765" xr:uid="{6CA7B103-E6C0-4FC1-884C-EADEEA8BAC8C}"/>
    <cellStyle name="Calculation 3 2 7 3 9" xfId="15455" xr:uid="{24E8A8DF-36CF-45B0-A166-9E4BB8B9D2F7}"/>
    <cellStyle name="Calculation 3 2 7 4" xfId="4303" xr:uid="{4CDB3F45-E926-49F7-8DCA-F97399B891B3}"/>
    <cellStyle name="Calculation 3 2 7 4 2" xfId="6829" xr:uid="{A47578FB-070E-4580-B455-1174B7F4C07B}"/>
    <cellStyle name="Calculation 3 2 7 4 3" xfId="8224" xr:uid="{F46C296C-36B8-4A07-98C7-69C97DAD6A21}"/>
    <cellStyle name="Calculation 3 2 7 4 4" xfId="9920" xr:uid="{33F27B16-9586-4480-8992-84A7D06AC3CA}"/>
    <cellStyle name="Calculation 3 2 7 4 5" xfId="11450" xr:uid="{82D28308-6CB4-43CA-B009-9164E8EFF4CC}"/>
    <cellStyle name="Calculation 3 2 7 4 6" xfId="12901" xr:uid="{9E2D288F-F34F-45C1-9E75-4D98D3096A46}"/>
    <cellStyle name="Calculation 3 2 7 4 7" xfId="14563" xr:uid="{1B785E8D-BA53-4D40-9F09-879069EAA694}"/>
    <cellStyle name="Calculation 3 2 7 4 8" xfId="16241" xr:uid="{D8CBF721-884E-45DC-BB36-BF832BB0892F}"/>
    <cellStyle name="Calculation 3 2 7 5" xfId="5941" xr:uid="{FD29349F-EA8B-4A3F-B648-9E2397C00847}"/>
    <cellStyle name="Calculation 3 2 7 6" xfId="5253" xr:uid="{4F194E07-DF72-4139-8128-86B82065273E}"/>
    <cellStyle name="Calculation 3 2 7 7" xfId="5803" xr:uid="{AC20D3BF-25FF-44F8-8B01-509509250B13}"/>
    <cellStyle name="Calculation 3 2 7 8" xfId="5440" xr:uid="{4B19DF74-D92C-4DB7-BD3E-E852D2466E28}"/>
    <cellStyle name="Calculation 3 2 7 9" xfId="10784" xr:uid="{CCB19F42-60D0-4573-BE1F-FDF13C97214E}"/>
    <cellStyle name="Calculation 3 2 8" xfId="3376" xr:uid="{5C377FCA-D0D2-4C0A-8C03-976C6385A94E}"/>
    <cellStyle name="Calculation 3 2 8 10" xfId="15333" xr:uid="{276BE4A9-52D6-4A2F-9F25-B083D078A247}"/>
    <cellStyle name="Calculation 3 2 8 2" xfId="4256" xr:uid="{9DD00095-BC36-4E45-9874-6690BF4AD9FE}"/>
    <cellStyle name="Calculation 3 2 8 2 2" xfId="5008" xr:uid="{DD70D8EF-07CA-485E-9A9F-7945940B8DD1}"/>
    <cellStyle name="Calculation 3 2 8 2 2 2" xfId="7503" xr:uid="{BCCE4A86-4A6F-4211-A65B-D358E2282A1F}"/>
    <cellStyle name="Calculation 3 2 8 2 2 3" xfId="8913" xr:uid="{8D73B302-3FC9-4953-BCBF-CDCAB8DC9CF8}"/>
    <cellStyle name="Calculation 3 2 8 2 2 4" xfId="10625" xr:uid="{860D85C8-DEEA-4E8E-9F13-57C37685F6C6}"/>
    <cellStyle name="Calculation 3 2 8 2 2 5" xfId="12121" xr:uid="{7BC7702D-D99E-4B78-8E81-4CAFF7AC7819}"/>
    <cellStyle name="Calculation 3 2 8 2 2 6" xfId="13590" xr:uid="{C2B90964-168E-44FD-AAE4-DA8450D3A572}"/>
    <cellStyle name="Calculation 3 2 8 2 2 7" xfId="15268" xr:uid="{1114BA27-208C-49DF-AAC0-EEDD645EC65E}"/>
    <cellStyle name="Calculation 3 2 8 2 2 8" xfId="16930" xr:uid="{8D34AA17-8130-45A9-942F-E7B99E9B9DC7}"/>
    <cellStyle name="Calculation 3 2 8 2 3" xfId="6796" xr:uid="{5A0DCC8A-0F27-42DF-9DBD-02C97C434508}"/>
    <cellStyle name="Calculation 3 2 8 2 4" xfId="8179" xr:uid="{BDFFD088-B686-4373-A6B1-F539B13E5ABA}"/>
    <cellStyle name="Calculation 3 2 8 2 5" xfId="9875" xr:uid="{4FE72096-B41D-468D-8F02-A2905C37632E}"/>
    <cellStyle name="Calculation 3 2 8 2 6" xfId="11414" xr:uid="{28938B14-562E-4692-935D-57EC9968F9C8}"/>
    <cellStyle name="Calculation 3 2 8 2 7" xfId="12858" xr:uid="{E51D0AE9-F390-4E67-BA6F-DDA31895872C}"/>
    <cellStyle name="Calculation 3 2 8 2 8" xfId="14518" xr:uid="{0080FDD8-D03B-49DE-806B-A834C7BD186F}"/>
    <cellStyle name="Calculation 3 2 8 2 9" xfId="16198" xr:uid="{03310079-C43A-4E16-B703-B146B605114D}"/>
    <cellStyle name="Calculation 3 2 8 3" xfId="3816" xr:uid="{4D914642-949B-4995-8700-549B428A9C4A}"/>
    <cellStyle name="Calculation 3 2 8 3 2" xfId="4720" xr:uid="{AC8D96BB-E2AF-4DE6-9AD4-1CCAF378A627}"/>
    <cellStyle name="Calculation 3 2 8 3 2 2" xfId="7215" xr:uid="{C0D601B4-5BA4-4671-8328-CEA1EDE3A86A}"/>
    <cellStyle name="Calculation 3 2 8 3 2 3" xfId="8633" xr:uid="{DEEA3DEE-6702-4316-8901-17FE6D336E42}"/>
    <cellStyle name="Calculation 3 2 8 3 2 4" xfId="10337" xr:uid="{C6E3C410-CF58-479F-AD15-AABD60E7BA38}"/>
    <cellStyle name="Calculation 3 2 8 3 2 5" xfId="11833" xr:uid="{B9E18F10-29C4-4804-B425-3946BED58097}"/>
    <cellStyle name="Calculation 3 2 8 3 2 6" xfId="13310" xr:uid="{D04F931D-B39E-4831-9CDA-A12E9F1912A0}"/>
    <cellStyle name="Calculation 3 2 8 3 2 7" xfId="14980" xr:uid="{C14DE332-8E7A-461B-9828-F40C628EEB07}"/>
    <cellStyle name="Calculation 3 2 8 3 2 8" xfId="16650" xr:uid="{1D110E7E-5347-4D5B-AA12-617CABBDB620}"/>
    <cellStyle name="Calculation 3 2 8 3 3" xfId="6466" xr:uid="{D538F4CE-F028-4CE6-9E1E-5A75EBCAABD4}"/>
    <cellStyle name="Calculation 3 2 8 3 4" xfId="7747" xr:uid="{5E821B01-CEEC-4688-A168-818C4C08276C}"/>
    <cellStyle name="Calculation 3 2 8 3 5" xfId="9435" xr:uid="{84A2F2D8-DA51-4EDB-A2DA-E1CAE94A236C}"/>
    <cellStyle name="Calculation 3 2 8 3 6" xfId="11095" xr:uid="{7F1703B1-34AD-40CE-A5DE-CC197B36E03D}"/>
    <cellStyle name="Calculation 3 2 8 3 7" xfId="12426" xr:uid="{62185416-F854-404F-88AA-4F7E98C64896}"/>
    <cellStyle name="Calculation 3 2 8 3 8" xfId="14078" xr:uid="{94130872-1E87-4412-A3B4-F879B634EF28}"/>
    <cellStyle name="Calculation 3 2 8 3 9" xfId="15766" xr:uid="{A7E04C96-A755-4393-BB69-0709DB62BBBE}"/>
    <cellStyle name="Calculation 3 2 8 4" xfId="4432" xr:uid="{C31F4938-7C4D-4034-A9DD-3774B19EB34F}"/>
    <cellStyle name="Calculation 3 2 8 4 2" xfId="6930" xr:uid="{87BD9E5D-0B5D-4830-9D60-5D98CBC0CF01}"/>
    <cellStyle name="Calculation 3 2 8 4 3" xfId="8349" xr:uid="{2DAD7F86-70A2-4267-B474-7E258B20026E}"/>
    <cellStyle name="Calculation 3 2 8 4 4" xfId="10049" xr:uid="{15C099EC-7235-4822-A84A-FA8B1422A332}"/>
    <cellStyle name="Calculation 3 2 8 4 5" xfId="11547" xr:uid="{930D6215-0B00-4950-903E-99D5FDBD09D7}"/>
    <cellStyle name="Calculation 3 2 8 4 6" xfId="13026" xr:uid="{B7BEE4F7-00FD-49E4-99EC-B61F225BB085}"/>
    <cellStyle name="Calculation 3 2 8 4 7" xfId="14692" xr:uid="{2CD972A7-CA41-430D-9DE0-254C612EB052}"/>
    <cellStyle name="Calculation 3 2 8 4 8" xfId="16366" xr:uid="{A9829C71-207F-4005-A5D6-174D52BFC939}"/>
    <cellStyle name="Calculation 3 2 8 5" xfId="6134" xr:uid="{74A687F9-60FA-49D1-B61E-2845688009FD}"/>
    <cellStyle name="Calculation 3 2 8 6" xfId="5690" xr:uid="{84B0913B-CC37-41E1-B2AB-205528917B9F}"/>
    <cellStyle name="Calculation 3 2 8 7" xfId="10766" xr:uid="{8AC1E6BE-E241-46D4-9828-A4337C4CCF49}"/>
    <cellStyle name="Calculation 3 2 8 8" xfId="5308" xr:uid="{3D75C470-C1E3-4CA6-BF46-7D6952459288}"/>
    <cellStyle name="Calculation 3 2 8 9" xfId="13642" xr:uid="{0C4E9B2B-7BCE-453B-A788-789814CDA13D}"/>
    <cellStyle name="Calculation 3 2 9" xfId="3874" xr:uid="{7DE2959E-A7C2-4C3C-9804-E2EBC66B7A9A}"/>
    <cellStyle name="Calculation 3 2 9 2" xfId="4765" xr:uid="{A852D7DA-F0F1-4BF3-920D-07AFF73291A7}"/>
    <cellStyle name="Calculation 3 2 9 2 2" xfId="7260" xr:uid="{6709DF6B-6A53-41C6-89DD-94F8AB0F0866}"/>
    <cellStyle name="Calculation 3 2 9 2 3" xfId="8675" xr:uid="{8956C72E-7484-4F6A-8FF9-41E715BB8B6F}"/>
    <cellStyle name="Calculation 3 2 9 2 4" xfId="10382" xr:uid="{9A221379-9E17-40DE-A96C-1F5C00F29CD3}"/>
    <cellStyle name="Calculation 3 2 9 2 5" xfId="11878" xr:uid="{D79A7918-D291-47B8-A114-7CF9D80EC865}"/>
    <cellStyle name="Calculation 3 2 9 2 6" xfId="13352" xr:uid="{BE5E0EA5-E8E4-4824-8F8A-BA835B7E29D2}"/>
    <cellStyle name="Calculation 3 2 9 2 7" xfId="15025" xr:uid="{04BE0EA4-4BDD-4F56-B706-2E8779E6AB85}"/>
    <cellStyle name="Calculation 3 2 9 2 8" xfId="16692" xr:uid="{60129B96-004E-4B13-AB31-52F16EF4DBF5}"/>
    <cellStyle name="Calculation 3 2 9 3" xfId="6515" xr:uid="{7AF4285D-7A74-4CF4-996C-BAC4764E3884}"/>
    <cellStyle name="Calculation 3 2 9 4" xfId="7802" xr:uid="{E35E348E-1B91-4A4C-B6C3-5C2BB42E9929}"/>
    <cellStyle name="Calculation 3 2 9 5" xfId="9493" xr:uid="{7C0EF40A-A96A-4D10-9D03-FC686A4B35AA}"/>
    <cellStyle name="Calculation 3 2 9 6" xfId="11146" xr:uid="{2EF4008B-0D2A-4E62-9FB5-4E2A8DFCE200}"/>
    <cellStyle name="Calculation 3 2 9 7" xfId="12481" xr:uid="{5BCF6069-E2A6-4112-8AF6-472EAEB485E4}"/>
    <cellStyle name="Calculation 3 2 9 8" xfId="14136" xr:uid="{9CB8EF67-5493-4B66-8A65-30B84EA29864}"/>
    <cellStyle name="Calculation 3 2 9 9" xfId="15821" xr:uid="{0A683D50-CBD0-4310-B329-92EBE914B1A0}"/>
    <cellStyle name="Calculation 3 3" xfId="2971" xr:uid="{78A819EF-0E65-44B1-9FF3-61973D49A1C9}"/>
    <cellStyle name="Calculation 3 3 10" xfId="3418" xr:uid="{8AA14C55-C0F7-45F3-8AB9-3C90EF50B959}"/>
    <cellStyle name="Calculation 3 3 10 2" xfId="4465" xr:uid="{BA3B9CF7-427C-41A0-9096-B9C903FBBDA7}"/>
    <cellStyle name="Calculation 3 3 10 2 2" xfId="6960" xr:uid="{1AE156A2-01B2-45A0-A7D3-16AA90D4EC92}"/>
    <cellStyle name="Calculation 3 3 10 2 3" xfId="8381" xr:uid="{98A1CD16-58A6-4161-8343-69E0F91524E7}"/>
    <cellStyle name="Calculation 3 3 10 2 4" xfId="10082" xr:uid="{2FC670BD-CE7E-4C65-BAFD-0639C47D17A1}"/>
    <cellStyle name="Calculation 3 3 10 2 5" xfId="11578" xr:uid="{FC454C11-5980-4102-A36D-9C17266A42F8}"/>
    <cellStyle name="Calculation 3 3 10 2 6" xfId="13058" xr:uid="{FB4DD754-1E1F-4B08-BD62-35AEB9E51220}"/>
    <cellStyle name="Calculation 3 3 10 2 7" xfId="14725" xr:uid="{28B5A5F7-5B76-485E-92AD-18591BBD60E2}"/>
    <cellStyle name="Calculation 3 3 10 2 8" xfId="16398" xr:uid="{5B609A58-7D03-45F4-8210-40F0C7BE3408}"/>
    <cellStyle name="Calculation 3 3 10 3" xfId="6168" xr:uid="{C31DD53C-BDC3-4729-86AE-4ACD284C77DE}"/>
    <cellStyle name="Calculation 3 3 10 4" xfId="5933" xr:uid="{DBEEBD48-C355-40FB-8E22-74FB277209BE}"/>
    <cellStyle name="Calculation 3 3 10 5" xfId="9037" xr:uid="{959FB833-5BE8-40A5-8517-BD495F1F18F6}"/>
    <cellStyle name="Calculation 3 3 10 6" xfId="10801" xr:uid="{04FB1134-0F9D-4B46-97E5-11FE5C46DFE1}"/>
    <cellStyle name="Calculation 3 3 10 7" xfId="5518" xr:uid="{4FFB35D7-4885-42C9-806A-17AEB5F81D7B}"/>
    <cellStyle name="Calculation 3 3 10 8" xfId="13680" xr:uid="{8B4685BC-0416-473C-912A-6A37A3C315CF}"/>
    <cellStyle name="Calculation 3 3 10 9" xfId="15371" xr:uid="{C9B7E291-0DBF-43D5-B769-1ABBB9010479}"/>
    <cellStyle name="Calculation 3 3 11" xfId="5841" xr:uid="{E5617B5F-DB1E-4A06-9EDB-B0E9EB65F609}"/>
    <cellStyle name="Calculation 3 3 12" xfId="6567" xr:uid="{A61F3816-2E18-438C-A39F-0D61498A4404}"/>
    <cellStyle name="Calculation 3 3 2" xfId="3259" xr:uid="{51477CB2-4C0A-48DB-8D7E-537AF2D4B3C2}"/>
    <cellStyle name="Calculation 3 3 2 2" xfId="4139" xr:uid="{F23581CC-8A60-44DD-9640-FF9EA185C656}"/>
    <cellStyle name="Calculation 3 3 2 2 2" xfId="4936" xr:uid="{89DBBE24-6B71-48C3-BF1F-D192E10249DF}"/>
    <cellStyle name="Calculation 3 3 2 2 2 2" xfId="7431" xr:uid="{A727E4A4-33A8-4B86-B351-580D907872E3}"/>
    <cellStyle name="Calculation 3 3 2 2 2 3" xfId="8843" xr:uid="{A4DFAFA7-65DD-433A-A13C-E1C45AA0AF8F}"/>
    <cellStyle name="Calculation 3 3 2 2 2 4" xfId="10553" xr:uid="{18ABFAA0-400C-4014-8A97-EB8F8AC48D8C}"/>
    <cellStyle name="Calculation 3 3 2 2 2 5" xfId="12049" xr:uid="{EDE7A911-EC55-47DB-AE34-59F5B9A65DB2}"/>
    <cellStyle name="Calculation 3 3 2 2 2 6" xfId="13520" xr:uid="{BBFD50DC-1B41-46D4-92B2-1CEE69558244}"/>
    <cellStyle name="Calculation 3 3 2 2 2 7" xfId="15196" xr:uid="{31EF8478-E70F-4A13-BDC0-61875A2E704B}"/>
    <cellStyle name="Calculation 3 3 2 2 2 8" xfId="16860" xr:uid="{D6C8FDBE-0276-4298-B598-A76A3D427985}"/>
    <cellStyle name="Calculation 3 3 2 2 3" xfId="6710" xr:uid="{8BC988A9-74EB-4ABF-9B98-E85DE1FBADD9}"/>
    <cellStyle name="Calculation 3 3 2 2 4" xfId="8064" xr:uid="{AF88CCF2-FF4B-44B6-B0D8-CB63CD58EF45}"/>
    <cellStyle name="Calculation 3 3 2 2 5" xfId="9758" xr:uid="{895FF58C-8F82-4FAE-B964-75353A73E5D8}"/>
    <cellStyle name="Calculation 3 3 2 2 6" xfId="11338" xr:uid="{7968A665-723F-4A09-A0E9-41736182960F}"/>
    <cellStyle name="Calculation 3 3 2 2 7" xfId="12743" xr:uid="{57F0B7A4-B8DC-499C-93AA-482CDAAA7211}"/>
    <cellStyle name="Calculation 3 3 2 2 8" xfId="14401" xr:uid="{A0D65CC5-2A35-4135-BC51-D1CEA72AD73A}"/>
    <cellStyle name="Calculation 3 3 2 2 9" xfId="16083" xr:uid="{16E2F827-17B9-4989-BA46-29460A1673E9}"/>
    <cellStyle name="Calculation 3 3 2 3" xfId="3701" xr:uid="{CE366476-BF08-4EE0-8964-7782B2D9D454}"/>
    <cellStyle name="Calculation 3 3 2 3 2" xfId="4650" xr:uid="{17C9D70E-A04C-49A8-AD0E-10ED77BCBBA9}"/>
    <cellStyle name="Calculation 3 3 2 3 2 2" xfId="7145" xr:uid="{74C4C842-B847-45A6-BA89-62D8D87E80B4}"/>
    <cellStyle name="Calculation 3 3 2 3 2 3" xfId="8563" xr:uid="{0C81D52E-81D1-4394-A754-2B454534FCFD}"/>
    <cellStyle name="Calculation 3 3 2 3 2 4" xfId="10267" xr:uid="{97C35634-4641-4F0A-9CEC-1B5563F9E2D6}"/>
    <cellStyle name="Calculation 3 3 2 3 2 5" xfId="11763" xr:uid="{67610B90-E387-440E-BFDB-C89500C8BAF5}"/>
    <cellStyle name="Calculation 3 3 2 3 2 6" xfId="13240" xr:uid="{053562E7-5B4F-48BF-9716-75654E5149C1}"/>
    <cellStyle name="Calculation 3 3 2 3 2 7" xfId="14910" xr:uid="{A11FD803-6301-4D67-BDB8-73104A419B2D}"/>
    <cellStyle name="Calculation 3 3 2 3 2 8" xfId="16580" xr:uid="{FC1C30F4-4BCE-4632-94EA-7BA25067D588}"/>
    <cellStyle name="Calculation 3 3 2 3 3" xfId="6383" xr:uid="{AB64C5AE-B426-40BC-B94E-4CE7F93EB03A}"/>
    <cellStyle name="Calculation 3 3 2 3 4" xfId="7632" xr:uid="{F6DD4477-7676-47FD-AF43-D78FAD8F2361}"/>
    <cellStyle name="Calculation 3 3 2 3 5" xfId="9320" xr:uid="{3F686FFA-4203-4115-B6E5-5A22A145FCD1}"/>
    <cellStyle name="Calculation 3 3 2 3 6" xfId="11010" xr:uid="{D8714EE9-FA62-4F5C-8DB3-CE1763472702}"/>
    <cellStyle name="Calculation 3 3 2 3 7" xfId="12311" xr:uid="{BC851E99-5F4D-4D0D-92E7-C6644963AA8F}"/>
    <cellStyle name="Calculation 3 3 2 3 8" xfId="13963" xr:uid="{92D5F9C0-9081-49C8-B9B5-C8CAB7DB3468}"/>
    <cellStyle name="Calculation 3 3 2 3 9" xfId="15651" xr:uid="{0B0DF0A1-D11A-4538-BB34-15F40183A9B2}"/>
    <cellStyle name="Calculation 3 3 2 4" xfId="8926" xr:uid="{F18BE5FA-B265-4358-A5D0-9DD8F3EB5665}"/>
    <cellStyle name="Calculation 3 3 3" xfId="3131" xr:uid="{B32BB3DA-0BB8-4CB0-9E7A-03550E9102C6}"/>
    <cellStyle name="Calculation 3 3 3 2" xfId="4011" xr:uid="{A44BEBB8-7BD4-4D99-B88B-3E1257737611}"/>
    <cellStyle name="Calculation 3 3 3 2 2" xfId="4856" xr:uid="{556535F6-F4E4-4C8B-982D-87545F2462D2}"/>
    <cellStyle name="Calculation 3 3 3 2 2 2" xfId="7351" xr:uid="{87FC9AFE-0C69-44D6-BE44-DBD32F6D9B76}"/>
    <cellStyle name="Calculation 3 3 3 2 2 3" xfId="8764" xr:uid="{BB56F2B6-DE25-4C93-BE1E-F1D51C678F51}"/>
    <cellStyle name="Calculation 3 3 3 2 2 4" xfId="10473" xr:uid="{B6926F9F-3B10-4673-BBEA-1F5F02C8B1DA}"/>
    <cellStyle name="Calculation 3 3 3 2 2 5" xfId="11969" xr:uid="{733AE5E6-241B-4807-BF85-5E4D05E0B9CD}"/>
    <cellStyle name="Calculation 3 3 3 2 2 6" xfId="13441" xr:uid="{38EACA62-1ED4-47DE-9F17-61F41AFDA3D0}"/>
    <cellStyle name="Calculation 3 3 3 2 2 7" xfId="15116" xr:uid="{A821528B-F042-4B6B-B8E1-5B7744E6355D}"/>
    <cellStyle name="Calculation 3 3 3 2 2 8" xfId="16781" xr:uid="{1FC6841D-DB8C-4548-80CB-D487107937C6}"/>
    <cellStyle name="Calculation 3 3 3 2 3" xfId="6617" xr:uid="{A69FC62B-7019-4963-85BD-D6DA0C51073E}"/>
    <cellStyle name="Calculation 3 3 3 2 4" xfId="7937" xr:uid="{634D1033-9B72-4269-A588-8F9A31C5D803}"/>
    <cellStyle name="Calculation 3 3 3 2 5" xfId="9630" xr:uid="{EDD05B55-4222-465F-9824-E6267A9126FB}"/>
    <cellStyle name="Calculation 3 3 3 2 6" xfId="11243" xr:uid="{1F0DD70F-4568-4BC4-A3EE-1D27851A9F9C}"/>
    <cellStyle name="Calculation 3 3 3 2 7" xfId="12616" xr:uid="{7FD4908E-0651-4975-BE6B-69DBA611A5A0}"/>
    <cellStyle name="Calculation 3 3 3 2 8" xfId="14273" xr:uid="{181FAD15-529D-4D05-8D8B-EA2CF201090B}"/>
    <cellStyle name="Calculation 3 3 3 2 9" xfId="15956" xr:uid="{429CE208-3EF1-4A9E-A036-658D83DCC2BF}"/>
    <cellStyle name="Calculation 3 3 3 3" xfId="3573" xr:uid="{AB0B6ACE-3AC4-4387-94EC-23D2F4A83AFE}"/>
    <cellStyle name="Calculation 3 3 3 3 2" xfId="4570" xr:uid="{B51C2FBC-7FB2-4E45-B67F-332E643A08DF}"/>
    <cellStyle name="Calculation 3 3 3 3 2 2" xfId="7065" xr:uid="{2AF888CD-C195-4C14-BCF3-A812398A000B}"/>
    <cellStyle name="Calculation 3 3 3 3 2 3" xfId="8484" xr:uid="{8D3D2536-92AD-46A0-BDB4-B2E156E455E0}"/>
    <cellStyle name="Calculation 3 3 3 3 2 4" xfId="10187" xr:uid="{E73B4F60-8824-45AD-BCC0-7E9529215F38}"/>
    <cellStyle name="Calculation 3 3 3 3 2 5" xfId="11683" xr:uid="{E766611F-C8FC-414A-AE02-A6BD1A24BB33}"/>
    <cellStyle name="Calculation 3 3 3 3 2 6" xfId="13161" xr:uid="{3827EAE3-BE6F-4DB7-AC62-007CE511750C}"/>
    <cellStyle name="Calculation 3 3 3 3 2 7" xfId="14830" xr:uid="{269D8A36-4875-4A70-AC56-2489679D7D9C}"/>
    <cellStyle name="Calculation 3 3 3 3 2 8" xfId="16501" xr:uid="{3457EBD4-9210-4DB0-A8DF-FE0E75F8B290}"/>
    <cellStyle name="Calculation 3 3 3 3 3" xfId="6287" xr:uid="{CD3EA260-98E3-4EFF-A846-FAC2895CF064}"/>
    <cellStyle name="Calculation 3 3 3 3 4" xfId="5085" xr:uid="{6BEE250A-8137-4231-A57D-A36AE7BC7A6D}"/>
    <cellStyle name="Calculation 3 3 3 3 5" xfId="9192" xr:uid="{D3C7A684-9221-461C-B955-8A5B19A9AACF}"/>
    <cellStyle name="Calculation 3 3 3 3 6" xfId="10917" xr:uid="{EEC75462-94A9-48DE-B3DB-EE8C29F0A6B7}"/>
    <cellStyle name="Calculation 3 3 3 3 7" xfId="12184" xr:uid="{25E2EDDC-F535-40EA-8EEB-F06F7B09A0BC}"/>
    <cellStyle name="Calculation 3 3 3 3 8" xfId="13835" xr:uid="{0F7A9289-5980-416A-AFD8-124FA1A137A6}"/>
    <cellStyle name="Calculation 3 3 3 3 9" xfId="15524" xr:uid="{0ABD5753-5163-4C53-BD3A-2C6304FD3752}"/>
    <cellStyle name="Calculation 3 3 3 4" xfId="6860" xr:uid="{DCA59430-7BC9-47D3-BE47-915B3C8D9F87}"/>
    <cellStyle name="Calculation 3 3 4" xfId="3101" xr:uid="{EC74BEC6-4896-40DC-B3B4-3F494409173E}"/>
    <cellStyle name="Calculation 3 3 4 2" xfId="3981" xr:uid="{B656C5DA-2873-43A9-804E-9ECEFF6DC1A9}"/>
    <cellStyle name="Calculation 3 3 4 2 2" xfId="4834" xr:uid="{6325C4DD-8E38-4902-8D20-2B90A53F9EC7}"/>
    <cellStyle name="Calculation 3 3 4 2 2 2" xfId="7329" xr:uid="{D84AAE13-2499-4EB0-B7A4-F30C14DC1151}"/>
    <cellStyle name="Calculation 3 3 4 2 2 3" xfId="8742" xr:uid="{EA747114-F80F-41C5-9654-52D9307FE1BB}"/>
    <cellStyle name="Calculation 3 3 4 2 2 4" xfId="10451" xr:uid="{5A55410C-FEBC-4BA8-959B-EE9FFEA87CCF}"/>
    <cellStyle name="Calculation 3 3 4 2 2 5" xfId="11947" xr:uid="{70D3E968-34DB-4A49-BEFD-6E0FB33605E0}"/>
    <cellStyle name="Calculation 3 3 4 2 2 6" xfId="13419" xr:uid="{21577FE0-3DF8-4F6B-83F5-B60AEE11D011}"/>
    <cellStyle name="Calculation 3 3 4 2 2 7" xfId="15094" xr:uid="{1C00395A-D2EE-49F3-846D-1F2DC0893B76}"/>
    <cellStyle name="Calculation 3 3 4 2 2 8" xfId="16759" xr:uid="{0381D7F2-1F2D-4DAF-8D5D-B41AEE05DA6E}"/>
    <cellStyle name="Calculation 3 3 4 2 3" xfId="6594" xr:uid="{6EC3E53C-18D1-440A-A8B1-5874A9385385}"/>
    <cellStyle name="Calculation 3 3 4 2 4" xfId="7907" xr:uid="{4CB3B2D4-5610-4501-A125-E815D558F7AB}"/>
    <cellStyle name="Calculation 3 3 4 2 5" xfId="9600" xr:uid="{7E0EEB7A-D4FE-4FBC-BE59-771C81BE6900}"/>
    <cellStyle name="Calculation 3 3 4 2 6" xfId="11221" xr:uid="{98AD1F36-B5D6-4A28-8A0C-26D6EE310B46}"/>
    <cellStyle name="Calculation 3 3 4 2 7" xfId="12586" xr:uid="{45C96370-1C49-4449-B26F-68C57650A52E}"/>
    <cellStyle name="Calculation 3 3 4 2 8" xfId="14243" xr:uid="{9C591923-6ACB-4AE5-A835-7018792F3A29}"/>
    <cellStyle name="Calculation 3 3 4 2 9" xfId="15926" xr:uid="{7385EB56-754F-4967-B42E-458955CE489A}"/>
    <cellStyle name="Calculation 3 3 4 3" xfId="3543" xr:uid="{E90C8DCA-5954-4FAE-8C6B-292546326D3A}"/>
    <cellStyle name="Calculation 3 3 4 3 2" xfId="4548" xr:uid="{4380BA39-8168-4C4A-A268-A049F286393D}"/>
    <cellStyle name="Calculation 3 3 4 3 2 2" xfId="7043" xr:uid="{73375F50-39D2-41FC-BCE8-ECF0A9C44368}"/>
    <cellStyle name="Calculation 3 3 4 3 2 3" xfId="8462" xr:uid="{44B05003-67BD-4F4E-A85D-17A3DA6A48A4}"/>
    <cellStyle name="Calculation 3 3 4 3 2 4" xfId="10165" xr:uid="{AD6C0DF0-961C-40B0-AD44-DE78F29875F9}"/>
    <cellStyle name="Calculation 3 3 4 3 2 5" xfId="11661" xr:uid="{290A9603-2456-4019-9E53-920CAC61DB03}"/>
    <cellStyle name="Calculation 3 3 4 3 2 6" xfId="13139" xr:uid="{1910D782-D6F9-4ACE-BC04-00224EF18DFA}"/>
    <cellStyle name="Calculation 3 3 4 3 2 7" xfId="14808" xr:uid="{8498D853-7D21-4327-94BF-19928D805D46}"/>
    <cellStyle name="Calculation 3 3 4 3 2 8" xfId="16479" xr:uid="{9FE4CC6F-9B9F-4228-8D91-011A02FCB924}"/>
    <cellStyle name="Calculation 3 3 4 3 3" xfId="6263" xr:uid="{9BBBC566-E071-45C0-8357-5A438BA031C9}"/>
    <cellStyle name="Calculation 3 3 4 3 4" xfId="5128" xr:uid="{0BFFAFC6-61E6-4FD0-A22D-898E57916FC7}"/>
    <cellStyle name="Calculation 3 3 4 3 5" xfId="9162" xr:uid="{22B0FD69-B812-429B-BA0C-EC43E735FBC6}"/>
    <cellStyle name="Calculation 3 3 4 3 6" xfId="10894" xr:uid="{18F1A295-804A-45C1-9078-2EDE4544948C}"/>
    <cellStyle name="Calculation 3 3 4 3 7" xfId="12154" xr:uid="{29B4615C-434E-4121-A606-68E120FF9613}"/>
    <cellStyle name="Calculation 3 3 4 3 8" xfId="13805" xr:uid="{752C1A05-5151-4750-B7C4-77614E28480A}"/>
    <cellStyle name="Calculation 3 3 4 3 9" xfId="15494" xr:uid="{544BE14A-9A49-429B-A48A-858B000F7C1B}"/>
    <cellStyle name="Calculation 3 3 4 4" xfId="5743" xr:uid="{02BECBC2-8535-4F5C-A3D8-43F809806623}"/>
    <cellStyle name="Calculation 3 3 5" xfId="3297" xr:uid="{B704FFEF-E01B-4266-9946-E53B127BDC03}"/>
    <cellStyle name="Calculation 3 3 5 2" xfId="4177" xr:uid="{7E974CEC-F9AB-498C-882B-F56BFA008F24}"/>
    <cellStyle name="Calculation 3 3 5 2 2" xfId="4965" xr:uid="{5AE12A31-ED9C-4909-B171-AB323F063E9C}"/>
    <cellStyle name="Calculation 3 3 5 2 2 2" xfId="7460" xr:uid="{D6E9C9ED-379D-4E12-8703-D092EDF74550}"/>
    <cellStyle name="Calculation 3 3 5 2 2 3" xfId="8871" xr:uid="{C3657101-8824-4009-87D7-35EE72DEF852}"/>
    <cellStyle name="Calculation 3 3 5 2 2 4" xfId="10582" xr:uid="{85ABC2DE-A7F1-4CBA-8816-6AE18E0C2116}"/>
    <cellStyle name="Calculation 3 3 5 2 2 5" xfId="12078" xr:uid="{43C57120-CB0A-4550-B0EE-91B08ABEC4AA}"/>
    <cellStyle name="Calculation 3 3 5 2 2 6" xfId="13548" xr:uid="{A61F2FA4-AF39-4C48-9042-D90FBB3B5765}"/>
    <cellStyle name="Calculation 3 3 5 2 2 7" xfId="15225" xr:uid="{78C07B38-9775-47F3-B721-8ED2E584A2D1}"/>
    <cellStyle name="Calculation 3 3 5 2 2 8" xfId="16888" xr:uid="{FE2C4D76-68C5-427C-8181-4532D2F40139}"/>
    <cellStyle name="Calculation 3 3 5 2 3" xfId="6740" xr:uid="{86FF9752-3D03-4DF8-B771-9BC37DB84829}"/>
    <cellStyle name="Calculation 3 3 5 2 4" xfId="8101" xr:uid="{36F4C0AE-7215-4480-BCBB-D854EC7F6080}"/>
    <cellStyle name="Calculation 3 3 5 2 5" xfId="9796" xr:uid="{B4B6C7D7-C63F-447A-AFF5-5B7CB5A14515}"/>
    <cellStyle name="Calculation 3 3 5 2 6" xfId="11368" xr:uid="{2853E5EA-42D0-4D2E-AD62-6267D3911A46}"/>
    <cellStyle name="Calculation 3 3 5 2 7" xfId="12780" xr:uid="{15445BF4-E27D-4C94-9BA0-29F7206B1BE3}"/>
    <cellStyle name="Calculation 3 3 5 2 8" xfId="14439" xr:uid="{F8D6E6AB-C299-4928-9677-38B08FB333B3}"/>
    <cellStyle name="Calculation 3 3 5 2 9" xfId="16120" xr:uid="{6DFD9C49-9B73-43E7-B02F-B86DF88AA57C}"/>
    <cellStyle name="Calculation 3 3 5 3" xfId="3738" xr:uid="{3F28B416-35B6-42A0-A3D6-8DA290131403}"/>
    <cellStyle name="Calculation 3 3 5 3 2" xfId="4678" xr:uid="{A84FC490-57A5-4B72-8677-78C66A2C78C5}"/>
    <cellStyle name="Calculation 3 3 5 3 2 2" xfId="7173" xr:uid="{00896F2A-8FB3-4E96-B9DB-979820605CD7}"/>
    <cellStyle name="Calculation 3 3 5 3 2 3" xfId="8591" xr:uid="{CA896D5A-570B-4C4F-971E-B0FBAED8C0BA}"/>
    <cellStyle name="Calculation 3 3 5 3 2 4" xfId="10295" xr:uid="{E4F5A988-72C8-479C-900A-784B4FA466EB}"/>
    <cellStyle name="Calculation 3 3 5 3 2 5" xfId="11791" xr:uid="{E416CF79-09AD-45BE-AB52-D03CE78D357C}"/>
    <cellStyle name="Calculation 3 3 5 3 2 6" xfId="13268" xr:uid="{0C45D592-B96C-4DA4-AE8A-5C79D0EEE8BD}"/>
    <cellStyle name="Calculation 3 3 5 3 2 7" xfId="14938" xr:uid="{68905399-B1B6-4CB2-AB6A-700B5A13F008}"/>
    <cellStyle name="Calculation 3 3 5 3 2 8" xfId="16608" xr:uid="{C4E7CC49-055B-4C32-8C16-D4CFA4478368}"/>
    <cellStyle name="Calculation 3 3 5 3 3" xfId="6413" xr:uid="{D25465C2-5B8A-43F6-BA39-E4D6438AA973}"/>
    <cellStyle name="Calculation 3 3 5 3 4" xfId="7669" xr:uid="{6BC38CBD-41C5-494C-9B57-67F1DC4A346E}"/>
    <cellStyle name="Calculation 3 3 5 3 5" xfId="9357" xr:uid="{6B31AAD2-CA41-497E-9177-AA7F61C4A2BB}"/>
    <cellStyle name="Calculation 3 3 5 3 6" xfId="11041" xr:uid="{EBED44CA-9FA8-457F-B194-255FD144F1A1}"/>
    <cellStyle name="Calculation 3 3 5 3 7" xfId="12348" xr:uid="{B562FED3-EA40-40C7-974E-4F7C2FDBCF94}"/>
    <cellStyle name="Calculation 3 3 5 3 8" xfId="14000" xr:uid="{014E297B-89DB-4551-9A10-ED06F3BF80F2}"/>
    <cellStyle name="Calculation 3 3 5 3 9" xfId="15688" xr:uid="{3E0F3EF8-42C7-4475-AEA5-388E1432193D}"/>
    <cellStyle name="Calculation 3 3 5 4" xfId="8960" xr:uid="{D30790BB-9587-4234-B15A-2F3EF69CB07D}"/>
    <cellStyle name="Calculation 3 3 6" xfId="3121" xr:uid="{4C00877F-51C0-4F8C-B8AF-46EC7FE61FC1}"/>
    <cellStyle name="Calculation 3 3 6 10" xfId="5286" xr:uid="{A661CC28-8D43-42D1-A196-D12E58C9F81B}"/>
    <cellStyle name="Calculation 3 3 6 2" xfId="4001" xr:uid="{DFF37CA9-C219-46C8-BCAE-1874F2150D64}"/>
    <cellStyle name="Calculation 3 3 6 2 2" xfId="4847" xr:uid="{09129A00-4DCA-4E86-8BFC-7C8C6C119110}"/>
    <cellStyle name="Calculation 3 3 6 2 2 2" xfId="7342" xr:uid="{4A98AFC1-030A-499D-B8F6-E26F4D4A9A66}"/>
    <cellStyle name="Calculation 3 3 6 2 2 3" xfId="8755" xr:uid="{0BAD15B6-37F2-4287-B5A7-752CD6BD0342}"/>
    <cellStyle name="Calculation 3 3 6 2 2 4" xfId="10464" xr:uid="{5DF31E53-AB06-4977-A1E7-159DBD27AC12}"/>
    <cellStyle name="Calculation 3 3 6 2 2 5" xfId="11960" xr:uid="{C469BEB5-731D-4438-8755-218CDC05D5C9}"/>
    <cellStyle name="Calculation 3 3 6 2 2 6" xfId="13432" xr:uid="{5546EFC4-173B-4E3B-9D71-336BE18DC76D}"/>
    <cellStyle name="Calculation 3 3 6 2 2 7" xfId="15107" xr:uid="{8889D053-DFD1-4F57-8B2B-C3CCC83B7DA0}"/>
    <cellStyle name="Calculation 3 3 6 2 2 8" xfId="16772" xr:uid="{1FF4260C-5F1D-4DEE-AD0A-7159783CABC2}"/>
    <cellStyle name="Calculation 3 3 6 2 3" xfId="6608" xr:uid="{C139DC21-08FF-445D-9C80-7DCED8B04BF6}"/>
    <cellStyle name="Calculation 3 3 6 2 4" xfId="7927" xr:uid="{609C20D8-D6B7-470E-A8D0-0E0527A1044A}"/>
    <cellStyle name="Calculation 3 3 6 2 5" xfId="9620" xr:uid="{45E10520-49E4-4A3C-AFC6-AEFC92E377D9}"/>
    <cellStyle name="Calculation 3 3 6 2 6" xfId="11234" xr:uid="{E3CD7077-AE8C-4C0B-85FF-4115C6B5973C}"/>
    <cellStyle name="Calculation 3 3 6 2 7" xfId="12606" xr:uid="{AAAAC84A-ED15-429D-B6C8-51BFE5ABEA99}"/>
    <cellStyle name="Calculation 3 3 6 2 8" xfId="14263" xr:uid="{92D458E1-9514-4EEF-ACDC-155B6278A59C}"/>
    <cellStyle name="Calculation 3 3 6 2 9" xfId="15946" xr:uid="{E125B4AB-9C3E-4E4D-9F42-D96094224B45}"/>
    <cellStyle name="Calculation 3 3 6 3" xfId="3563" xr:uid="{F89E5275-7167-4DE9-8EA6-5F259B301FED}"/>
    <cellStyle name="Calculation 3 3 6 3 2" xfId="4561" xr:uid="{FB76A8D5-FAE3-4AB1-9F47-8973DCB8942E}"/>
    <cellStyle name="Calculation 3 3 6 3 2 2" xfId="7056" xr:uid="{446ABB85-7A13-40EE-BE3E-5BCAC5FAA005}"/>
    <cellStyle name="Calculation 3 3 6 3 2 3" xfId="8475" xr:uid="{956E6C3D-47D8-4D85-B2C0-9E6D231DBE8E}"/>
    <cellStyle name="Calculation 3 3 6 3 2 4" xfId="10178" xr:uid="{25BE5CA1-A9E6-443C-B990-3EF704738E10}"/>
    <cellStyle name="Calculation 3 3 6 3 2 5" xfId="11674" xr:uid="{516158DA-CCA5-49ED-89EB-800D2A407B08}"/>
    <cellStyle name="Calculation 3 3 6 3 2 6" xfId="13152" xr:uid="{09A1DBBF-C4F1-472B-A5D7-AC5EED67F5C4}"/>
    <cellStyle name="Calculation 3 3 6 3 2 7" xfId="14821" xr:uid="{46726CE1-5966-4E23-8375-605A3FF7ED7A}"/>
    <cellStyle name="Calculation 3 3 6 3 2 8" xfId="16492" xr:uid="{BC48D572-CC70-4026-9A8F-0FFE9C8A9AEC}"/>
    <cellStyle name="Calculation 3 3 6 3 3" xfId="6278" xr:uid="{526C701F-7354-40F2-AF41-696B5F535FD4}"/>
    <cellStyle name="Calculation 3 3 6 3 4" xfId="5113" xr:uid="{5CE569C8-601B-48A1-8F3E-5C3E1EF854CB}"/>
    <cellStyle name="Calculation 3 3 6 3 5" xfId="9182" xr:uid="{9066CEC7-E553-43BD-8E05-D976763548A2}"/>
    <cellStyle name="Calculation 3 3 6 3 6" xfId="10908" xr:uid="{22451F3F-2A79-4371-8A0D-04BE247C2EEB}"/>
    <cellStyle name="Calculation 3 3 6 3 7" xfId="12174" xr:uid="{1D06F5C7-9EB1-4ADB-9206-1E4C4E9A320E}"/>
    <cellStyle name="Calculation 3 3 6 3 8" xfId="13825" xr:uid="{E932CBEB-3C53-4958-97D0-EF1C9C627276}"/>
    <cellStyle name="Calculation 3 3 6 3 9" xfId="15514" xr:uid="{42B8E70C-E543-4117-A4CB-8E334C9DD5D3}"/>
    <cellStyle name="Calculation 3 3 6 4" xfId="4332" xr:uid="{6B9F5A40-818A-489B-8885-552AD157A59D}"/>
    <cellStyle name="Calculation 3 3 6 4 2" xfId="6853" xr:uid="{42D88207-8F2B-4DCF-869A-EFC1EFD55FE4}"/>
    <cellStyle name="Calculation 3 3 6 4 3" xfId="8252" xr:uid="{4A61EFA7-0D01-4FBC-A7DE-0CB9A9F94F48}"/>
    <cellStyle name="Calculation 3 3 6 4 4" xfId="9949" xr:uid="{10AB983B-BF7E-4398-9232-66A8623DFC9D}"/>
    <cellStyle name="Calculation 3 3 6 4 5" xfId="11472" xr:uid="{EFCD9388-2DAF-4109-BA20-9AB437BC3CD9}"/>
    <cellStyle name="Calculation 3 3 6 4 6" xfId="12929" xr:uid="{8379FC9A-E11B-4E94-B71A-B64AE550FF1B}"/>
    <cellStyle name="Calculation 3 3 6 4 7" xfId="14592" xr:uid="{46174C86-3747-42C4-99C0-899C87BE31EC}"/>
    <cellStyle name="Calculation 3 3 6 4 8" xfId="16269" xr:uid="{AE8E9268-E088-4370-B729-FB6726FCF1DC}"/>
    <cellStyle name="Calculation 3 3 6 5" xfId="5982" xr:uid="{2534D43B-989B-43C4-B600-9D6803FFD5A5}"/>
    <cellStyle name="Calculation 3 3 6 6" xfId="5693" xr:uid="{A4027A08-53A6-4EB7-946A-042A45C9D9AF}"/>
    <cellStyle name="Calculation 3 3 6 7" xfId="6091" xr:uid="{E52C30DC-1F43-4BF6-BD3E-56A22EDC8AB8}"/>
    <cellStyle name="Calculation 3 3 6 8" xfId="5500" xr:uid="{E2D9C38C-EE29-4EFB-8469-A1C1E17F878B}"/>
    <cellStyle name="Calculation 3 3 6 9" xfId="11304" xr:uid="{73A163CE-5F7D-4A2E-9A06-0C1625175542}"/>
    <cellStyle name="Calculation 3 3 7" xfId="3197" xr:uid="{6D48495F-E64D-4D62-A4DF-EEAE6F2EF94F}"/>
    <cellStyle name="Calculation 3 3 7 10" xfId="10950" xr:uid="{D6728566-D148-416F-8533-08D188F61BBC}"/>
    <cellStyle name="Calculation 3 3 7 2" xfId="4077" xr:uid="{FB25EEFB-7020-40BB-9205-3F7255279257}"/>
    <cellStyle name="Calculation 3 3 7 2 2" xfId="4898" xr:uid="{F82C3068-7655-4E28-B95F-996E424AB7DC}"/>
    <cellStyle name="Calculation 3 3 7 2 2 2" xfId="7393" xr:uid="{C3790AF5-6E0E-4B58-B247-A97D113E7202}"/>
    <cellStyle name="Calculation 3 3 7 2 2 3" xfId="8805" xr:uid="{EA7B8674-4E98-46EC-841A-E0B8053E5132}"/>
    <cellStyle name="Calculation 3 3 7 2 2 4" xfId="10515" xr:uid="{BF129B72-24A1-4BC1-8964-56A79E01B8DA}"/>
    <cellStyle name="Calculation 3 3 7 2 2 5" xfId="12011" xr:uid="{935EF59B-E787-4E62-AC54-2DB42FFAA614}"/>
    <cellStyle name="Calculation 3 3 7 2 2 6" xfId="13482" xr:uid="{85E26DCA-CF6C-4330-BA1D-6BE4A6278D2A}"/>
    <cellStyle name="Calculation 3 3 7 2 2 7" xfId="15158" xr:uid="{89F525C7-769D-4863-80AF-E3025EC4E563}"/>
    <cellStyle name="Calculation 3 3 7 2 2 8" xfId="16822" xr:uid="{E683BF7A-86BA-417B-8E08-BA0D71BAB559}"/>
    <cellStyle name="Calculation 3 3 7 2 3" xfId="6665" xr:uid="{B9FB5FE2-DFBF-437D-A74D-698DA6FEC171}"/>
    <cellStyle name="Calculation 3 3 7 2 4" xfId="8002" xr:uid="{F519075C-2009-4B45-A138-01B33452B022}"/>
    <cellStyle name="Calculation 3 3 7 2 5" xfId="9696" xr:uid="{24629079-0B92-4F18-AB1F-BADA315FFBB1}"/>
    <cellStyle name="Calculation 3 3 7 2 6" xfId="11292" xr:uid="{EA2FEA68-3A52-4697-A802-D77F7A342967}"/>
    <cellStyle name="Calculation 3 3 7 2 7" xfId="12681" xr:uid="{0C2DB9C9-4226-4074-A2AA-4E0BA36A3D1A}"/>
    <cellStyle name="Calculation 3 3 7 2 8" xfId="14339" xr:uid="{7B462B91-ECF3-43B5-91CB-18393990BC37}"/>
    <cellStyle name="Calculation 3 3 7 2 9" xfId="16021" xr:uid="{847E720C-1DA0-4433-9907-29504E75D093}"/>
    <cellStyle name="Calculation 3 3 7 3" xfId="3639" xr:uid="{4B569AD4-B002-4281-8220-041FAA61C212}"/>
    <cellStyle name="Calculation 3 3 7 3 2" xfId="4612" xr:uid="{091A54CB-0AB1-4B86-8F83-349E38D1C095}"/>
    <cellStyle name="Calculation 3 3 7 3 2 2" xfId="7107" xr:uid="{67A8BB39-1AFE-41C5-996A-04523B1BFDE7}"/>
    <cellStyle name="Calculation 3 3 7 3 2 3" xfId="8525" xr:uid="{5C27E834-FF0D-462E-8D6C-EE44EADEB163}"/>
    <cellStyle name="Calculation 3 3 7 3 2 4" xfId="10229" xr:uid="{EFA13F8F-3CE6-4055-92CB-D99936BDA26C}"/>
    <cellStyle name="Calculation 3 3 7 3 2 5" xfId="11725" xr:uid="{E26011A9-BB92-4B5B-A3CB-C67BA7F30572}"/>
    <cellStyle name="Calculation 3 3 7 3 2 6" xfId="13202" xr:uid="{0E25E960-0DD5-4B93-867F-07490E8F2EA6}"/>
    <cellStyle name="Calculation 3 3 7 3 2 7" xfId="14872" xr:uid="{093DA4F2-8152-4BE4-8039-428D901047D7}"/>
    <cellStyle name="Calculation 3 3 7 3 2 8" xfId="16542" xr:uid="{E395D4C0-A76F-4883-9E25-C6CD2EBFC983}"/>
    <cellStyle name="Calculation 3 3 7 3 3" xfId="6339" xr:uid="{D095E8FF-0F5F-4C27-A5EF-0382D2DE7A23}"/>
    <cellStyle name="Calculation 3 3 7 3 4" xfId="7570" xr:uid="{799C987E-73BF-4EFE-9B99-3F29A0A5B53E}"/>
    <cellStyle name="Calculation 3 3 7 3 5" xfId="9258" xr:uid="{E858600F-D134-4F3A-9595-7FC3E937FA73}"/>
    <cellStyle name="Calculation 3 3 7 3 6" xfId="10965" xr:uid="{AD7FDBF5-C864-4345-A184-B9C4515C3411}"/>
    <cellStyle name="Calculation 3 3 7 3 7" xfId="12249" xr:uid="{34A268B1-A264-4DD2-8FDE-675B1DA61FBF}"/>
    <cellStyle name="Calculation 3 3 7 3 8" xfId="13901" xr:uid="{52370314-BD26-4BA1-9B35-D4CB8EB0D259}"/>
    <cellStyle name="Calculation 3 3 7 3 9" xfId="15589" xr:uid="{2535E692-34ED-4FAF-8C4E-E0CE975118A5}"/>
    <cellStyle name="Calculation 3 3 7 4" xfId="4356" xr:uid="{33AB5FAE-E337-4B75-AF2D-7AAE5776489A}"/>
    <cellStyle name="Calculation 3 3 7 4 2" xfId="6873" xr:uid="{40A079BA-3808-40C9-8AA9-38C4016FC2C7}"/>
    <cellStyle name="Calculation 3 3 7 4 3" xfId="8275" xr:uid="{259B485C-BFD9-421B-9835-CB785EBD4C55}"/>
    <cellStyle name="Calculation 3 3 7 4 4" xfId="9973" xr:uid="{5532EBC8-8513-4B42-9ECF-9DFCFC71DB86}"/>
    <cellStyle name="Calculation 3 3 7 4 5" xfId="11492" xr:uid="{929063D0-BBBD-4047-A55A-231F9C91966E}"/>
    <cellStyle name="Calculation 3 3 7 4 6" xfId="12952" xr:uid="{E9D53EDC-E1E9-4011-A8CA-607F86EE78E2}"/>
    <cellStyle name="Calculation 3 3 7 4 7" xfId="14616" xr:uid="{C4821953-8D04-421D-BE43-1E216A403C65}"/>
    <cellStyle name="Calculation 3 3 7 4 8" xfId="16292" xr:uid="{55B7692C-D223-4EFF-ACD3-207089197962}"/>
    <cellStyle name="Calculation 3 3 7 5" xfId="6023" xr:uid="{5C96CD29-0E67-45D8-A7D9-EB17E3648A89}"/>
    <cellStyle name="Calculation 3 3 7 6" xfId="5624" xr:uid="{06E94A06-44BA-4B29-B40B-B84826E234DA}"/>
    <cellStyle name="Calculation 3 3 7 7" xfId="10668" xr:uid="{84E1B1ED-C812-40A2-BD81-565BAEAB5D80}"/>
    <cellStyle name="Calculation 3 3 7 8" xfId="5039" xr:uid="{B1B3A04D-4301-4B2F-9AA2-A332797786D0}"/>
    <cellStyle name="Calculation 3 3 7 9" xfId="5453" xr:uid="{0F421FDA-5F9F-4609-9351-FD20D53BBA2D}"/>
    <cellStyle name="Calculation 3 3 8" xfId="3358" xr:uid="{16E980A2-18AC-400F-B412-1FE9FCF52123}"/>
    <cellStyle name="Calculation 3 3 8 10" xfId="15315" xr:uid="{F3D911BF-DC50-4F4A-B2E0-54655053F90E}"/>
    <cellStyle name="Calculation 3 3 8 2" xfId="4238" xr:uid="{03959642-53A2-4EB5-AED7-04A54DF4E85A}"/>
    <cellStyle name="Calculation 3 3 8 2 2" xfId="4994" xr:uid="{A58B51F8-C82F-4BEA-B28A-E172CADB0B07}"/>
    <cellStyle name="Calculation 3 3 8 2 2 2" xfId="7489" xr:uid="{41650AFA-7CD2-4B9C-B739-9F9481BA9C81}"/>
    <cellStyle name="Calculation 3 3 8 2 2 3" xfId="8899" xr:uid="{5F6CDCF6-1B00-4F07-9D2A-229E7447C80E}"/>
    <cellStyle name="Calculation 3 3 8 2 2 4" xfId="10611" xr:uid="{46AB93EF-B6A0-4C0E-8506-DEF52A33C02E}"/>
    <cellStyle name="Calculation 3 3 8 2 2 5" xfId="12107" xr:uid="{B5FFFF7E-C5FF-43EC-B469-867F2DF3D37B}"/>
    <cellStyle name="Calculation 3 3 8 2 2 6" xfId="13576" xr:uid="{8BCF8264-EEF4-4F5A-9FE6-A04B8C46D40A}"/>
    <cellStyle name="Calculation 3 3 8 2 2 7" xfId="15254" xr:uid="{5ED92106-94EE-4235-B436-EA06A6F0AF73}"/>
    <cellStyle name="Calculation 3 3 8 2 2 8" xfId="16916" xr:uid="{C31956DC-57F8-4094-B489-D4A929E5760F}"/>
    <cellStyle name="Calculation 3 3 8 2 3" xfId="6780" xr:uid="{8C024F57-1614-4CAC-997F-5FD8730BDE2E}"/>
    <cellStyle name="Calculation 3 3 8 2 4" xfId="8161" xr:uid="{71325213-8E09-4B96-A6A2-4AAC9023A5BF}"/>
    <cellStyle name="Calculation 3 3 8 2 5" xfId="9857" xr:uid="{F1A4A2A9-24A1-4916-9C79-5DD255AF6EEE}"/>
    <cellStyle name="Calculation 3 3 8 2 6" xfId="11400" xr:uid="{44CF4562-7B3B-4396-B3A4-08276C59F87C}"/>
    <cellStyle name="Calculation 3 3 8 2 7" xfId="12840" xr:uid="{4CF2E08A-5469-4E51-9AA8-7395E0A61E48}"/>
    <cellStyle name="Calculation 3 3 8 2 8" xfId="14500" xr:uid="{7F02F01D-7414-4211-957C-5BD1F2A7ABEF}"/>
    <cellStyle name="Calculation 3 3 8 2 9" xfId="16180" xr:uid="{CF5ABF99-E128-42E2-B4AA-B8BB05052561}"/>
    <cellStyle name="Calculation 3 3 8 3" xfId="3798" xr:uid="{29B06BD3-5AF3-4D04-A82D-5CDF2C5FB1CF}"/>
    <cellStyle name="Calculation 3 3 8 3 2" xfId="4706" xr:uid="{F69E43E8-56AF-4172-A51B-6ECE6B361126}"/>
    <cellStyle name="Calculation 3 3 8 3 2 2" xfId="7201" xr:uid="{153746D1-C6D9-4A53-B814-03843A004183}"/>
    <cellStyle name="Calculation 3 3 8 3 2 3" xfId="8619" xr:uid="{F2CDBB21-5472-4F4E-85B0-86F68C2909FF}"/>
    <cellStyle name="Calculation 3 3 8 3 2 4" xfId="10323" xr:uid="{3CAF05FD-CFDF-428B-A98C-06AC0CCE5E4D}"/>
    <cellStyle name="Calculation 3 3 8 3 2 5" xfId="11819" xr:uid="{B2481CF5-CB08-4D9D-AD74-B7AF6070A721}"/>
    <cellStyle name="Calculation 3 3 8 3 2 6" xfId="13296" xr:uid="{5583FB83-20D1-475E-9C13-291F60A48341}"/>
    <cellStyle name="Calculation 3 3 8 3 2 7" xfId="14966" xr:uid="{8069E32D-2A9C-4E8D-B980-94DF255C1CCA}"/>
    <cellStyle name="Calculation 3 3 8 3 2 8" xfId="16636" xr:uid="{907305A4-C238-4A85-9501-6F6EBA421C53}"/>
    <cellStyle name="Calculation 3 3 8 3 3" xfId="6451" xr:uid="{C4AC5CBD-7F7E-452A-B826-F8F6F64CC9FC}"/>
    <cellStyle name="Calculation 3 3 8 3 4" xfId="7729" xr:uid="{869CF2C8-9C15-4218-8661-56500DB075EA}"/>
    <cellStyle name="Calculation 3 3 8 3 5" xfId="9417" xr:uid="{1FEFB948-7B71-4155-968F-E2435CCAF74F}"/>
    <cellStyle name="Calculation 3 3 8 3 6" xfId="11080" xr:uid="{115F2A0A-A014-4B24-BD2B-3C6498AEC6DB}"/>
    <cellStyle name="Calculation 3 3 8 3 7" xfId="12408" xr:uid="{5749A94D-1CEB-45BD-8259-648E99455166}"/>
    <cellStyle name="Calculation 3 3 8 3 8" xfId="14060" xr:uid="{3D430549-4A33-4E13-9BCB-6568E36B3FE3}"/>
    <cellStyle name="Calculation 3 3 8 3 9" xfId="15748" xr:uid="{3D3CE390-DF71-419C-AC6A-8E487EE52BC6}"/>
    <cellStyle name="Calculation 3 3 8 4" xfId="4414" xr:uid="{B2837088-3C67-484F-B14F-86F24CE75C3D}"/>
    <cellStyle name="Calculation 3 3 8 4 2" xfId="6915" xr:uid="{B3AD01A5-E0D4-4EFF-AFBE-A1BD4C38EBEA}"/>
    <cellStyle name="Calculation 3 3 8 4 3" xfId="8331" xr:uid="{0489E729-DE14-43DB-8F37-BA700311DFC2}"/>
    <cellStyle name="Calculation 3 3 8 4 4" xfId="10031" xr:uid="{5EC5BDA0-14A2-4B00-8198-50006A93A0C0}"/>
    <cellStyle name="Calculation 3 3 8 4 5" xfId="11532" xr:uid="{D754D4D0-0F6F-4915-8EE2-3B02A0B4A9A8}"/>
    <cellStyle name="Calculation 3 3 8 4 6" xfId="13008" xr:uid="{2F42D191-6433-4C24-B310-C5AFC1E9BE57}"/>
    <cellStyle name="Calculation 3 3 8 4 7" xfId="14674" xr:uid="{C7400CE0-B6FC-4B30-BF26-1B299511A45D}"/>
    <cellStyle name="Calculation 3 3 8 4 8" xfId="16348" xr:uid="{D9C1620B-64F9-4552-9228-4BDCBCA84F52}"/>
    <cellStyle name="Calculation 3 3 8 5" xfId="6116" xr:uid="{686BACE8-AA1C-4FE7-AC01-4BE6A659607B}"/>
    <cellStyle name="Calculation 3 3 8 6" xfId="5661" xr:uid="{4AE464EE-76DD-46ED-8D1D-8D195D3E4F64}"/>
    <cellStyle name="Calculation 3 3 8 7" xfId="10748" xr:uid="{0EDFB99C-0C41-43A7-9431-42930FDEE240}"/>
    <cellStyle name="Calculation 3 3 8 8" xfId="10717" xr:uid="{44133291-0211-4BD9-BDFB-BC08C81C663D}"/>
    <cellStyle name="Calculation 3 3 8 9" xfId="13624" xr:uid="{1E1EF1F8-6482-4F3F-80E3-738A694BA8F0}"/>
    <cellStyle name="Calculation 3 3 9" xfId="3855" xr:uid="{11A32984-4D0D-498D-A780-FE5844DE29E8}"/>
    <cellStyle name="Calculation 3 3 9 2" xfId="4750" xr:uid="{3754E7DA-BCED-432D-8664-6507B2820CD4}"/>
    <cellStyle name="Calculation 3 3 9 2 2" xfId="7245" xr:uid="{A6C5B78D-8922-47A0-B740-7CCEFBF517C0}"/>
    <cellStyle name="Calculation 3 3 9 2 3" xfId="8661" xr:uid="{C5F63ED7-4954-4F48-8387-22C56AE9B287}"/>
    <cellStyle name="Calculation 3 3 9 2 4" xfId="10367" xr:uid="{6E4EFC3A-AE8B-436A-9A93-9E401A07187B}"/>
    <cellStyle name="Calculation 3 3 9 2 5" xfId="11863" xr:uid="{7762F8E5-9A12-490A-BB49-DDF78510400F}"/>
    <cellStyle name="Calculation 3 3 9 2 6" xfId="13338" xr:uid="{04195BDA-E438-45D8-90DD-941C27D52F7A}"/>
    <cellStyle name="Calculation 3 3 9 2 7" xfId="15010" xr:uid="{32EEA793-C355-4771-8FFC-D4417827DEFD}"/>
    <cellStyle name="Calculation 3 3 9 2 8" xfId="16678" xr:uid="{A9BEFD93-1D4F-45B7-BE54-F33D2D94AB38}"/>
    <cellStyle name="Calculation 3 3 9 3" xfId="6498" xr:uid="{F3438D02-E680-4324-973C-B55DE6B4C2C7}"/>
    <cellStyle name="Calculation 3 3 9 4" xfId="7784" xr:uid="{FC6A9AC3-135F-4B32-B240-75A40775B392}"/>
    <cellStyle name="Calculation 3 3 9 5" xfId="9474" xr:uid="{3DA8BE10-05A5-4314-A72A-3AA9C4BF8B52}"/>
    <cellStyle name="Calculation 3 3 9 6" xfId="11128" xr:uid="{C103F91A-8DDA-4D07-A964-46DF95E3BDB8}"/>
    <cellStyle name="Calculation 3 3 9 7" xfId="12463" xr:uid="{FB8F7E66-2B50-43F3-BF16-11B8FCD62D80}"/>
    <cellStyle name="Calculation 3 3 9 8" xfId="14117" xr:uid="{A4207000-80AE-4F49-9E7E-B4526E633733}"/>
    <cellStyle name="Calculation 3 3 9 9" xfId="15803" xr:uid="{4E02B410-F356-4960-A7D2-22A8B8EF821C}"/>
    <cellStyle name="Calculation 3 4" xfId="3084" xr:uid="{D59CE3D2-549F-4004-9191-CC99A8C09F15}"/>
    <cellStyle name="Calculation 3 4 2" xfId="3964" xr:uid="{1F29372D-2840-4EF9-B800-41A4B5E140E0}"/>
    <cellStyle name="Calculation 3 4 2 2" xfId="4823" xr:uid="{3CCB0415-7026-4743-9061-CCEF52745631}"/>
    <cellStyle name="Calculation 3 4 2 2 2" xfId="7318" xr:uid="{FAEF58F2-B5FC-4AE3-8FCA-077740554C3B}"/>
    <cellStyle name="Calculation 3 4 2 2 3" xfId="8731" xr:uid="{4BE27412-81FF-4154-B916-3D0979FC6083}"/>
    <cellStyle name="Calculation 3 4 2 2 4" xfId="10440" xr:uid="{5FFB5EC7-9053-481B-9EC4-44BCA22282CC}"/>
    <cellStyle name="Calculation 3 4 2 2 5" xfId="11936" xr:uid="{357E9EF8-41E7-4417-960D-2E70D60D2936}"/>
    <cellStyle name="Calculation 3 4 2 2 6" xfId="13408" xr:uid="{D82E555F-C8D0-4674-827D-F1E329F1CA02}"/>
    <cellStyle name="Calculation 3 4 2 2 7" xfId="15083" xr:uid="{6C5B7B82-969B-4032-B8BE-4C3C409B0BD1}"/>
    <cellStyle name="Calculation 3 4 2 2 8" xfId="16748" xr:uid="{C2D9DFE8-A1E6-4055-BEC2-C4640EC46FBC}"/>
    <cellStyle name="Calculation 3 4 2 3" xfId="6580" xr:uid="{91B71128-E06B-4DEC-9026-31D193369132}"/>
    <cellStyle name="Calculation 3 4 2 4" xfId="7890" xr:uid="{2FA525AC-EDFE-48D3-B0DC-A00A854CB901}"/>
    <cellStyle name="Calculation 3 4 2 5" xfId="9583" xr:uid="{07C1120A-7166-4661-BB89-981650110D95}"/>
    <cellStyle name="Calculation 3 4 2 6" xfId="11210" xr:uid="{6F1BA929-FA79-4E4E-95BD-E2C748791C09}"/>
    <cellStyle name="Calculation 3 4 2 7" xfId="12569" xr:uid="{D9ABCA06-A670-46EF-B374-A9EAFC7AC541}"/>
    <cellStyle name="Calculation 3 4 2 8" xfId="14226" xr:uid="{F4E5EE95-37F4-4771-9885-3B96B466BEB8}"/>
    <cellStyle name="Calculation 3 4 2 9" xfId="15909" xr:uid="{299E1B0C-8EAB-4CA7-859B-8EDC64DF8E9A}"/>
    <cellStyle name="Calculation 3 4 3" xfId="3526" xr:uid="{008C7FB4-DB20-4E43-8ECD-275B073383B2}"/>
    <cellStyle name="Calculation 3 4 3 2" xfId="4537" xr:uid="{9F35F840-388F-42A4-906B-BF9CC2A73DFA}"/>
    <cellStyle name="Calculation 3 4 3 2 2" xfId="7032" xr:uid="{18B52A96-FC16-4347-9D04-78A2B9D8B848}"/>
    <cellStyle name="Calculation 3 4 3 2 3" xfId="8451" xr:uid="{9C452DA0-EA49-4850-ACA5-B5309F07B8B4}"/>
    <cellStyle name="Calculation 3 4 3 2 4" xfId="10154" xr:uid="{8E295F22-92BF-4A83-B829-F7F394959920}"/>
    <cellStyle name="Calculation 3 4 3 2 5" xfId="11650" xr:uid="{DD3C3188-038D-4B55-95C0-D3E43A857E27}"/>
    <cellStyle name="Calculation 3 4 3 2 6" xfId="13128" xr:uid="{4A88EB7B-135E-4B7B-826E-BC3CB7A18582}"/>
    <cellStyle name="Calculation 3 4 3 2 7" xfId="14797" xr:uid="{B4F2344A-84EB-4FFF-99B4-460FF377A087}"/>
    <cellStyle name="Calculation 3 4 3 2 8" xfId="16468" xr:uid="{6F0F9A28-1446-468B-BAF7-4A35F8F6EF1B}"/>
    <cellStyle name="Calculation 3 4 3 3" xfId="6250" xr:uid="{648A964E-2854-4BCD-B37F-1D10515E5CB0}"/>
    <cellStyle name="Calculation 3 4 3 4" xfId="5141" xr:uid="{6593CFBF-C8F7-4EED-80DA-0418D64F1A72}"/>
    <cellStyle name="Calculation 3 4 3 5" xfId="9145" xr:uid="{03073523-B284-4FB7-A32C-535DC06567CB}"/>
    <cellStyle name="Calculation 3 4 3 6" xfId="10881" xr:uid="{4267F48E-A65E-427B-876D-808910A47BB9}"/>
    <cellStyle name="Calculation 3 4 3 7" xfId="12137" xr:uid="{40F552D9-9AC6-455A-BF39-B041A836A92F}"/>
    <cellStyle name="Calculation 3 4 3 8" xfId="13788" xr:uid="{C5E15F90-8D5A-458F-94FD-0A8CD4FA62D8}"/>
    <cellStyle name="Calculation 3 4 3 9" xfId="15477" xr:uid="{ED5BD7D8-F42D-4F2F-BEFD-0D6A8E3F278B}"/>
    <cellStyle name="Calculation 3 4 4" xfId="5577" xr:uid="{32040F13-2AB4-41CB-A7A4-95D5A4F4EDE8}"/>
    <cellStyle name="Calculation 3 5" xfId="3030" xr:uid="{21EC01F9-6DD3-4AF6-AFE1-222B9432B7F2}"/>
    <cellStyle name="Calculation 3 5 10" xfId="11040" xr:uid="{6ED1879E-0489-4E68-9733-F5CB05E5C6A0}"/>
    <cellStyle name="Calculation 3 5 2" xfId="3910" xr:uid="{627C76C7-3884-40E3-A82F-10484B35DD1A}"/>
    <cellStyle name="Calculation 3 5 2 2" xfId="4785" xr:uid="{D7AF2206-4FDC-46E7-906B-8D374933519A}"/>
    <cellStyle name="Calculation 3 5 2 2 2" xfId="7280" xr:uid="{D5E00735-4F40-49BC-8FE4-42A4C405653A}"/>
    <cellStyle name="Calculation 3 5 2 2 3" xfId="8695" xr:uid="{B9ADC095-0842-4A3C-988E-D7A3D95D466E}"/>
    <cellStyle name="Calculation 3 5 2 2 4" xfId="10402" xr:uid="{7336AD2C-02F3-4EB9-B548-29AB69194A5F}"/>
    <cellStyle name="Calculation 3 5 2 2 5" xfId="11898" xr:uid="{A044157C-9C63-48DD-A4C3-9E9111ECCF1B}"/>
    <cellStyle name="Calculation 3 5 2 2 6" xfId="13372" xr:uid="{BCC1F5EE-8788-4229-B0AE-3373A4AD2E5A}"/>
    <cellStyle name="Calculation 3 5 2 2 7" xfId="15045" xr:uid="{FA6AD3A9-30C6-4855-8D54-80C8EAC9C319}"/>
    <cellStyle name="Calculation 3 5 2 2 8" xfId="16712" xr:uid="{A4210346-8F6F-4A2B-90C1-DBBF2E0A45FE}"/>
    <cellStyle name="Calculation 3 5 2 3" xfId="6539" xr:uid="{8083DAC4-4385-4A2B-A5D8-20CFBF4BAAD4}"/>
    <cellStyle name="Calculation 3 5 2 4" xfId="7838" xr:uid="{2E189B1B-E804-4238-A321-05699ACAAB24}"/>
    <cellStyle name="Calculation 3 5 2 5" xfId="9529" xr:uid="{C0B25B91-6878-41B8-A185-38DD72A5F4F7}"/>
    <cellStyle name="Calculation 3 5 2 6" xfId="11170" xr:uid="{5091A262-137E-4185-86FA-326191091F14}"/>
    <cellStyle name="Calculation 3 5 2 7" xfId="12517" xr:uid="{1D0BF905-6961-43D6-8543-8316E1AA45FF}"/>
    <cellStyle name="Calculation 3 5 2 8" xfId="14172" xr:uid="{178235D8-6E63-4C5B-8DDF-48C603D42E7F}"/>
    <cellStyle name="Calculation 3 5 2 9" xfId="15857" xr:uid="{F38A10EE-A5C7-4576-9B45-423D75619A8E}"/>
    <cellStyle name="Calculation 3 5 3" xfId="3472" xr:uid="{066E6839-1A3B-4CEB-901E-2CB4B1132FEB}"/>
    <cellStyle name="Calculation 3 5 3 2" xfId="4499" xr:uid="{61DFCC2B-F02A-4FBD-A9CF-D8B0A8BC3313}"/>
    <cellStyle name="Calculation 3 5 3 2 2" xfId="6994" xr:uid="{9CE86239-C722-4ABE-A873-75BD012BFDA8}"/>
    <cellStyle name="Calculation 3 5 3 2 3" xfId="8415" xr:uid="{15960516-C5A2-41B5-83BD-2E05B8DD3CEC}"/>
    <cellStyle name="Calculation 3 5 3 2 4" xfId="10116" xr:uid="{8EDB31B2-2DAB-4280-AFA8-80851A637812}"/>
    <cellStyle name="Calculation 3 5 3 2 5" xfId="11612" xr:uid="{5D904FA0-6317-4889-87D6-F7DBB0BF7F99}"/>
    <cellStyle name="Calculation 3 5 3 2 6" xfId="13092" xr:uid="{57F62031-E8C5-4709-AEAF-B66B91F0E506}"/>
    <cellStyle name="Calculation 3 5 3 2 7" xfId="14759" xr:uid="{35390727-EC02-4213-B546-DF616659115A}"/>
    <cellStyle name="Calculation 3 5 3 2 8" xfId="16432" xr:uid="{2D3E6562-81E0-4A4A-9BE5-25DA9D7B323B}"/>
    <cellStyle name="Calculation 3 5 3 3" xfId="6207" xr:uid="{23B20F75-9AD9-4B79-A98D-ED2DA350DD3C}"/>
    <cellStyle name="Calculation 3 5 3 4" xfId="5174" xr:uid="{07E797C5-24DF-4F03-93DD-4E6B40DA9861}"/>
    <cellStyle name="Calculation 3 5 3 5" xfId="9091" xr:uid="{6248045B-CF4F-412B-8E55-58E1DD36AAC2}"/>
    <cellStyle name="Calculation 3 5 3 6" xfId="10841" xr:uid="{78ED421D-926C-4382-8583-87D2C806643C}"/>
    <cellStyle name="Calculation 3 5 3 7" xfId="5849" xr:uid="{8059A15C-9FBE-435F-B922-0298E99B73A5}"/>
    <cellStyle name="Calculation 3 5 3 8" xfId="13734" xr:uid="{729A3310-D9A4-4327-B5A9-5186D7304A9B}"/>
    <cellStyle name="Calculation 3 5 3 9" xfId="15425" xr:uid="{2FBA5C22-267A-46BC-9E0E-483602FF199A}"/>
    <cellStyle name="Calculation 3 5 4" xfId="4283" xr:uid="{B4DCF9A8-9A0B-4A6D-82DC-6D70935D939A}"/>
    <cellStyle name="Calculation 3 5 4 2" xfId="6814" xr:uid="{2A36F903-AAEB-4FDB-96E0-BFC26BFD6D66}"/>
    <cellStyle name="Calculation 3 5 4 3" xfId="8205" xr:uid="{C0CC5449-BDCD-438E-A6A6-AE53294801A7}"/>
    <cellStyle name="Calculation 3 5 4 4" xfId="9900" xr:uid="{CA55E0A5-24C4-4FE6-86ED-369CB57E0DEA}"/>
    <cellStyle name="Calculation 3 5 4 5" xfId="11434" xr:uid="{3C2A689E-EE82-45A8-958A-80464F8F9575}"/>
    <cellStyle name="Calculation 3 5 4 6" xfId="12882" xr:uid="{105E4800-3D69-4742-82D1-02F296080C24}"/>
    <cellStyle name="Calculation 3 5 4 7" xfId="14543" xr:uid="{EC03BE0B-70C6-41DF-A623-3F4D600FF647}"/>
    <cellStyle name="Calculation 3 5 4 8" xfId="16222" xr:uid="{B1880CE3-C5F8-4D11-ADC8-E77570B8150A}"/>
    <cellStyle name="Calculation 3 5 5" xfId="5917" xr:uid="{6F209034-C1EB-435E-A2F8-3C0904555946}"/>
    <cellStyle name="Calculation 3 5 6" xfId="5261" xr:uid="{770F9B06-80E1-413C-BB8D-337947281A74}"/>
    <cellStyle name="Calculation 3 5 7" xfId="5400" xr:uid="{8E52A15C-F192-4250-97B6-C7791A36F51B}"/>
    <cellStyle name="Calculation 3 5 8" xfId="5019" xr:uid="{02427F6B-3CB5-4818-AAC0-605372505A57}"/>
    <cellStyle name="Calculation 3 5 9" xfId="5378" xr:uid="{A0BEEB98-5941-4992-BE45-37168CA52F3E}"/>
    <cellStyle name="Calculation 3 6" xfId="3202" xr:uid="{7FA23D1F-7DB9-4413-98AC-0FEB7E6B72B0}"/>
    <cellStyle name="Calculation 3 6 10" xfId="10827" xr:uid="{8EB9802D-E1FB-4B16-B07C-84696E70EEC5}"/>
    <cellStyle name="Calculation 3 6 2" xfId="4082" xr:uid="{18DA9E33-2B5C-466C-8CBD-E9C1D632925D}"/>
    <cellStyle name="Calculation 3 6 2 2" xfId="4900" xr:uid="{35612B9D-B2B1-4DDB-8A6E-43EDF6765744}"/>
    <cellStyle name="Calculation 3 6 2 2 2" xfId="7395" xr:uid="{FDC6E9D9-575B-4FE2-BD88-408D37D518E7}"/>
    <cellStyle name="Calculation 3 6 2 2 3" xfId="8807" xr:uid="{1BE2711C-15D2-46D8-963D-AF51DD511BE8}"/>
    <cellStyle name="Calculation 3 6 2 2 4" xfId="10517" xr:uid="{5C13EBD2-3F89-4324-8FFA-DD94D02803F7}"/>
    <cellStyle name="Calculation 3 6 2 2 5" xfId="12013" xr:uid="{CB845DF4-E7C4-47C2-8BE8-ADD78957B6C8}"/>
    <cellStyle name="Calculation 3 6 2 2 6" xfId="13484" xr:uid="{0C796939-C042-4592-834A-9A6B0588A0C9}"/>
    <cellStyle name="Calculation 3 6 2 2 7" xfId="15160" xr:uid="{60CF7994-526A-42DE-9A63-EF14A66B6C1F}"/>
    <cellStyle name="Calculation 3 6 2 2 8" xfId="16824" xr:uid="{956D790F-DF8B-47BE-B2C5-40D3B3C27CA8}"/>
    <cellStyle name="Calculation 3 6 2 3" xfId="6668" xr:uid="{DFCD5AAD-8312-4CF4-9CCB-ADB78ADEBCCB}"/>
    <cellStyle name="Calculation 3 6 2 4" xfId="8007" xr:uid="{0AA526EB-56F9-4043-8203-956B8CE2EEBA}"/>
    <cellStyle name="Calculation 3 6 2 5" xfId="9701" xr:uid="{5364B109-0CA6-4FA9-9128-4E4FF79A266E}"/>
    <cellStyle name="Calculation 3 6 2 6" xfId="11295" xr:uid="{FF8FE155-0945-4573-854B-80B859A660B8}"/>
    <cellStyle name="Calculation 3 6 2 7" xfId="12686" xr:uid="{256E41D5-D3C5-4371-A86F-BE57ACF09E8C}"/>
    <cellStyle name="Calculation 3 6 2 8" xfId="14344" xr:uid="{69BB7B23-3C9B-4936-A5BE-420AA5355C8C}"/>
    <cellStyle name="Calculation 3 6 2 9" xfId="16026" xr:uid="{76C35A9F-B23F-43BB-B858-82F51DF5FBF2}"/>
    <cellStyle name="Calculation 3 6 3" xfId="3644" xr:uid="{6C8020B8-644B-4972-81E1-842CC48017E3}"/>
    <cellStyle name="Calculation 3 6 3 2" xfId="4614" xr:uid="{19D67F20-8F54-412C-814A-ADFB7C82F3F2}"/>
    <cellStyle name="Calculation 3 6 3 2 2" xfId="7109" xr:uid="{5F87708E-240A-497D-A80A-255ED7E0297E}"/>
    <cellStyle name="Calculation 3 6 3 2 3" xfId="8527" xr:uid="{42F4D730-1416-4B72-A40D-2B4053374241}"/>
    <cellStyle name="Calculation 3 6 3 2 4" xfId="10231" xr:uid="{BB296D5D-D519-49E9-BDB7-DF9810030D46}"/>
    <cellStyle name="Calculation 3 6 3 2 5" xfId="11727" xr:uid="{8FA71950-EF21-49B0-A730-6AC90BC32510}"/>
    <cellStyle name="Calculation 3 6 3 2 6" xfId="13204" xr:uid="{1E3E4E8F-2A08-4429-A285-BC53BCA94601}"/>
    <cellStyle name="Calculation 3 6 3 2 7" xfId="14874" xr:uid="{F069F3AD-EF82-4EC3-9387-862213C2046B}"/>
    <cellStyle name="Calculation 3 6 3 2 8" xfId="16544" xr:uid="{48EEB9AD-20BE-463E-A5AA-B255DE6D428A}"/>
    <cellStyle name="Calculation 3 6 3 3" xfId="6341" xr:uid="{C4526234-7C9B-4E6F-BDCF-4DC71D155FC7}"/>
    <cellStyle name="Calculation 3 6 3 4" xfId="7575" xr:uid="{E8211C90-1C42-42AF-B90C-D0EDC83144C5}"/>
    <cellStyle name="Calculation 3 6 3 5" xfId="9263" xr:uid="{26BB588C-A17B-4708-B398-6983C570ED3A}"/>
    <cellStyle name="Calculation 3 6 3 6" xfId="10967" xr:uid="{F06E8E96-0B12-42D2-AC1F-14E15EADA407}"/>
    <cellStyle name="Calculation 3 6 3 7" xfId="12254" xr:uid="{7A43B7E4-3616-4191-B2F7-603C6603A4DE}"/>
    <cellStyle name="Calculation 3 6 3 8" xfId="13906" xr:uid="{17168323-5AB7-4E05-902F-9804D879CAB6}"/>
    <cellStyle name="Calculation 3 6 3 9" xfId="15594" xr:uid="{66355EDA-EE13-46AF-8B15-2631174C2E88}"/>
    <cellStyle name="Calculation 3 6 4" xfId="4360" xr:uid="{996C34C6-8DE5-45CD-ABA1-B9840FB74E86}"/>
    <cellStyle name="Calculation 3 6 4 2" xfId="6876" xr:uid="{0C7ED8FD-B207-4070-89B8-1C665E0E0E4C}"/>
    <cellStyle name="Calculation 3 6 4 3" xfId="8279" xr:uid="{B9249AF7-C02E-4166-AF4E-48D46CE21DF8}"/>
    <cellStyle name="Calculation 3 6 4 4" xfId="9977" xr:uid="{B519A21A-F07E-4BBE-B6A8-F0D19BB16921}"/>
    <cellStyle name="Calculation 3 6 4 5" xfId="11495" xr:uid="{5F40A663-EC5B-4F99-8BFC-42EB88D89AC0}"/>
    <cellStyle name="Calculation 3 6 4 6" xfId="12956" xr:uid="{1099BB27-9BBB-4348-9A45-CFE1FF81F82D}"/>
    <cellStyle name="Calculation 3 6 4 7" xfId="14620" xr:uid="{314E439A-242E-4302-A997-3802BF53B6B8}"/>
    <cellStyle name="Calculation 3 6 4 8" xfId="16296" xr:uid="{D6940315-82E6-4B94-ADB8-25A0E89DEC1C}"/>
    <cellStyle name="Calculation 3 6 5" xfId="6027" xr:uid="{D758A4B0-BE29-4E34-8116-E71EC95CCA9D}"/>
    <cellStyle name="Calculation 3 6 6" xfId="5231" xr:uid="{783A3C78-2EDA-4B32-8462-2877BD438EFA}"/>
    <cellStyle name="Calculation 3 6 7" xfId="10672" xr:uid="{24F1EFDE-0FE1-436A-958C-309083475D32}"/>
    <cellStyle name="Calculation 3 6 8" xfId="5475" xr:uid="{D7CA72CC-DC7F-438D-AC48-115D8C7E065A}"/>
    <cellStyle name="Calculation 3 6 9" xfId="6080" xr:uid="{A1A95886-9751-47C1-BBA6-E633A2679CDF}"/>
    <cellStyle name="Calculation 3 7" xfId="3837" xr:uid="{D556FA7F-40E0-4FF0-95B1-31984E7EAFE1}"/>
    <cellStyle name="Calculation 3 7 2" xfId="4736" xr:uid="{4DA16422-0A44-485F-9F70-9A3CB5E91069}"/>
    <cellStyle name="Calculation 3 7 2 2" xfId="7231" xr:uid="{360E02AE-CC14-4965-A79B-553C693F80C7}"/>
    <cellStyle name="Calculation 3 7 2 3" xfId="8647" xr:uid="{DE94CA69-AA91-45E3-AF37-E0D351980316}"/>
    <cellStyle name="Calculation 3 7 2 4" xfId="10353" xr:uid="{D513E3D2-E46C-4E0A-933C-25EE9672C4A4}"/>
    <cellStyle name="Calculation 3 7 2 5" xfId="11849" xr:uid="{2D79B176-B7A7-4045-8130-0831B577E0BF}"/>
    <cellStyle name="Calculation 3 7 2 6" xfId="13324" xr:uid="{D17DB56B-3916-401E-AF85-ECD37351D8A5}"/>
    <cellStyle name="Calculation 3 7 2 7" xfId="14996" xr:uid="{EA2C4DB2-AF80-4941-BE7B-B6AD07119FDE}"/>
    <cellStyle name="Calculation 3 7 2 8" xfId="16664" xr:uid="{0A256948-B440-4594-B715-1CCAFF30E149}"/>
    <cellStyle name="Calculation 3 7 3" xfId="6482" xr:uid="{04D462E4-5AEC-4AC3-9B1A-4C9CFB28609E}"/>
    <cellStyle name="Calculation 3 7 4" xfId="7766" xr:uid="{DA812D9E-81B6-41ED-A078-B8E6E738D83C}"/>
    <cellStyle name="Calculation 3 7 5" xfId="9456" xr:uid="{F34326B0-F1D7-4EA5-8844-E84B6805AE0E}"/>
    <cellStyle name="Calculation 3 7 6" xfId="11113" xr:uid="{92069583-368A-45C1-B250-394740CE7D7E}"/>
    <cellStyle name="Calculation 3 7 7" xfId="12445" xr:uid="{1B358C94-3DEB-4C1E-8539-C98A3C89DE0A}"/>
    <cellStyle name="Calculation 3 7 8" xfId="14099" xr:uid="{7BF1DCAA-344A-4CB7-AD9C-F5833BEBB4BF}"/>
    <cellStyle name="Calculation 3 7 9" xfId="15785" xr:uid="{833C6DF1-0810-4012-9625-540BCE74834C}"/>
    <cellStyle name="Calculation 3 8" xfId="3400" xr:uid="{BAFD32F0-853E-47C1-A3C7-3C6025370DA0}"/>
    <cellStyle name="Calculation 3 8 2" xfId="4451" xr:uid="{4F613FCB-C35B-4A15-9104-0247F75584E5}"/>
    <cellStyle name="Calculation 3 8 2 2" xfId="6946" xr:uid="{1EF02E4F-B443-4D3E-BF73-B82A82FA4935}"/>
    <cellStyle name="Calculation 3 8 2 3" xfId="8367" xr:uid="{9EC60D4E-6191-427C-A80B-7D8E90CFCC38}"/>
    <cellStyle name="Calculation 3 8 2 4" xfId="10068" xr:uid="{C73F8C6A-BA88-4A8F-90BE-5A28EBC4A1CD}"/>
    <cellStyle name="Calculation 3 8 2 5" xfId="11564" xr:uid="{83D449D1-5FBE-4068-A692-ABDA6E98F276}"/>
    <cellStyle name="Calculation 3 8 2 6" xfId="13044" xr:uid="{8D9B66C9-F223-4FA4-B285-2662D4B80BB1}"/>
    <cellStyle name="Calculation 3 8 2 7" xfId="14711" xr:uid="{51E7BC55-E8D8-4C3A-9ACA-F8C031084172}"/>
    <cellStyle name="Calculation 3 8 2 8" xfId="16384" xr:uid="{486DB73D-B548-4187-B099-B569E1543542}"/>
    <cellStyle name="Calculation 3 8 3" xfId="6153" xr:uid="{694883AD-BCD0-42E1-96F4-EDE286534E91}"/>
    <cellStyle name="Calculation 3 8 4" xfId="6094" xr:uid="{AD95D3C9-CD16-4847-8D3B-D352D96C0C65}"/>
    <cellStyle name="Calculation 3 8 5" xfId="9019" xr:uid="{E4031F76-83F5-46A8-9C06-65816C58AA2A}"/>
    <cellStyle name="Calculation 3 8 6" xfId="10786" xr:uid="{6F5B8C6E-2406-40BC-A5A4-14A64BAEB236}"/>
    <cellStyle name="Calculation 3 8 7" xfId="5855" xr:uid="{5BA30390-9570-4AC1-9EED-110E7A6720CB}"/>
    <cellStyle name="Calculation 3 8 8" xfId="13662" xr:uid="{30270F3F-774D-4942-8D40-E34819E7EAEF}"/>
    <cellStyle name="Calculation 3 8 9" xfId="15353" xr:uid="{2B7D6348-6254-4301-BD3D-42F594304640}"/>
    <cellStyle name="Calculation 3 9" xfId="5922" xr:uid="{65EA4DD5-D826-45DA-A7BE-E895DCE77D7F}"/>
    <cellStyle name="Calculation 4" xfId="386" xr:uid="{B9C020B9-3249-4D9A-A6FE-792CE1AC3237}"/>
    <cellStyle name="Calculation 4 10" xfId="5570" xr:uid="{67B9934F-9266-4D4D-B0A3-4F3974B236B7}"/>
    <cellStyle name="Calculation 4 2" xfId="2992" xr:uid="{3DE179BC-EFAE-4217-8149-1BB92DBE3889}"/>
    <cellStyle name="Calculation 4 2 10" xfId="3437" xr:uid="{37E9BFF1-675E-4906-B405-8672194510F0}"/>
    <cellStyle name="Calculation 4 2 10 2" xfId="4480" xr:uid="{A3172176-A209-4507-BB52-F4EECFA4920A}"/>
    <cellStyle name="Calculation 4 2 10 2 2" xfId="6975" xr:uid="{8BA3E39E-E413-4150-B9BB-FC32D6FAA84B}"/>
    <cellStyle name="Calculation 4 2 10 2 3" xfId="8396" xr:uid="{FCC9C516-81CB-4DA7-96A1-EE717E1F19A4}"/>
    <cellStyle name="Calculation 4 2 10 2 4" xfId="10097" xr:uid="{D38CBE69-C755-4589-8187-154B7027F267}"/>
    <cellStyle name="Calculation 4 2 10 2 5" xfId="11593" xr:uid="{91E966FA-8732-4BA5-BE29-99161A8F2DD3}"/>
    <cellStyle name="Calculation 4 2 10 2 6" xfId="13073" xr:uid="{D3C6D1CE-D4FB-41DE-98B1-17F9ED611EE1}"/>
    <cellStyle name="Calculation 4 2 10 2 7" xfId="14740" xr:uid="{7DC74CF7-B638-4F99-8C78-B6099E9A7BAC}"/>
    <cellStyle name="Calculation 4 2 10 2 8" xfId="16413" xr:uid="{84B46611-2DEA-42D4-89A3-285EF3BFB50D}"/>
    <cellStyle name="Calculation 4 2 10 3" xfId="6184" xr:uid="{64812185-88E4-4F1F-9251-B7DDB34AEACB}"/>
    <cellStyle name="Calculation 4 2 10 4" xfId="5203" xr:uid="{091CB6BF-5F39-4DF2-ABC0-BAC5172C4277}"/>
    <cellStyle name="Calculation 4 2 10 5" xfId="9056" xr:uid="{1E55D09F-71CD-4679-B013-8848A95760EA}"/>
    <cellStyle name="Calculation 4 2 10 6" xfId="10818" xr:uid="{8EC6FAC9-D792-4456-8114-708267E8B72E}"/>
    <cellStyle name="Calculation 4 2 10 7" xfId="5329" xr:uid="{DBD2B801-8562-4B59-AC1A-747051EFB0F4}"/>
    <cellStyle name="Calculation 4 2 10 8" xfId="13699" xr:uid="{C0352E2F-A34E-4A06-913E-2ECD0E44A354}"/>
    <cellStyle name="Calculation 4 2 10 9" xfId="15390" xr:uid="{8AE8F1FD-1B7C-4E06-91A6-4ED785482FC7}"/>
    <cellStyle name="Calculation 4 2 11" xfId="5830" xr:uid="{0FA38772-47B4-4FEC-A988-46641F1808C0}"/>
    <cellStyle name="Calculation 4 2 12" xfId="5902" xr:uid="{4969E358-C2A3-4D4C-9119-CCD5F50C2828}"/>
    <cellStyle name="Calculation 4 2 2" xfId="3278" xr:uid="{9AD9D097-4188-41E9-A115-4AB41F9A1415}"/>
    <cellStyle name="Calculation 4 2 2 2" xfId="4158" xr:uid="{D1FF79AD-B176-46CB-B31C-4F8F5D407F20}"/>
    <cellStyle name="Calculation 4 2 2 2 2" xfId="4951" xr:uid="{9AF12BEF-5E8D-49F2-940F-9C1B26161ADA}"/>
    <cellStyle name="Calculation 4 2 2 2 2 2" xfId="7446" xr:uid="{6EADFF18-487C-4E50-870F-9B68EFC66D4E}"/>
    <cellStyle name="Calculation 4 2 2 2 2 3" xfId="8858" xr:uid="{AA2F2FBE-372A-4BD0-B603-078A016C5FD9}"/>
    <cellStyle name="Calculation 4 2 2 2 2 4" xfId="10568" xr:uid="{A28AADC8-07BC-46C8-8748-71D7F6746532}"/>
    <cellStyle name="Calculation 4 2 2 2 2 5" xfId="12064" xr:uid="{895FFCDB-4BBF-481B-BF63-138ED2E4900F}"/>
    <cellStyle name="Calculation 4 2 2 2 2 6" xfId="13535" xr:uid="{511546B4-E19D-4A9D-BBB6-85359A90C55A}"/>
    <cellStyle name="Calculation 4 2 2 2 2 7" xfId="15211" xr:uid="{CC611905-0191-4CB0-ABC7-C520FD104180}"/>
    <cellStyle name="Calculation 4 2 2 2 2 8" xfId="16875" xr:uid="{5A0A745E-1716-4757-AA9E-4FD47E942D90}"/>
    <cellStyle name="Calculation 4 2 2 2 3" xfId="6726" xr:uid="{4E430F3B-1456-4D4C-93EE-136E60C541C1}"/>
    <cellStyle name="Calculation 4 2 2 2 4" xfId="8083" xr:uid="{777E65D3-280C-4FA7-895B-21B378B43D0C}"/>
    <cellStyle name="Calculation 4 2 2 2 5" xfId="9777" xr:uid="{26553593-12AB-496D-B06D-9EE0CE78A87D}"/>
    <cellStyle name="Calculation 4 2 2 2 6" xfId="11353" xr:uid="{94558D24-BB10-4014-B002-4B2E43DF5FBA}"/>
    <cellStyle name="Calculation 4 2 2 2 7" xfId="12762" xr:uid="{62299A2B-4A2A-4043-B9CE-9B996D130EAD}"/>
    <cellStyle name="Calculation 4 2 2 2 8" xfId="14420" xr:uid="{3A0A70E0-37FB-40A1-8A3B-07EFA500DFDF}"/>
    <cellStyle name="Calculation 4 2 2 2 9" xfId="16102" xr:uid="{16221131-1F97-463A-9377-9EC50905DB40}"/>
    <cellStyle name="Calculation 4 2 2 3" xfId="3720" xr:uid="{4614C11E-B194-41DF-B14A-64DD79CCB214}"/>
    <cellStyle name="Calculation 4 2 2 3 2" xfId="4665" xr:uid="{913321AF-C4D5-406E-9632-7B5F7001E447}"/>
    <cellStyle name="Calculation 4 2 2 3 2 2" xfId="7160" xr:uid="{906B8CBC-418E-4E95-9C38-BE986D8384A1}"/>
    <cellStyle name="Calculation 4 2 2 3 2 3" xfId="8578" xr:uid="{CEB9D03B-B957-465F-9CFE-05E2071285E2}"/>
    <cellStyle name="Calculation 4 2 2 3 2 4" xfId="10282" xr:uid="{8AC815B5-802D-47B4-A5D6-D1462715713C}"/>
    <cellStyle name="Calculation 4 2 2 3 2 5" xfId="11778" xr:uid="{759518AB-DE37-4750-9BE9-82912FD2E8EC}"/>
    <cellStyle name="Calculation 4 2 2 3 2 6" xfId="13255" xr:uid="{507A3596-5E92-44A2-AC01-6F5742E5F873}"/>
    <cellStyle name="Calculation 4 2 2 3 2 7" xfId="14925" xr:uid="{CF9B7B0F-81B3-4B96-8412-DA26FDD515A5}"/>
    <cellStyle name="Calculation 4 2 2 3 2 8" xfId="16595" xr:uid="{B8F42C2B-59EB-4D1A-8735-53107C0505C7}"/>
    <cellStyle name="Calculation 4 2 2 3 3" xfId="6400" xr:uid="{24B52C88-EEA5-44EA-B6C7-C1EE3161A448}"/>
    <cellStyle name="Calculation 4 2 2 3 4" xfId="7651" xr:uid="{7675CA15-6E79-4114-BAEE-7C784223E708}"/>
    <cellStyle name="Calculation 4 2 2 3 5" xfId="9339" xr:uid="{FC38C6D0-BED8-4FBC-805B-09B77ACE8CF0}"/>
    <cellStyle name="Calculation 4 2 2 3 6" xfId="11026" xr:uid="{98272193-00BE-4EDD-B591-B4FB35C5474D}"/>
    <cellStyle name="Calculation 4 2 2 3 7" xfId="12330" xr:uid="{91C06973-B790-495F-ACB3-437B3167533D}"/>
    <cellStyle name="Calculation 4 2 2 3 8" xfId="13982" xr:uid="{D5239D69-6AF6-49E3-A266-75E4B46603F2}"/>
    <cellStyle name="Calculation 4 2 2 3 9" xfId="15670" xr:uid="{59703BAB-B808-485E-8E6D-8F9CBF88D1FD}"/>
    <cellStyle name="Calculation 4 2 2 4" xfId="8945" xr:uid="{8BA66941-F77B-43AD-A436-FA91558FAB0A}"/>
    <cellStyle name="Calculation 4 2 3" xfId="3144" xr:uid="{2FCA6188-91F5-4B5D-8AC2-1A8FAF8B0714}"/>
    <cellStyle name="Calculation 4 2 3 2" xfId="4024" xr:uid="{69730DD2-C5A7-46E9-A162-0E42BD3415B9}"/>
    <cellStyle name="Calculation 4 2 3 2 2" xfId="4867" xr:uid="{B3B1D142-FB39-48DC-974B-8EB07DE8B8C2}"/>
    <cellStyle name="Calculation 4 2 3 2 2 2" xfId="7362" xr:uid="{17F2107E-1897-41B3-BA53-E935BB6C865F}"/>
    <cellStyle name="Calculation 4 2 3 2 2 3" xfId="8775" xr:uid="{CCD546CA-F942-4CA8-AEDA-04CA0A97C2CD}"/>
    <cellStyle name="Calculation 4 2 3 2 2 4" xfId="10484" xr:uid="{F5161C73-381D-413A-AAC3-8B715B7C0873}"/>
    <cellStyle name="Calculation 4 2 3 2 2 5" xfId="11980" xr:uid="{6A86E27D-29CB-460B-B466-2A9334FDB656}"/>
    <cellStyle name="Calculation 4 2 3 2 2 6" xfId="13452" xr:uid="{305C8DF3-AB00-4525-B881-A8EAC80CCC68}"/>
    <cellStyle name="Calculation 4 2 3 2 2 7" xfId="15127" xr:uid="{D5DADED8-17D7-4035-9ECC-DCD8E89B74E7}"/>
    <cellStyle name="Calculation 4 2 3 2 2 8" xfId="16792" xr:uid="{0CFB258E-79CF-435F-902A-C54BCA5E080B}"/>
    <cellStyle name="Calculation 4 2 3 2 3" xfId="6628" xr:uid="{781C8E31-C98C-4C84-82B5-A7B1F576E4E4}"/>
    <cellStyle name="Calculation 4 2 3 2 4" xfId="7950" xr:uid="{C7152D6A-25C7-4E24-BE8C-85D539339293}"/>
    <cellStyle name="Calculation 4 2 3 2 5" xfId="9643" xr:uid="{F14B2A6A-3912-46AB-B13B-C81489B91E15}"/>
    <cellStyle name="Calculation 4 2 3 2 6" xfId="11254" xr:uid="{5600F417-5745-480F-A884-D66F909BB910}"/>
    <cellStyle name="Calculation 4 2 3 2 7" xfId="12629" xr:uid="{96B65CE4-3313-4B03-9AAA-958B7CD0E9F9}"/>
    <cellStyle name="Calculation 4 2 3 2 8" xfId="14286" xr:uid="{2FF8C07A-2A91-421E-8B17-2827CDF98007}"/>
    <cellStyle name="Calculation 4 2 3 2 9" xfId="15969" xr:uid="{8F3B96A7-12DB-4B80-A139-180DDBCBDF45}"/>
    <cellStyle name="Calculation 4 2 3 3" xfId="3586" xr:uid="{E9634165-409F-4F17-A433-3F6B0B7A3D09}"/>
    <cellStyle name="Calculation 4 2 3 3 2" xfId="4581" xr:uid="{2DCB3007-129F-43B2-8EE6-22910308E805}"/>
    <cellStyle name="Calculation 4 2 3 3 2 2" xfId="7076" xr:uid="{6F96A071-ADEB-4F74-B181-2D019D9E55FD}"/>
    <cellStyle name="Calculation 4 2 3 3 2 3" xfId="8495" xr:uid="{DF7D634B-0AFE-4CA3-BDA4-935D53994DE6}"/>
    <cellStyle name="Calculation 4 2 3 3 2 4" xfId="10198" xr:uid="{62EF46BF-7664-4881-AC7E-D36341960038}"/>
    <cellStyle name="Calculation 4 2 3 3 2 5" xfId="11694" xr:uid="{73471FA0-41AC-4AC5-8443-6E020FDC0D8F}"/>
    <cellStyle name="Calculation 4 2 3 3 2 6" xfId="13172" xr:uid="{FE8363CC-5AF9-406D-833F-6D5223EDDCEB}"/>
    <cellStyle name="Calculation 4 2 3 3 2 7" xfId="14841" xr:uid="{30B61100-84C7-46B6-AA68-67CA7B060B6A}"/>
    <cellStyle name="Calculation 4 2 3 3 2 8" xfId="16512" xr:uid="{09D488CE-BEB8-474D-9D71-139F79FD94F3}"/>
    <cellStyle name="Calculation 4 2 3 3 3" xfId="6298" xr:uid="{CFF42F4E-5845-43D6-9D04-B5CA1F76E471}"/>
    <cellStyle name="Calculation 4 2 3 3 4" xfId="7518" xr:uid="{ED7BF919-92C3-43C1-AA5A-3BA81D4E0441}"/>
    <cellStyle name="Calculation 4 2 3 3 5" xfId="9205" xr:uid="{3F79EC00-E297-47FE-BB0A-B3994F230364}"/>
    <cellStyle name="Calculation 4 2 3 3 6" xfId="10929" xr:uid="{151A23A8-1473-4560-B17D-69A66D7A09C1}"/>
    <cellStyle name="Calculation 4 2 3 3 7" xfId="12197" xr:uid="{8848903C-7340-4A58-949E-C2B91DABF693}"/>
    <cellStyle name="Calculation 4 2 3 3 8" xfId="13848" xr:uid="{FD4A35DE-2A07-432B-AF54-DD5A20DF41E0}"/>
    <cellStyle name="Calculation 4 2 3 3 9" xfId="15537" xr:uid="{C7BDDC08-75F5-4BD0-8557-5AF72DED5E9F}"/>
    <cellStyle name="Calculation 4 2 3 4" xfId="5996" xr:uid="{F671D2DF-61BE-4322-9406-6AD83E949C04}"/>
    <cellStyle name="Calculation 4 2 4" xfId="3216" xr:uid="{AE463CEE-F30F-47CE-A759-1157D2B25576}"/>
    <cellStyle name="Calculation 4 2 4 2" xfId="4096" xr:uid="{FB95060D-5DB5-47A3-A0F0-0A9C0EC22002}"/>
    <cellStyle name="Calculation 4 2 4 2 2" xfId="4908" xr:uid="{36FFA3D3-FCE6-4161-A8A4-1922CAFC31E4}"/>
    <cellStyle name="Calculation 4 2 4 2 2 2" xfId="7403" xr:uid="{C0D48B09-B43B-427A-AA3B-53C15B083760}"/>
    <cellStyle name="Calculation 4 2 4 2 2 3" xfId="8815" xr:uid="{12BF8BBF-A553-43CA-97F5-07AC38C546FA}"/>
    <cellStyle name="Calculation 4 2 4 2 2 4" xfId="10525" xr:uid="{37F41171-943B-40C7-A795-69D9A3E070A6}"/>
    <cellStyle name="Calculation 4 2 4 2 2 5" xfId="12021" xr:uid="{570A34BE-0818-4E85-8002-5208D2EC88D4}"/>
    <cellStyle name="Calculation 4 2 4 2 2 6" xfId="13492" xr:uid="{7BE50DAD-C8D8-4AFB-8D6E-03C26FA3BA7F}"/>
    <cellStyle name="Calculation 4 2 4 2 2 7" xfId="15168" xr:uid="{2AF169C1-B77C-415B-B8B0-EE0C894C3EC3}"/>
    <cellStyle name="Calculation 4 2 4 2 2 8" xfId="16832" xr:uid="{A6D9139C-3F04-4DBB-9784-AA32EFB48A11}"/>
    <cellStyle name="Calculation 4 2 4 2 3" xfId="6677" xr:uid="{4AC21AA3-9B92-4005-83FF-F77A37EB2712}"/>
    <cellStyle name="Calculation 4 2 4 2 4" xfId="8021" xr:uid="{375F503A-B199-43C7-9944-31BB6A10CA68}"/>
    <cellStyle name="Calculation 4 2 4 2 5" xfId="9715" xr:uid="{F2C93A7B-4ABB-4A01-BD6D-F5BA8726C7E2}"/>
    <cellStyle name="Calculation 4 2 4 2 6" xfId="11305" xr:uid="{7A253A82-DEED-459F-A2D0-AA8F8DF6A07B}"/>
    <cellStyle name="Calculation 4 2 4 2 7" xfId="12700" xr:uid="{298C4D7C-C571-4B43-A37D-95C23039AFBD}"/>
    <cellStyle name="Calculation 4 2 4 2 8" xfId="14358" xr:uid="{82D166A1-337E-4085-9DAF-F2B82D796F44}"/>
    <cellStyle name="Calculation 4 2 4 2 9" xfId="16040" xr:uid="{851A635F-891C-4296-93A4-C82DFB49BF23}"/>
    <cellStyle name="Calculation 4 2 4 3" xfId="3658" xr:uid="{35193CC0-9F7B-4673-B1D9-CB81E082EB46}"/>
    <cellStyle name="Calculation 4 2 4 3 2" xfId="4622" xr:uid="{67BABD9A-094F-41E3-9DB0-F77655791AB2}"/>
    <cellStyle name="Calculation 4 2 4 3 2 2" xfId="7117" xr:uid="{A133FD4B-1DBB-4F59-B89D-7F3A48AF8450}"/>
    <cellStyle name="Calculation 4 2 4 3 2 3" xfId="8535" xr:uid="{F5F50C7F-04D9-44B4-9BA2-3E4AEA33F610}"/>
    <cellStyle name="Calculation 4 2 4 3 2 4" xfId="10239" xr:uid="{68D4339F-BD86-4C22-BF5B-36ECE42CD71C}"/>
    <cellStyle name="Calculation 4 2 4 3 2 5" xfId="11735" xr:uid="{81546AB1-34AD-4E4C-9EB6-F673A8B7BEEE}"/>
    <cellStyle name="Calculation 4 2 4 3 2 6" xfId="13212" xr:uid="{527B2EF2-B0EB-4791-9913-2BBC3B655B42}"/>
    <cellStyle name="Calculation 4 2 4 3 2 7" xfId="14882" xr:uid="{7C82BC57-24B0-49DD-84BC-D89276D6D77C}"/>
    <cellStyle name="Calculation 4 2 4 3 2 8" xfId="16552" xr:uid="{B7C23073-761B-403C-A349-3D2B2EA16A27}"/>
    <cellStyle name="Calculation 4 2 4 3 3" xfId="6350" xr:uid="{79601178-1009-4C36-A2F0-22AC94061FC1}"/>
    <cellStyle name="Calculation 4 2 4 3 4" xfId="7589" xr:uid="{333CCA5F-5B05-4ECE-B5E5-2AD8545742B1}"/>
    <cellStyle name="Calculation 4 2 4 3 5" xfId="9277" xr:uid="{2921D2B3-AD8D-4DE0-B395-48DB642393C8}"/>
    <cellStyle name="Calculation 4 2 4 3 6" xfId="10977" xr:uid="{33C6E21E-4947-43F8-A10C-DB6D13DEEB2B}"/>
    <cellStyle name="Calculation 4 2 4 3 7" xfId="12268" xr:uid="{971578FE-3AFE-4CE8-A4E4-DC12A9171012}"/>
    <cellStyle name="Calculation 4 2 4 3 8" xfId="13920" xr:uid="{0B6B71D5-68B7-41AE-AE49-5EC79838B677}"/>
    <cellStyle name="Calculation 4 2 4 3 9" xfId="15608" xr:uid="{8C28662C-6A43-4490-BC15-AEA2679F7A4A}"/>
    <cellStyle name="Calculation 4 2 4 4" xfId="6336" xr:uid="{F0596EFA-3E33-4669-91C7-A398ED4EACF0}"/>
    <cellStyle name="Calculation 4 2 5" xfId="3316" xr:uid="{41D52B88-69C8-428E-B899-382B13169ABF}"/>
    <cellStyle name="Calculation 4 2 5 2" xfId="4196" xr:uid="{43AF0D4E-7E7A-4744-820A-ADC759412E6A}"/>
    <cellStyle name="Calculation 4 2 5 2 2" xfId="4980" xr:uid="{A707E8A1-0DDF-4B87-94C2-426B434AB969}"/>
    <cellStyle name="Calculation 4 2 5 2 2 2" xfId="7475" xr:uid="{80EC87BB-401C-46DA-AC6E-AC20C829272A}"/>
    <cellStyle name="Calculation 4 2 5 2 2 3" xfId="8886" xr:uid="{931EB0D9-4FE1-4EB1-991B-2ED2D43CC5B2}"/>
    <cellStyle name="Calculation 4 2 5 2 2 4" xfId="10597" xr:uid="{62B1B4DB-CB85-48EC-996B-88D18EE9EA72}"/>
    <cellStyle name="Calculation 4 2 5 2 2 5" xfId="12093" xr:uid="{8A1C8233-3EB6-4DC6-9516-DB6285EE084D}"/>
    <cellStyle name="Calculation 4 2 5 2 2 6" xfId="13563" xr:uid="{AA5C3DF6-F844-4434-9B43-3919AEF8FE12}"/>
    <cellStyle name="Calculation 4 2 5 2 2 7" xfId="15240" xr:uid="{F3CC7029-B41A-4CB1-AB8D-83D9F18F1A3C}"/>
    <cellStyle name="Calculation 4 2 5 2 2 8" xfId="16903" xr:uid="{ADE9BC9A-4CC2-4EBD-BA42-C88C0DB872D4}"/>
    <cellStyle name="Calculation 4 2 5 2 3" xfId="6756" xr:uid="{F09F38D6-2C2B-411F-B3C2-34218F1FA9B4}"/>
    <cellStyle name="Calculation 4 2 5 2 4" xfId="8120" xr:uid="{0EAD6E9B-3DA0-429E-9BB3-D4D4EC912EC3}"/>
    <cellStyle name="Calculation 4 2 5 2 5" xfId="9815" xr:uid="{691F5273-0BBC-4995-8BA0-6A9A552DE31C}"/>
    <cellStyle name="Calculation 4 2 5 2 6" xfId="11384" xr:uid="{A1CDA284-8E14-4870-BA92-8889D0EFAA94}"/>
    <cellStyle name="Calculation 4 2 5 2 7" xfId="12799" xr:uid="{645FA4C7-293F-4EE7-A62E-98EF4D965D76}"/>
    <cellStyle name="Calculation 4 2 5 2 8" xfId="14458" xr:uid="{90F3DFCC-2432-4E93-8653-F862D798F86A}"/>
    <cellStyle name="Calculation 4 2 5 2 9" xfId="16139" xr:uid="{C583610A-CBCC-4751-8834-1E9AABA124D6}"/>
    <cellStyle name="Calculation 4 2 5 3" xfId="3757" xr:uid="{B78F1EE1-5FAE-4621-A547-A717408E7A57}"/>
    <cellStyle name="Calculation 4 2 5 3 2" xfId="4693" xr:uid="{9725FBD1-88B3-4AD0-93E5-A2270416EE63}"/>
    <cellStyle name="Calculation 4 2 5 3 2 2" xfId="7188" xr:uid="{0E2C53FF-BCC3-4DBD-810E-C97E6445F195}"/>
    <cellStyle name="Calculation 4 2 5 3 2 3" xfId="8606" xr:uid="{A9221639-F9B2-4512-8397-5FE570A36803}"/>
    <cellStyle name="Calculation 4 2 5 3 2 4" xfId="10310" xr:uid="{1381ECC9-D997-4C14-8680-ABC2DC60E8C2}"/>
    <cellStyle name="Calculation 4 2 5 3 2 5" xfId="11806" xr:uid="{2A7ED35D-8B68-43BF-AC69-B08E4E0D7207}"/>
    <cellStyle name="Calculation 4 2 5 3 2 6" xfId="13283" xr:uid="{7CD7DABD-2BAC-4015-A3F1-93F1ADA2DB66}"/>
    <cellStyle name="Calculation 4 2 5 3 2 7" xfId="14953" xr:uid="{FDD82B82-81AF-436F-A776-34F11A891ACD}"/>
    <cellStyle name="Calculation 4 2 5 3 2 8" xfId="16623" xr:uid="{48C79743-EA4E-4198-AAD1-E0524D723063}"/>
    <cellStyle name="Calculation 4 2 5 3 3" xfId="6429" xr:uid="{E9F6B8C6-C517-4A4A-AA3A-1D47956847C9}"/>
    <cellStyle name="Calculation 4 2 5 3 4" xfId="7688" xr:uid="{7734E12D-B683-4D8A-A3AF-697D11C0CE02}"/>
    <cellStyle name="Calculation 4 2 5 3 5" xfId="9376" xr:uid="{6312B8A6-CA89-4324-B093-663192E5FB75}"/>
    <cellStyle name="Calculation 4 2 5 3 6" xfId="11058" xr:uid="{83DEBE97-8286-4404-B8C4-645C6799B252}"/>
    <cellStyle name="Calculation 4 2 5 3 7" xfId="12367" xr:uid="{ADB132B0-A43C-4BAF-9E0F-67D58CDD755B}"/>
    <cellStyle name="Calculation 4 2 5 3 8" xfId="14019" xr:uid="{50269475-4B18-4A9A-A7F5-959628CF1747}"/>
    <cellStyle name="Calculation 4 2 5 3 9" xfId="15707" xr:uid="{9A0EE016-A620-4857-89B3-C16C44709CC7}"/>
    <cellStyle name="Calculation 4 2 5 4" xfId="8979" xr:uid="{94E01160-6F93-4345-835D-645396A16DD8}"/>
    <cellStyle name="Calculation 4 2 6" xfId="3246" xr:uid="{38618EB1-D7A6-4D00-AA4E-868102969B72}"/>
    <cellStyle name="Calculation 4 2 6 10" xfId="15291" xr:uid="{4A9E0CDC-8A22-4261-99E8-1E3CFEAE8A92}"/>
    <cellStyle name="Calculation 4 2 6 2" xfId="4126" xr:uid="{6AFF84A4-23F9-4986-8D56-54D7DC839374}"/>
    <cellStyle name="Calculation 4 2 6 2 2" xfId="4926" xr:uid="{DB5589BE-9227-44A2-BF43-FFD0E229F451}"/>
    <cellStyle name="Calculation 4 2 6 2 2 2" xfId="7421" xr:uid="{C2239F4D-F03A-48D2-BE6B-D46305223822}"/>
    <cellStyle name="Calculation 4 2 6 2 2 3" xfId="8833" xr:uid="{3900BFDB-3D85-42DD-9907-CCB8E812DDF4}"/>
    <cellStyle name="Calculation 4 2 6 2 2 4" xfId="10543" xr:uid="{7C669A7F-6DC2-4AB3-A56C-BDE0A3146EEC}"/>
    <cellStyle name="Calculation 4 2 6 2 2 5" xfId="12039" xr:uid="{E9FF6DD2-2D49-45AD-AC1A-96B56299B126}"/>
    <cellStyle name="Calculation 4 2 6 2 2 6" xfId="13510" xr:uid="{BB7B78F7-0E4A-499B-AB54-3F46644BE88D}"/>
    <cellStyle name="Calculation 4 2 6 2 2 7" xfId="15186" xr:uid="{6E3B5442-C9CB-4A66-836B-FDE01FE7428C}"/>
    <cellStyle name="Calculation 4 2 6 2 2 8" xfId="16850" xr:uid="{2172FFA1-8E9E-4644-9A48-3DD67402D8A1}"/>
    <cellStyle name="Calculation 4 2 6 2 3" xfId="6698" xr:uid="{FDF1504C-165D-4042-A950-4987CCA6C11B}"/>
    <cellStyle name="Calculation 4 2 6 2 4" xfId="8051" xr:uid="{12BDD9B6-176D-4CDA-90A0-716594BE9D48}"/>
    <cellStyle name="Calculation 4 2 6 2 5" xfId="9745" xr:uid="{D58B85C3-C0F5-43C5-B0CC-BCB1B095616B}"/>
    <cellStyle name="Calculation 4 2 6 2 6" xfId="11326" xr:uid="{948EED0B-1E3D-4578-B389-49BC20FDF99D}"/>
    <cellStyle name="Calculation 4 2 6 2 7" xfId="12730" xr:uid="{7D14B8F9-1C22-4663-8A08-C3A02BA54286}"/>
    <cellStyle name="Calculation 4 2 6 2 8" xfId="14388" xr:uid="{31D6091F-44B1-4822-B848-2D5D281D6121}"/>
    <cellStyle name="Calculation 4 2 6 2 9" xfId="16070" xr:uid="{80CBCB65-5F9E-4CE5-AC89-B86F1D74AA4C}"/>
    <cellStyle name="Calculation 4 2 6 3" xfId="3688" xr:uid="{B62D9777-1EE4-45B4-964E-99D20FA4CE7F}"/>
    <cellStyle name="Calculation 4 2 6 3 2" xfId="4640" xr:uid="{8C856171-D644-4FCE-90B7-AA0544975CD6}"/>
    <cellStyle name="Calculation 4 2 6 3 2 2" xfId="7135" xr:uid="{CBAD7C08-1D1B-430D-AD54-63EBB08B7709}"/>
    <cellStyle name="Calculation 4 2 6 3 2 3" xfId="8553" xr:uid="{B9BD62D6-BD7F-4E1C-A5D3-46AB46C313A1}"/>
    <cellStyle name="Calculation 4 2 6 3 2 4" xfId="10257" xr:uid="{3BF17043-913E-4ABB-BF34-D36EB7B10E9D}"/>
    <cellStyle name="Calculation 4 2 6 3 2 5" xfId="11753" xr:uid="{712584BB-771B-4D4D-9642-1641711F2378}"/>
    <cellStyle name="Calculation 4 2 6 3 2 6" xfId="13230" xr:uid="{9B9CEAF0-E750-4944-A5E9-598BB620E6F2}"/>
    <cellStyle name="Calculation 4 2 6 3 2 7" xfId="14900" xr:uid="{653A85C1-7B55-4148-8ACD-7719BA366BC5}"/>
    <cellStyle name="Calculation 4 2 6 3 2 8" xfId="16570" xr:uid="{5D60444A-18C9-4357-9F8C-F0715C5022FE}"/>
    <cellStyle name="Calculation 4 2 6 3 3" xfId="6372" xr:uid="{1E70EA5B-2577-40EE-A556-DCD3720CD504}"/>
    <cellStyle name="Calculation 4 2 6 3 4" xfId="7619" xr:uid="{1A06D916-4080-4DCB-A4BC-30C95637FE64}"/>
    <cellStyle name="Calculation 4 2 6 3 5" xfId="9307" xr:uid="{F7B0DD47-2350-4E90-94B9-C2AB8E0726BD}"/>
    <cellStyle name="Calculation 4 2 6 3 6" xfId="10998" xr:uid="{4F6B6BD6-C642-4B05-9AB5-6AE617017D30}"/>
    <cellStyle name="Calculation 4 2 6 3 7" xfId="12298" xr:uid="{1AEFAFFA-E61D-4967-B829-C29A990267A9}"/>
    <cellStyle name="Calculation 4 2 6 3 8" xfId="13950" xr:uid="{C4F25336-B61F-417A-ACD5-5D7E87A8BF8C}"/>
    <cellStyle name="Calculation 4 2 6 3 9" xfId="15638" xr:uid="{590E3E37-C062-414C-BEBB-F68D9FFEFDD3}"/>
    <cellStyle name="Calculation 4 2 6 4" xfId="4388" xr:uid="{E1959FC0-EFB2-4571-A3A7-E1F08DE52ACD}"/>
    <cellStyle name="Calculation 4 2 6 4 2" xfId="6896" xr:uid="{53FD9FEB-13C3-4601-84BE-3B809BA59971}"/>
    <cellStyle name="Calculation 4 2 6 4 3" xfId="8307" xr:uid="{2072F829-582E-4BB7-A84B-E299273AD65E}"/>
    <cellStyle name="Calculation 4 2 6 4 4" xfId="10005" xr:uid="{5ACAC220-091F-44F6-BB97-DE48146B9841}"/>
    <cellStyle name="Calculation 4 2 6 4 5" xfId="11516" xr:uid="{324DCF2C-3B63-4405-83E3-6C38009373CC}"/>
    <cellStyle name="Calculation 4 2 6 4 6" xfId="12984" xr:uid="{162973A3-E194-4AF1-BBF7-DCDE4755F1D8}"/>
    <cellStyle name="Calculation 4 2 6 4 7" xfId="14648" xr:uid="{08B74CF9-DCEE-47EB-937A-CEE46E5A2771}"/>
    <cellStyle name="Calculation 4 2 6 4 8" xfId="16324" xr:uid="{4EA6FFFB-6B9A-41B3-81DD-20EF02CE406D}"/>
    <cellStyle name="Calculation 4 2 6 5" xfId="6063" xr:uid="{DC425A2E-104E-4C33-A208-F4DCD1CDC38B}"/>
    <cellStyle name="Calculation 4 2 6 6" xfId="5616" xr:uid="{22267A66-518B-4471-81FF-E0489F31DBED}"/>
    <cellStyle name="Calculation 4 2 6 7" xfId="10706" xr:uid="{6BE63D58-9ABA-4C20-839E-43655D9AD406}"/>
    <cellStyle name="Calculation 4 2 6 8" xfId="5445" xr:uid="{B328F8AB-E2C7-41B3-A224-7D99CC51BF1E}"/>
    <cellStyle name="Calculation 4 2 6 9" xfId="11264" xr:uid="{04668453-0BBB-4763-8E14-7B63C57CA4AF}"/>
    <cellStyle name="Calculation 4 2 7" xfId="3186" xr:uid="{596362DA-CE5A-4005-968E-B46F82FFADB4}"/>
    <cellStyle name="Calculation 4 2 7 10" xfId="5799" xr:uid="{7ACE16E6-8CE4-48CD-B0BB-B8FC3E8578B0}"/>
    <cellStyle name="Calculation 4 2 7 2" xfId="4066" xr:uid="{E755843A-067D-426B-AA02-6B6015224F23}"/>
    <cellStyle name="Calculation 4 2 7 2 2" xfId="4889" xr:uid="{C8A26904-01AC-44F8-ADF9-649C64700FA4}"/>
    <cellStyle name="Calculation 4 2 7 2 2 2" xfId="7384" xr:uid="{67080D07-800F-4C74-B5DC-661DB9F6CF64}"/>
    <cellStyle name="Calculation 4 2 7 2 2 3" xfId="8796" xr:uid="{650D2692-3E4D-45CC-828C-7EB619AE0F8E}"/>
    <cellStyle name="Calculation 4 2 7 2 2 4" xfId="10506" xr:uid="{BD7AE8EB-8AB5-4E8F-9788-183C98FD052D}"/>
    <cellStyle name="Calculation 4 2 7 2 2 5" xfId="12002" xr:uid="{BE2A16C6-DE0D-4F35-98BD-1EFB72FC0296}"/>
    <cellStyle name="Calculation 4 2 7 2 2 6" xfId="13473" xr:uid="{D0A07EC1-5DB3-406A-A943-7DCDFCD191FB}"/>
    <cellStyle name="Calculation 4 2 7 2 2 7" xfId="15149" xr:uid="{5CA8360A-21D0-4649-BE1B-413CAF0B8D56}"/>
    <cellStyle name="Calculation 4 2 7 2 2 8" xfId="16813" xr:uid="{AF68EE1C-26B6-4103-850D-5AD076DC59A3}"/>
    <cellStyle name="Calculation 4 2 7 2 3" xfId="6656" xr:uid="{CFE8BB67-649E-4B53-A303-ACB53B4D82A9}"/>
    <cellStyle name="Calculation 4 2 7 2 4" xfId="7991" xr:uid="{CC425C87-2712-4C4A-BD1D-95477053F0C7}"/>
    <cellStyle name="Calculation 4 2 7 2 5" xfId="9685" xr:uid="{BFED3740-91B0-4796-BA8F-3A8219366035}"/>
    <cellStyle name="Calculation 4 2 7 2 6" xfId="11283" xr:uid="{1E5AFFC4-CE7C-4D44-8B29-0976A107D409}"/>
    <cellStyle name="Calculation 4 2 7 2 7" xfId="12670" xr:uid="{88E31D2C-07DC-47FB-AE3C-B1F645B0ACEF}"/>
    <cellStyle name="Calculation 4 2 7 2 8" xfId="14328" xr:uid="{929E75BE-FC43-41A7-AC9E-2F155553A683}"/>
    <cellStyle name="Calculation 4 2 7 2 9" xfId="16010" xr:uid="{D359D028-6856-4998-9C81-715C7505C973}"/>
    <cellStyle name="Calculation 4 2 7 3" xfId="3628" xr:uid="{F8819527-F1A3-4B7F-BD23-3F90460C222A}"/>
    <cellStyle name="Calculation 4 2 7 3 2" xfId="4603" xr:uid="{FCABBDDD-6DCA-4853-A737-D9112C5B1D21}"/>
    <cellStyle name="Calculation 4 2 7 3 2 2" xfId="7098" xr:uid="{9FD09449-01A2-42FC-BDDB-A0D0E06BB6CB}"/>
    <cellStyle name="Calculation 4 2 7 3 2 3" xfId="8516" xr:uid="{BEDF1160-F639-4E63-BD51-F31023EB0F7E}"/>
    <cellStyle name="Calculation 4 2 7 3 2 4" xfId="10220" xr:uid="{49C3CA3B-4E31-4F53-A61E-FD75B30D913A}"/>
    <cellStyle name="Calculation 4 2 7 3 2 5" xfId="11716" xr:uid="{9F594EE1-F841-436B-8EA7-A1535695F1F5}"/>
    <cellStyle name="Calculation 4 2 7 3 2 6" xfId="13193" xr:uid="{A4487F2F-0C5C-45B7-B247-77B45ADB3C01}"/>
    <cellStyle name="Calculation 4 2 7 3 2 7" xfId="14863" xr:uid="{9E8D9016-002A-444C-A8EB-FFA2740AF5B2}"/>
    <cellStyle name="Calculation 4 2 7 3 2 8" xfId="16533" xr:uid="{3ADAA4C1-52F0-4DC7-9CD7-B4572DA1DF6F}"/>
    <cellStyle name="Calculation 4 2 7 3 3" xfId="6329" xr:uid="{8EAF5286-C066-4E49-BCBC-F7246D09A7BD}"/>
    <cellStyle name="Calculation 4 2 7 3 4" xfId="7559" xr:uid="{ABBEA576-1B6F-4041-AC1C-3288061CB7FB}"/>
    <cellStyle name="Calculation 4 2 7 3 5" xfId="9247" xr:uid="{5951C860-119E-4AEF-BC1A-DDF5CBA1F3B4}"/>
    <cellStyle name="Calculation 4 2 7 3 6" xfId="10956" xr:uid="{4CAADCDF-EFAB-497D-A68A-71FC1ED13191}"/>
    <cellStyle name="Calculation 4 2 7 3 7" xfId="12238" xr:uid="{50F0CAC4-D11C-440C-8073-B9FBD126FF25}"/>
    <cellStyle name="Calculation 4 2 7 3 8" xfId="13890" xr:uid="{D1A85A8B-0DB3-43E8-875E-D12F84ED91FA}"/>
    <cellStyle name="Calculation 4 2 7 3 9" xfId="15578" xr:uid="{15474F25-5028-4C98-94EC-FA15285F7582}"/>
    <cellStyle name="Calculation 4 2 7 4" xfId="4348" xr:uid="{06459998-94C4-4F73-A770-50979F1E8A67}"/>
    <cellStyle name="Calculation 4 2 7 4 2" xfId="6865" xr:uid="{5A64F752-33C0-49FB-A874-8D4682432287}"/>
    <cellStyle name="Calculation 4 2 7 4 3" xfId="8267" xr:uid="{5F87248A-3CAD-465D-9EEB-25E2671B3C46}"/>
    <cellStyle name="Calculation 4 2 7 4 4" xfId="9965" xr:uid="{C79873F3-5859-46BA-9175-5E1C519F7D8C}"/>
    <cellStyle name="Calculation 4 2 7 4 5" xfId="11484" xr:uid="{7EF5CC15-6C90-4AFE-A6CC-3EEDB19AEC7F}"/>
    <cellStyle name="Calculation 4 2 7 4 6" xfId="12944" xr:uid="{5CABD838-49D5-4A79-9C71-3AB04512237D}"/>
    <cellStyle name="Calculation 4 2 7 4 7" xfId="14608" xr:uid="{FFE92B8A-A2B9-4BDC-9E7A-32303D38E706}"/>
    <cellStyle name="Calculation 4 2 7 4 8" xfId="16284" xr:uid="{3158F37C-2E1C-4288-A72B-DB3E6C309FFB}"/>
    <cellStyle name="Calculation 4 2 7 5" xfId="6014" xr:uid="{740B6DFC-7832-4722-85F3-15820066CB19}"/>
    <cellStyle name="Calculation 4 2 7 6" xfId="5591" xr:uid="{2530E217-0752-4C65-8881-933D1AD216B1}"/>
    <cellStyle name="Calculation 4 2 7 7" xfId="10660" xr:uid="{78904CFF-7861-4439-AFF7-C170D0F33872}"/>
    <cellStyle name="Calculation 4 2 7 8" xfId="5288" xr:uid="{C1AC3E81-D58D-48D4-B660-A9D80D2E9635}"/>
    <cellStyle name="Calculation 4 2 7 9" xfId="5761" xr:uid="{160D5E19-457A-4022-96E1-FE0D5EF61393}"/>
    <cellStyle name="Calculation 4 2 8" xfId="3377" xr:uid="{618A199F-1395-4087-9D55-BEFDF1B5C884}"/>
    <cellStyle name="Calculation 4 2 8 10" xfId="15334" xr:uid="{D86CFB31-CAB6-4DF5-8658-E471D697F583}"/>
    <cellStyle name="Calculation 4 2 8 2" xfId="4257" xr:uid="{60A85BC4-5035-4761-BA33-0EB91217F7B6}"/>
    <cellStyle name="Calculation 4 2 8 2 2" xfId="5009" xr:uid="{531CCEA5-65D8-4002-A270-B3ACFA54B3EC}"/>
    <cellStyle name="Calculation 4 2 8 2 2 2" xfId="7504" xr:uid="{99E32E33-1BEC-4E41-8684-C048E0361C66}"/>
    <cellStyle name="Calculation 4 2 8 2 2 3" xfId="8914" xr:uid="{A7DA8785-A79E-4A02-890B-F111E8CA1CAF}"/>
    <cellStyle name="Calculation 4 2 8 2 2 4" xfId="10626" xr:uid="{0CBD8CC7-E10A-4706-B8FC-6B3EB0299F22}"/>
    <cellStyle name="Calculation 4 2 8 2 2 5" xfId="12122" xr:uid="{1D6BD481-B874-41E6-AB3E-26C5ACF86A31}"/>
    <cellStyle name="Calculation 4 2 8 2 2 6" xfId="13591" xr:uid="{E3F20C9F-F94C-4CDF-9CCB-1B4F44B09D79}"/>
    <cellStyle name="Calculation 4 2 8 2 2 7" xfId="15269" xr:uid="{FC846FEA-17F7-4DA1-AF3F-6AED7CBD84BC}"/>
    <cellStyle name="Calculation 4 2 8 2 2 8" xfId="16931" xr:uid="{5542822E-7573-43A4-AEA0-D84DABBE69FC}"/>
    <cellStyle name="Calculation 4 2 8 2 3" xfId="6797" xr:uid="{47D77856-0A7A-4E28-9BAD-DDB75DD10D1C}"/>
    <cellStyle name="Calculation 4 2 8 2 4" xfId="8180" xr:uid="{CB4686EF-7F1D-41B7-8129-E5E50E0015C5}"/>
    <cellStyle name="Calculation 4 2 8 2 5" xfId="9876" xr:uid="{5C87EF79-2533-42E1-9EED-B19B5E4D3F4A}"/>
    <cellStyle name="Calculation 4 2 8 2 6" xfId="11415" xr:uid="{A95B5AA2-6396-45FA-B08F-983B9F9B6B97}"/>
    <cellStyle name="Calculation 4 2 8 2 7" xfId="12859" xr:uid="{3109AA68-48AE-4BDD-BFF7-E5BC9391A968}"/>
    <cellStyle name="Calculation 4 2 8 2 8" xfId="14519" xr:uid="{F1D9F9FB-54B9-4EF3-BA33-44EECC63660E}"/>
    <cellStyle name="Calculation 4 2 8 2 9" xfId="16199" xr:uid="{459316CA-89CF-4F0C-94B7-CB786058B5F7}"/>
    <cellStyle name="Calculation 4 2 8 3" xfId="3817" xr:uid="{D599E1D5-10CB-4232-9702-957553AED5FB}"/>
    <cellStyle name="Calculation 4 2 8 3 2" xfId="4721" xr:uid="{604B1414-2D47-4CBD-85CE-662418811AEB}"/>
    <cellStyle name="Calculation 4 2 8 3 2 2" xfId="7216" xr:uid="{24FD82A7-F682-40B5-858D-445CD555A261}"/>
    <cellStyle name="Calculation 4 2 8 3 2 3" xfId="8634" xr:uid="{30CFC650-8BB3-4503-AB2B-3077CBF55885}"/>
    <cellStyle name="Calculation 4 2 8 3 2 4" xfId="10338" xr:uid="{EB65ACB6-38AD-4CA8-8EA0-CA79313A2ECE}"/>
    <cellStyle name="Calculation 4 2 8 3 2 5" xfId="11834" xr:uid="{C3E9F287-0090-4F36-BD01-36417F6F29E9}"/>
    <cellStyle name="Calculation 4 2 8 3 2 6" xfId="13311" xr:uid="{14511FCE-170D-4B88-A05C-8B3B00609F61}"/>
    <cellStyle name="Calculation 4 2 8 3 2 7" xfId="14981" xr:uid="{82A37DE4-7462-4D87-8D08-1422FA2FEB34}"/>
    <cellStyle name="Calculation 4 2 8 3 2 8" xfId="16651" xr:uid="{3DE497C1-3B8E-46D4-AD5F-6D92F1C73DB9}"/>
    <cellStyle name="Calculation 4 2 8 3 3" xfId="6467" xr:uid="{9590995C-5612-465E-9C41-37FC58239EED}"/>
    <cellStyle name="Calculation 4 2 8 3 4" xfId="7748" xr:uid="{04DC7E9D-E0B3-4AD1-B838-167DBC846689}"/>
    <cellStyle name="Calculation 4 2 8 3 5" xfId="9436" xr:uid="{CB99B3E0-5BE5-455F-8DBA-A7BCEBA9CF85}"/>
    <cellStyle name="Calculation 4 2 8 3 6" xfId="11096" xr:uid="{49A8882A-889F-4F9B-B564-34F90A27FFF7}"/>
    <cellStyle name="Calculation 4 2 8 3 7" xfId="12427" xr:uid="{ED5BF273-C8D0-4F01-9149-60D8A41ED3D1}"/>
    <cellStyle name="Calculation 4 2 8 3 8" xfId="14079" xr:uid="{F3B80F86-9354-4F8B-9642-E159CF483D39}"/>
    <cellStyle name="Calculation 4 2 8 3 9" xfId="15767" xr:uid="{98D567A2-3CE5-45DE-83F1-E3F64B67D37F}"/>
    <cellStyle name="Calculation 4 2 8 4" xfId="4433" xr:uid="{08F48F1F-4BF4-41FD-8A25-884BFEF25127}"/>
    <cellStyle name="Calculation 4 2 8 4 2" xfId="6931" xr:uid="{BED1B5AB-46B6-4608-AC2A-FA4BD6DB1B37}"/>
    <cellStyle name="Calculation 4 2 8 4 3" xfId="8350" xr:uid="{7892FB6C-B203-4582-9CCE-77FD381F556E}"/>
    <cellStyle name="Calculation 4 2 8 4 4" xfId="10050" xr:uid="{C907C52A-24D0-43F0-8064-08F75180D403}"/>
    <cellStyle name="Calculation 4 2 8 4 5" xfId="11548" xr:uid="{E83585A2-BAC6-4E2E-83A3-0C9BE711AE2C}"/>
    <cellStyle name="Calculation 4 2 8 4 6" xfId="13027" xr:uid="{A8168627-BB4D-4888-A2B0-3A6FFEFC87AC}"/>
    <cellStyle name="Calculation 4 2 8 4 7" xfId="14693" xr:uid="{495D5A82-8A5A-4C75-929F-E84EE68B82CB}"/>
    <cellStyle name="Calculation 4 2 8 4 8" xfId="16367" xr:uid="{4A34D298-3179-44FD-9401-0A392269CB6E}"/>
    <cellStyle name="Calculation 4 2 8 5" xfId="6135" xr:uid="{247EB0FB-B9F7-40F8-9FA7-F36AD5F90BB4}"/>
    <cellStyle name="Calculation 4 2 8 6" xfId="5676" xr:uid="{6EBD47BE-1925-4C68-8B31-45E21AD39C25}"/>
    <cellStyle name="Calculation 4 2 8 7" xfId="10767" xr:uid="{7AF5D723-BA85-4B03-B88E-B6FCA4180E72}"/>
    <cellStyle name="Calculation 4 2 8 8" xfId="5309" xr:uid="{64DCEC83-6C67-4F79-A254-948489110A0C}"/>
    <cellStyle name="Calculation 4 2 8 9" xfId="13643" xr:uid="{BF6001EC-E8EB-415E-A027-B67E646F3781}"/>
    <cellStyle name="Calculation 4 2 9" xfId="3875" xr:uid="{A8C32602-C7F6-41C1-B64F-6C885F4C6659}"/>
    <cellStyle name="Calculation 4 2 9 2" xfId="4766" xr:uid="{5AB5EB84-C060-49BC-B1D6-56577D601AC8}"/>
    <cellStyle name="Calculation 4 2 9 2 2" xfId="7261" xr:uid="{E033515F-2F38-40A6-BB3D-765E56F291A6}"/>
    <cellStyle name="Calculation 4 2 9 2 3" xfId="8676" xr:uid="{257F2507-2E5C-4376-969F-B015D652F079}"/>
    <cellStyle name="Calculation 4 2 9 2 4" xfId="10383" xr:uid="{4785D797-0ECA-4A48-A9A4-DC5D2C948D42}"/>
    <cellStyle name="Calculation 4 2 9 2 5" xfId="11879" xr:uid="{873C864B-D946-454B-B32A-8FD06789DDDC}"/>
    <cellStyle name="Calculation 4 2 9 2 6" xfId="13353" xr:uid="{A293007B-4C50-4EFB-BCB6-43C3894AC826}"/>
    <cellStyle name="Calculation 4 2 9 2 7" xfId="15026" xr:uid="{8659B03E-C151-4381-8374-8B805137A9E6}"/>
    <cellStyle name="Calculation 4 2 9 2 8" xfId="16693" xr:uid="{0876E27E-5379-4B07-A0EB-97395A406897}"/>
    <cellStyle name="Calculation 4 2 9 3" xfId="6516" xr:uid="{58444365-48AE-4E94-B8E0-F6268341FC04}"/>
    <cellStyle name="Calculation 4 2 9 4" xfId="7803" xr:uid="{6B46D5EC-76A0-491C-817D-5B714ABF4341}"/>
    <cellStyle name="Calculation 4 2 9 5" xfId="9494" xr:uid="{866BEDD0-3D95-4C14-99A9-7020EFD5B259}"/>
    <cellStyle name="Calculation 4 2 9 6" xfId="11147" xr:uid="{AFB5E7A8-BC04-4851-B687-5FA3428EFB98}"/>
    <cellStyle name="Calculation 4 2 9 7" xfId="12482" xr:uid="{48AEA546-D9FE-4E4B-9EFF-4F43AF5443C7}"/>
    <cellStyle name="Calculation 4 2 9 8" xfId="14137" xr:uid="{ED5FFE02-DB77-4FDB-A99A-F231ECD632FD}"/>
    <cellStyle name="Calculation 4 2 9 9" xfId="15822" xr:uid="{98FA80BA-F22D-48CE-8296-3A09E10FAA3F}"/>
    <cellStyle name="Calculation 4 3" xfId="2972" xr:uid="{9ABD9D8A-BDE5-4267-B32E-AB4685F5A541}"/>
    <cellStyle name="Calculation 4 3 10" xfId="3419" xr:uid="{75642540-470F-4516-8A3D-2CB41E955CBE}"/>
    <cellStyle name="Calculation 4 3 10 2" xfId="4466" xr:uid="{DE790E8C-B2CC-4669-943B-5482A8082B93}"/>
    <cellStyle name="Calculation 4 3 10 2 2" xfId="6961" xr:uid="{9CB52C1A-7667-4098-8241-1E3542127E92}"/>
    <cellStyle name="Calculation 4 3 10 2 3" xfId="8382" xr:uid="{D49A6EED-DD4E-4B7F-8340-4D4668B58821}"/>
    <cellStyle name="Calculation 4 3 10 2 4" xfId="10083" xr:uid="{E0351E69-47A1-41A1-B669-8607B73AD83D}"/>
    <cellStyle name="Calculation 4 3 10 2 5" xfId="11579" xr:uid="{6E6B8144-3054-4686-BC93-806302892718}"/>
    <cellStyle name="Calculation 4 3 10 2 6" xfId="13059" xr:uid="{E3A8D971-407C-4CA9-ADFE-648E1C5CCD81}"/>
    <cellStyle name="Calculation 4 3 10 2 7" xfId="14726" xr:uid="{876F1EF9-D415-4E21-BA10-50673496315E}"/>
    <cellStyle name="Calculation 4 3 10 2 8" xfId="16399" xr:uid="{621A672B-71B5-44F2-BB03-A7080C4E3FB7}"/>
    <cellStyle name="Calculation 4 3 10 3" xfId="6169" xr:uid="{46C84F95-6054-4DC9-8D3F-D82590D12D22}"/>
    <cellStyle name="Calculation 4 3 10 4" xfId="6059" xr:uid="{5D3C2064-D337-43F9-A8BB-9057077412D7}"/>
    <cellStyle name="Calculation 4 3 10 5" xfId="9038" xr:uid="{9A243F69-4BC8-43AA-8F51-5B2EAE081E4E}"/>
    <cellStyle name="Calculation 4 3 10 6" xfId="10802" xr:uid="{550A649B-6783-4633-A4CA-6D3B4C212F2B}"/>
    <cellStyle name="Calculation 4 3 10 7" xfId="5866" xr:uid="{33A9BE16-DACD-47C1-A085-9EB013434969}"/>
    <cellStyle name="Calculation 4 3 10 8" xfId="13681" xr:uid="{856057A7-09AD-4F8D-BFB5-EDFA4A81D9CF}"/>
    <cellStyle name="Calculation 4 3 10 9" xfId="15372" xr:uid="{5D8A11F9-B553-471B-A98F-9E667A5969B9}"/>
    <cellStyle name="Calculation 4 3 11" xfId="6446" xr:uid="{B2CB8723-11EF-483A-AA3E-899646C4637A}"/>
    <cellStyle name="Calculation 4 3 12" xfId="6449" xr:uid="{048BBD88-E122-448D-A213-2B6501E53899}"/>
    <cellStyle name="Calculation 4 3 2" xfId="3260" xr:uid="{64B7C64F-02F2-4729-8B76-C96855DC3609}"/>
    <cellStyle name="Calculation 4 3 2 2" xfId="4140" xr:uid="{4EB0CB9E-91C0-4990-8E66-4F6A90478E07}"/>
    <cellStyle name="Calculation 4 3 2 2 2" xfId="4937" xr:uid="{B861552D-B5D8-4B70-A9C6-63087545DABA}"/>
    <cellStyle name="Calculation 4 3 2 2 2 2" xfId="7432" xr:uid="{314974FD-41F3-4488-885F-396877A3122B}"/>
    <cellStyle name="Calculation 4 3 2 2 2 3" xfId="8844" xr:uid="{9AAA5222-45AF-479A-86B8-53EF5E89C384}"/>
    <cellStyle name="Calculation 4 3 2 2 2 4" xfId="10554" xr:uid="{F947C0AD-F347-4409-9F27-F8704619179F}"/>
    <cellStyle name="Calculation 4 3 2 2 2 5" xfId="12050" xr:uid="{C060C70A-5CD4-42B9-937D-F711DD1797F7}"/>
    <cellStyle name="Calculation 4 3 2 2 2 6" xfId="13521" xr:uid="{AFA52FAF-F38E-4614-81F0-019C5A35F8DA}"/>
    <cellStyle name="Calculation 4 3 2 2 2 7" xfId="15197" xr:uid="{1CCCA6BC-A87F-4C29-AEEC-41B7491E4439}"/>
    <cellStyle name="Calculation 4 3 2 2 2 8" xfId="16861" xr:uid="{3CFFE0BD-2606-4452-BA64-F673B6FB58C2}"/>
    <cellStyle name="Calculation 4 3 2 2 3" xfId="6711" xr:uid="{4ACCDA3E-C481-40AC-AA78-9CEEB21F6915}"/>
    <cellStyle name="Calculation 4 3 2 2 4" xfId="8065" xr:uid="{0A724F12-B09F-41E3-9FA9-817E0A622B1E}"/>
    <cellStyle name="Calculation 4 3 2 2 5" xfId="9759" xr:uid="{55A78DBA-5974-4468-8388-3974C54AC9D5}"/>
    <cellStyle name="Calculation 4 3 2 2 6" xfId="11339" xr:uid="{6B11ABD1-6B44-4FFD-8581-E7B21972BB76}"/>
    <cellStyle name="Calculation 4 3 2 2 7" xfId="12744" xr:uid="{3674E096-7B26-423B-BAB7-2CA8B6AE3AD3}"/>
    <cellStyle name="Calculation 4 3 2 2 8" xfId="14402" xr:uid="{262D29AA-F0ED-4EE8-8737-BF650D4F5854}"/>
    <cellStyle name="Calculation 4 3 2 2 9" xfId="16084" xr:uid="{C2B09BFE-CF05-420F-8F7B-40D3AB2D1371}"/>
    <cellStyle name="Calculation 4 3 2 3" xfId="3702" xr:uid="{5FC09C49-4845-4768-89D4-FB3CAF4DA628}"/>
    <cellStyle name="Calculation 4 3 2 3 2" xfId="4651" xr:uid="{A3016AB4-F5EF-4C34-9649-9BA28FCF8872}"/>
    <cellStyle name="Calculation 4 3 2 3 2 2" xfId="7146" xr:uid="{A0F4CEB8-AE21-457B-B908-A6491A18D522}"/>
    <cellStyle name="Calculation 4 3 2 3 2 3" xfId="8564" xr:uid="{E020417D-23A5-4650-9FB9-84A415BEA40E}"/>
    <cellStyle name="Calculation 4 3 2 3 2 4" xfId="10268" xr:uid="{5C52B738-8BBD-4732-95A0-5FFFBC8B6142}"/>
    <cellStyle name="Calculation 4 3 2 3 2 5" xfId="11764" xr:uid="{3E1D6FED-E3F7-460A-909A-B21DB276A9FF}"/>
    <cellStyle name="Calculation 4 3 2 3 2 6" xfId="13241" xr:uid="{2D2E2950-2018-45A9-A86F-C64AF661D06E}"/>
    <cellStyle name="Calculation 4 3 2 3 2 7" xfId="14911" xr:uid="{BAAACE7A-17F7-4146-9B21-B03167D91771}"/>
    <cellStyle name="Calculation 4 3 2 3 2 8" xfId="16581" xr:uid="{BB2A61D8-68AF-4701-A746-B472B3F22600}"/>
    <cellStyle name="Calculation 4 3 2 3 3" xfId="6384" xr:uid="{B74F2224-C580-4D54-9215-CE596239F4E6}"/>
    <cellStyle name="Calculation 4 3 2 3 4" xfId="7633" xr:uid="{81794B35-C246-4CA0-8157-94559744049B}"/>
    <cellStyle name="Calculation 4 3 2 3 5" xfId="9321" xr:uid="{90AEC1BF-B8DF-4C74-8795-ED3CD7943E10}"/>
    <cellStyle name="Calculation 4 3 2 3 6" xfId="11011" xr:uid="{312B8EC2-E6C3-479C-BB2C-3410719B128A}"/>
    <cellStyle name="Calculation 4 3 2 3 7" xfId="12312" xr:uid="{AF64CAFC-F8B4-405A-8808-28F894B8E452}"/>
    <cellStyle name="Calculation 4 3 2 3 8" xfId="13964" xr:uid="{E34EB51D-576E-463A-8AED-C431DF35303D}"/>
    <cellStyle name="Calculation 4 3 2 3 9" xfId="15652" xr:uid="{3E9A7395-C6CB-4CFF-8858-88E95BF6B6E8}"/>
    <cellStyle name="Calculation 4 3 2 4" xfId="8927" xr:uid="{2925E5A0-36FF-4DC6-A39B-A98014AC4E85}"/>
    <cellStyle name="Calculation 4 3 3" xfId="3132" xr:uid="{9402FBD7-2B4B-400B-B1E9-219C9E2D8C8C}"/>
    <cellStyle name="Calculation 4 3 3 2" xfId="4012" xr:uid="{E9677A94-638D-4534-8160-80A16D77B495}"/>
    <cellStyle name="Calculation 4 3 3 2 2" xfId="4857" xr:uid="{167B2416-767C-4D93-BFB4-27F65575A9CF}"/>
    <cellStyle name="Calculation 4 3 3 2 2 2" xfId="7352" xr:uid="{EA2FFF6D-A03C-4215-AEBD-DDCE30EB0580}"/>
    <cellStyle name="Calculation 4 3 3 2 2 3" xfId="8765" xr:uid="{4BE3BF77-E52F-4C4C-AD65-A33E4E996B1B}"/>
    <cellStyle name="Calculation 4 3 3 2 2 4" xfId="10474" xr:uid="{27F1CC6C-4CA0-494F-8D08-C960860D60DF}"/>
    <cellStyle name="Calculation 4 3 3 2 2 5" xfId="11970" xr:uid="{76111B56-F81F-451B-A703-256A1A1B7B54}"/>
    <cellStyle name="Calculation 4 3 3 2 2 6" xfId="13442" xr:uid="{FE08FF68-A768-4A6F-8B1C-86F78D6CC17D}"/>
    <cellStyle name="Calculation 4 3 3 2 2 7" xfId="15117" xr:uid="{0C323944-6215-4F8F-B2D7-A0D58884051B}"/>
    <cellStyle name="Calculation 4 3 3 2 2 8" xfId="16782" xr:uid="{32E9394C-1283-4EC1-8FF6-07B418CCAA50}"/>
    <cellStyle name="Calculation 4 3 3 2 3" xfId="6618" xr:uid="{C7C6809B-BDB0-485E-9DDF-ED1DD30ADAEA}"/>
    <cellStyle name="Calculation 4 3 3 2 4" xfId="7938" xr:uid="{03A43439-423F-4C11-9D89-DB9F1527DC16}"/>
    <cellStyle name="Calculation 4 3 3 2 5" xfId="9631" xr:uid="{4B87C8B3-F0F0-40BE-9621-9D5D1E2AAEF3}"/>
    <cellStyle name="Calculation 4 3 3 2 6" xfId="11244" xr:uid="{669AF68A-2004-49DE-B6E4-5C4C82F2FEE5}"/>
    <cellStyle name="Calculation 4 3 3 2 7" xfId="12617" xr:uid="{D3D9EBC2-C38D-40B3-B4B5-5C45ACD023BC}"/>
    <cellStyle name="Calculation 4 3 3 2 8" xfId="14274" xr:uid="{8E431741-18A3-4C30-9BA8-244B51B60F6C}"/>
    <cellStyle name="Calculation 4 3 3 2 9" xfId="15957" xr:uid="{4A5FDA1E-4B7D-4441-8761-9ED8E65A4643}"/>
    <cellStyle name="Calculation 4 3 3 3" xfId="3574" xr:uid="{581EB8B7-2C6B-41F6-B74C-C238997B5C0F}"/>
    <cellStyle name="Calculation 4 3 3 3 2" xfId="4571" xr:uid="{BA8A204C-96A7-4209-AB02-3EAC7BFAAD8A}"/>
    <cellStyle name="Calculation 4 3 3 3 2 2" xfId="7066" xr:uid="{4549CC0C-87F1-4C92-8748-71C37EE2A6E9}"/>
    <cellStyle name="Calculation 4 3 3 3 2 3" xfId="8485" xr:uid="{199308FA-9B9B-4103-A1F3-CC84009E6A72}"/>
    <cellStyle name="Calculation 4 3 3 3 2 4" xfId="10188" xr:uid="{5800DCE2-98AE-43BC-B7A3-F0FD907A1E42}"/>
    <cellStyle name="Calculation 4 3 3 3 2 5" xfId="11684" xr:uid="{1DB75E3E-9CF4-4C01-99D3-0C5E344643DB}"/>
    <cellStyle name="Calculation 4 3 3 3 2 6" xfId="13162" xr:uid="{DBC676FB-B19E-4D4C-A579-90AAE11FDEF5}"/>
    <cellStyle name="Calculation 4 3 3 3 2 7" xfId="14831" xr:uid="{9197EB09-2F4A-42B9-8524-2765F14C6033}"/>
    <cellStyle name="Calculation 4 3 3 3 2 8" xfId="16502" xr:uid="{5D8A2102-EFE4-4DB1-9544-4F0053DEE401}"/>
    <cellStyle name="Calculation 4 3 3 3 3" xfId="6288" xr:uid="{FD9F5A09-716E-4222-A79C-4902EACB4BD8}"/>
    <cellStyle name="Calculation 4 3 3 3 4" xfId="5104" xr:uid="{3D012F01-8CEF-49DE-A262-582C82EFDD4D}"/>
    <cellStyle name="Calculation 4 3 3 3 5" xfId="9193" xr:uid="{CCA3A331-88EF-46B8-B64B-1B303515B129}"/>
    <cellStyle name="Calculation 4 3 3 3 6" xfId="10918" xr:uid="{EC7F8D59-347E-41D6-B9DD-45530088E444}"/>
    <cellStyle name="Calculation 4 3 3 3 7" xfId="12185" xr:uid="{4DA9725D-6774-484A-B658-6A25FEDD58EF}"/>
    <cellStyle name="Calculation 4 3 3 3 8" xfId="13836" xr:uid="{8B587316-9A47-447F-91A8-7353891F12FB}"/>
    <cellStyle name="Calculation 4 3 3 3 9" xfId="15525" xr:uid="{F888976A-2191-4DF2-9B36-873348412CB9}"/>
    <cellStyle name="Calculation 4 3 3 4" xfId="6676" xr:uid="{3D5426BA-A24F-4847-88B9-6D89312B1807}"/>
    <cellStyle name="Calculation 4 3 4" xfId="3115" xr:uid="{21B21BC4-13A9-4994-BE15-0C4040430177}"/>
    <cellStyle name="Calculation 4 3 4 2" xfId="3995" xr:uid="{316967F4-BCEF-4F4D-9164-5C15E5874BB1}"/>
    <cellStyle name="Calculation 4 3 4 2 2" xfId="4843" xr:uid="{B9C90C30-BEBE-40EF-8E89-98CB1571F6FC}"/>
    <cellStyle name="Calculation 4 3 4 2 2 2" xfId="7338" xr:uid="{D74AFB60-2B3E-40EE-A34B-10086D78964A}"/>
    <cellStyle name="Calculation 4 3 4 2 2 3" xfId="8751" xr:uid="{505BDF11-AAC8-4C75-B880-2A0BF0D2F449}"/>
    <cellStyle name="Calculation 4 3 4 2 2 4" xfId="10460" xr:uid="{EE15E859-C9AC-44E0-B497-443AD49C3FDD}"/>
    <cellStyle name="Calculation 4 3 4 2 2 5" xfId="11956" xr:uid="{5DA298F7-AFFA-4370-91A1-6B4B684DC596}"/>
    <cellStyle name="Calculation 4 3 4 2 2 6" xfId="13428" xr:uid="{DCEA6752-C6AD-43E3-9014-E8DB1C2560AC}"/>
    <cellStyle name="Calculation 4 3 4 2 2 7" xfId="15103" xr:uid="{CB9EA558-1C9B-46F1-910C-CB3610917F28}"/>
    <cellStyle name="Calculation 4 3 4 2 2 8" xfId="16768" xr:uid="{807CA252-A4C9-4019-9143-1D20D371B3DF}"/>
    <cellStyle name="Calculation 4 3 4 2 3" xfId="6604" xr:uid="{AFD9FC8A-2E92-4822-A056-64B6852ACAC7}"/>
    <cellStyle name="Calculation 4 3 4 2 4" xfId="7921" xr:uid="{C6D29273-8929-469D-842D-0DBC7146D0CE}"/>
    <cellStyle name="Calculation 4 3 4 2 5" xfId="9614" xr:uid="{C687AF72-56D0-4398-8995-8356D6E0536C}"/>
    <cellStyle name="Calculation 4 3 4 2 6" xfId="11230" xr:uid="{A9A04C70-0264-48E5-8137-191B2A844731}"/>
    <cellStyle name="Calculation 4 3 4 2 7" xfId="12600" xr:uid="{028619BF-FA15-4F0C-97DB-7D22AD3D27E8}"/>
    <cellStyle name="Calculation 4 3 4 2 8" xfId="14257" xr:uid="{ED7F6952-001D-4EA0-A9B2-E9F09FC96DFE}"/>
    <cellStyle name="Calculation 4 3 4 2 9" xfId="15940" xr:uid="{B5F6748B-598E-44A6-AE34-76B725DCD3E1}"/>
    <cellStyle name="Calculation 4 3 4 3" xfId="3557" xr:uid="{6D53A556-581B-4DB0-9DC6-A9A6E483D093}"/>
    <cellStyle name="Calculation 4 3 4 3 2" xfId="4557" xr:uid="{4872CE86-55C2-42AF-B12A-E145377D557F}"/>
    <cellStyle name="Calculation 4 3 4 3 2 2" xfId="7052" xr:uid="{2378A08F-C569-4A29-BED9-AA986F987605}"/>
    <cellStyle name="Calculation 4 3 4 3 2 3" xfId="8471" xr:uid="{08023CFF-D71E-4C6A-81BD-CADA666F40DC}"/>
    <cellStyle name="Calculation 4 3 4 3 2 4" xfId="10174" xr:uid="{BDF30CDE-2994-46E2-B408-4DE68FD959F1}"/>
    <cellStyle name="Calculation 4 3 4 3 2 5" xfId="11670" xr:uid="{9EBB9F9D-91F1-4DEF-943B-763FFF0FA2D5}"/>
    <cellStyle name="Calculation 4 3 4 3 2 6" xfId="13148" xr:uid="{7E4F3A81-6F3C-441D-A7EA-09D1FCC15F61}"/>
    <cellStyle name="Calculation 4 3 4 3 2 7" xfId="14817" xr:uid="{F5B0A77A-A02F-4E75-B6DE-E08C6229DDE3}"/>
    <cellStyle name="Calculation 4 3 4 3 2 8" xfId="16488" xr:uid="{1D978941-399A-4A53-AEC9-6BBC1F2F90AD}"/>
    <cellStyle name="Calculation 4 3 4 3 3" xfId="6274" xr:uid="{F88DA986-702E-424E-86A0-480CC82CB6A8}"/>
    <cellStyle name="Calculation 4 3 4 3 4" xfId="5119" xr:uid="{D3AA77CE-BC77-403B-8ABC-083867F9C949}"/>
    <cellStyle name="Calculation 4 3 4 3 5" xfId="9176" xr:uid="{27AE36E6-7EA4-4380-81E5-FECEF016245A}"/>
    <cellStyle name="Calculation 4 3 4 3 6" xfId="10904" xr:uid="{5D4E0B57-D32D-41EA-AC88-926504B66238}"/>
    <cellStyle name="Calculation 4 3 4 3 7" xfId="12168" xr:uid="{D067F0FD-EE83-4EE8-AAC4-59865768DBFE}"/>
    <cellStyle name="Calculation 4 3 4 3 8" xfId="13819" xr:uid="{98F7E19C-97D0-4490-841A-9B6FB8616948}"/>
    <cellStyle name="Calculation 4 3 4 3 9" xfId="15508" xr:uid="{8D1EFD67-0DDF-4C39-BBB0-E68151EFB52A}"/>
    <cellStyle name="Calculation 4 3 4 4" xfId="6229" xr:uid="{26025A87-6D09-48FA-AAE6-A062C149B71D}"/>
    <cellStyle name="Calculation 4 3 5" xfId="3298" xr:uid="{57745B73-0C14-49B6-BC79-4B7DBACD9CCC}"/>
    <cellStyle name="Calculation 4 3 5 2" xfId="4178" xr:uid="{E6871AB6-E788-492F-B82C-A84B5D45BD78}"/>
    <cellStyle name="Calculation 4 3 5 2 2" xfId="4966" xr:uid="{A4DE9694-3804-4640-82F9-432F84E7C1AD}"/>
    <cellStyle name="Calculation 4 3 5 2 2 2" xfId="7461" xr:uid="{0FE0BC49-42A5-4D95-9078-91F840523E59}"/>
    <cellStyle name="Calculation 4 3 5 2 2 3" xfId="8872" xr:uid="{0046E2C7-28EE-4024-A0E5-5CD82027DA6A}"/>
    <cellStyle name="Calculation 4 3 5 2 2 4" xfId="10583" xr:uid="{08746354-428D-4835-8A48-A3B2E391B53A}"/>
    <cellStyle name="Calculation 4 3 5 2 2 5" xfId="12079" xr:uid="{EDF5D077-0C02-4FC6-A826-9E2F01E65DB5}"/>
    <cellStyle name="Calculation 4 3 5 2 2 6" xfId="13549" xr:uid="{3DA7CB69-3F92-4C80-B709-C935191A07F3}"/>
    <cellStyle name="Calculation 4 3 5 2 2 7" xfId="15226" xr:uid="{B4F1C4DE-92B1-4591-AC36-86FD4780D54A}"/>
    <cellStyle name="Calculation 4 3 5 2 2 8" xfId="16889" xr:uid="{E0A6B052-930A-421F-A56D-589373D80CFD}"/>
    <cellStyle name="Calculation 4 3 5 2 3" xfId="6741" xr:uid="{48878267-3A74-4A2E-B9FE-5D2743F371CD}"/>
    <cellStyle name="Calculation 4 3 5 2 4" xfId="8102" xr:uid="{033257B5-FD59-440C-B7D0-A727DBDA7B1D}"/>
    <cellStyle name="Calculation 4 3 5 2 5" xfId="9797" xr:uid="{FED72C70-BD7F-44D4-A282-DBDF0EFC200C}"/>
    <cellStyle name="Calculation 4 3 5 2 6" xfId="11369" xr:uid="{1032A50B-D47C-4068-B1DB-CC2042DC221F}"/>
    <cellStyle name="Calculation 4 3 5 2 7" xfId="12781" xr:uid="{8FAF6738-537F-49EA-A137-4706E414081B}"/>
    <cellStyle name="Calculation 4 3 5 2 8" xfId="14440" xr:uid="{B86C69B5-E7DF-4AAC-B3B4-BBD5FFFF720B}"/>
    <cellStyle name="Calculation 4 3 5 2 9" xfId="16121" xr:uid="{4ADDEBF3-3B85-4B72-B1E2-7D8FB9928C5D}"/>
    <cellStyle name="Calculation 4 3 5 3" xfId="3739" xr:uid="{51E83AFA-04B8-427A-AEA4-0028926BFC24}"/>
    <cellStyle name="Calculation 4 3 5 3 2" xfId="4679" xr:uid="{D2863ECA-D134-4795-AC68-5D9042B6CA97}"/>
    <cellStyle name="Calculation 4 3 5 3 2 2" xfId="7174" xr:uid="{54486571-F82D-4785-9A0F-4BDE8C579C74}"/>
    <cellStyle name="Calculation 4 3 5 3 2 3" xfId="8592" xr:uid="{797A6670-3CDE-4B94-BF3D-27995D475DD2}"/>
    <cellStyle name="Calculation 4 3 5 3 2 4" xfId="10296" xr:uid="{09082675-7B73-4E52-B9F9-6C618A6FCEE8}"/>
    <cellStyle name="Calculation 4 3 5 3 2 5" xfId="11792" xr:uid="{BEC338E2-385C-4521-AA30-3F196AF69E46}"/>
    <cellStyle name="Calculation 4 3 5 3 2 6" xfId="13269" xr:uid="{D82C6A37-6C40-48DE-AE80-E5D7BF4E59B6}"/>
    <cellStyle name="Calculation 4 3 5 3 2 7" xfId="14939" xr:uid="{060A4B48-FD72-431E-B42C-8BB309179CBA}"/>
    <cellStyle name="Calculation 4 3 5 3 2 8" xfId="16609" xr:uid="{CCB4D951-4152-4E50-8242-3633FDCB090F}"/>
    <cellStyle name="Calculation 4 3 5 3 3" xfId="6414" xr:uid="{C42B61B0-300F-46D6-8707-69677368D7AA}"/>
    <cellStyle name="Calculation 4 3 5 3 4" xfId="7670" xr:uid="{182D4692-6549-4DFC-BBBE-CBAB11221971}"/>
    <cellStyle name="Calculation 4 3 5 3 5" xfId="9358" xr:uid="{7BE21E96-FF20-4202-8B32-ACC5CFB56CDE}"/>
    <cellStyle name="Calculation 4 3 5 3 6" xfId="11042" xr:uid="{5BC3F21D-78B5-4FAA-B803-144CDBFDCC5A}"/>
    <cellStyle name="Calculation 4 3 5 3 7" xfId="12349" xr:uid="{77A6A108-0428-4F46-A9A4-E11836E73990}"/>
    <cellStyle name="Calculation 4 3 5 3 8" xfId="14001" xr:uid="{1DD2AC19-C979-4227-B700-CB0BC5F40996}"/>
    <cellStyle name="Calculation 4 3 5 3 9" xfId="15689" xr:uid="{63CDF5D1-2FC1-4BBB-A2DF-4E35E28D7ED3}"/>
    <cellStyle name="Calculation 4 3 5 4" xfId="8961" xr:uid="{FE8E3559-5DB4-48B2-A530-BDCF6F4F023A}"/>
    <cellStyle name="Calculation 4 3 6" xfId="3064" xr:uid="{B47AAD39-2670-4268-9590-8AF0847E81CB}"/>
    <cellStyle name="Calculation 4 3 6 10" xfId="13599" xr:uid="{ED590F63-DB4C-4752-9A25-94D5F443A56D}"/>
    <cellStyle name="Calculation 4 3 6 2" xfId="3944" xr:uid="{F881DFB0-F6D5-4268-81BB-FD9F3051DC28}"/>
    <cellStyle name="Calculation 4 3 6 2 2" xfId="4810" xr:uid="{C5C742DE-B528-48B6-9D9E-70F7FCD636E1}"/>
    <cellStyle name="Calculation 4 3 6 2 2 2" xfId="7305" xr:uid="{4171108A-2901-469D-8521-1341E0523D1E}"/>
    <cellStyle name="Calculation 4 3 6 2 2 3" xfId="8719" xr:uid="{5CD96A97-2A02-441F-99F3-04AB4FC4C3C3}"/>
    <cellStyle name="Calculation 4 3 6 2 2 4" xfId="10427" xr:uid="{2220D8B9-69BC-439B-8221-B514E66510F9}"/>
    <cellStyle name="Calculation 4 3 6 2 2 5" xfId="11923" xr:uid="{16462C89-9E82-43B2-BF37-7A9D99EEE9C8}"/>
    <cellStyle name="Calculation 4 3 6 2 2 6" xfId="13396" xr:uid="{83159F9B-741A-48F2-AFBC-540FBE9457DE}"/>
    <cellStyle name="Calculation 4 3 6 2 2 7" xfId="15070" xr:uid="{10A41896-05E6-412C-A38D-25D7C664BC87}"/>
    <cellStyle name="Calculation 4 3 6 2 2 8" xfId="16736" xr:uid="{FEC1BE30-F468-40D4-B36E-1C4E9E03C9AC}"/>
    <cellStyle name="Calculation 4 3 6 2 3" xfId="6566" xr:uid="{4EF5F81C-97CA-45DE-BEFA-B6B98B39FCC3}"/>
    <cellStyle name="Calculation 4 3 6 2 4" xfId="7871" xr:uid="{65C61BDC-B994-45BD-9CE8-B4245929C7C7}"/>
    <cellStyle name="Calculation 4 3 6 2 5" xfId="9563" xr:uid="{3FB3E7F7-7112-4F1F-AD5B-17C54E747074}"/>
    <cellStyle name="Calculation 4 3 6 2 6" xfId="11197" xr:uid="{BB7D405D-32CE-4853-B64E-DDEC30C24860}"/>
    <cellStyle name="Calculation 4 3 6 2 7" xfId="12550" xr:uid="{9E0788C2-2514-4604-B9BA-0E45681FD1BA}"/>
    <cellStyle name="Calculation 4 3 6 2 8" xfId="14206" xr:uid="{599CCBA2-E5BE-48D5-8ED7-B608B5BC7B5F}"/>
    <cellStyle name="Calculation 4 3 6 2 9" xfId="15890" xr:uid="{CEB20FD7-37E5-4411-A633-E8D9E2D9F95E}"/>
    <cellStyle name="Calculation 4 3 6 3" xfId="3506" xr:uid="{888CEC62-8F09-4951-9129-D321A987DDF1}"/>
    <cellStyle name="Calculation 4 3 6 3 2" xfId="4524" xr:uid="{6013C62B-3808-4EBD-AE04-C0283C4F0FA6}"/>
    <cellStyle name="Calculation 4 3 6 3 2 2" xfId="7019" xr:uid="{4B0F6C4A-EA50-48C9-B1FC-2921979AB33B}"/>
    <cellStyle name="Calculation 4 3 6 3 2 3" xfId="8439" xr:uid="{2E617B6C-A3CB-4B78-8F1A-02AA80129C89}"/>
    <cellStyle name="Calculation 4 3 6 3 2 4" xfId="10141" xr:uid="{1875B5E2-845C-4E89-B23B-EEB5A4878BF9}"/>
    <cellStyle name="Calculation 4 3 6 3 2 5" xfId="11637" xr:uid="{2B7C4A6B-D981-435D-8C22-0B3733891727}"/>
    <cellStyle name="Calculation 4 3 6 3 2 6" xfId="13116" xr:uid="{26DB6C34-DD56-4686-AC1C-5AC50C365791}"/>
    <cellStyle name="Calculation 4 3 6 3 2 7" xfId="14784" xr:uid="{F83DFEF8-29B2-47F5-806B-69185EB5804B}"/>
    <cellStyle name="Calculation 4 3 6 3 2 8" xfId="16456" xr:uid="{48591F38-27D8-4C97-9865-0AC425226B34}"/>
    <cellStyle name="Calculation 4 3 6 3 3" xfId="6236" xr:uid="{10D4B95A-5715-4CB7-B612-F951650C5703}"/>
    <cellStyle name="Calculation 4 3 6 3 4" xfId="5151" xr:uid="{667E9BA9-F1C8-4711-9C33-EAD6D3F4CCEC}"/>
    <cellStyle name="Calculation 4 3 6 3 5" xfId="9125" xr:uid="{CF7E67FF-77BF-4373-A3AE-9D5B2E82C9AE}"/>
    <cellStyle name="Calculation 4 3 6 3 6" xfId="10868" xr:uid="{09BEE20E-31B3-4EFC-82FD-86B9B6359FC1}"/>
    <cellStyle name="Calculation 4 3 6 3 7" xfId="5517" xr:uid="{ED72E430-10DD-4F10-A53E-25AA9E8128CB}"/>
    <cellStyle name="Calculation 4 3 6 3 8" xfId="13768" xr:uid="{93CD5D68-D535-4A12-86C4-DEB2B87D1572}"/>
    <cellStyle name="Calculation 4 3 6 3 9" xfId="15458" xr:uid="{FF9C7957-B88D-47C5-A9E5-03199F50C130}"/>
    <cellStyle name="Calculation 4 3 6 4" xfId="4306" xr:uid="{6F0758BF-0194-49D0-A03F-67BA4323070B}"/>
    <cellStyle name="Calculation 4 3 6 4 2" xfId="6832" xr:uid="{0959CAD7-C0BC-42CD-9E99-5CB19958D44D}"/>
    <cellStyle name="Calculation 4 3 6 4 3" xfId="8227" xr:uid="{513F6C04-8A5C-4E7F-8108-F4F3C93D0225}"/>
    <cellStyle name="Calculation 4 3 6 4 4" xfId="9923" xr:uid="{BA041E67-E73C-4158-BD19-F2980E472292}"/>
    <cellStyle name="Calculation 4 3 6 4 5" xfId="11452" xr:uid="{BEAA8256-E7B6-4ED4-9917-14DB9D2AFC8D}"/>
    <cellStyle name="Calculation 4 3 6 4 6" xfId="12904" xr:uid="{B2C75D63-2F32-43D1-9F43-ABE4811DF029}"/>
    <cellStyle name="Calculation 4 3 6 4 7" xfId="14566" xr:uid="{98A29F2C-88C3-4A42-A8D6-0F7D3AED2AD8}"/>
    <cellStyle name="Calculation 4 3 6 4 8" xfId="16244" xr:uid="{C565DB82-86E8-4279-B5C1-8901767263F8}"/>
    <cellStyle name="Calculation 4 3 6 5" xfId="5944" xr:uid="{6C7CA230-88AD-44DE-BDFB-21E1AF6EE3AB}"/>
    <cellStyle name="Calculation 4 3 6 6" xfId="5250" xr:uid="{11A4C9FA-5F05-49A8-86C0-252EE756A7BC}"/>
    <cellStyle name="Calculation 4 3 6 7" xfId="5362" xr:uid="{1E531AF0-D101-4CEC-BF7B-A36B8879A141}"/>
    <cellStyle name="Calculation 4 3 6 8" xfId="5429" xr:uid="{317887C2-535C-4E55-B728-54B19C6920CD}"/>
    <cellStyle name="Calculation 4 3 6 9" xfId="5474" xr:uid="{E3FC2EBA-F7A9-450F-96F2-7A4BFA2C3CE9}"/>
    <cellStyle name="Calculation 4 3 7" xfId="3073" xr:uid="{704E605B-1216-4DD8-AB95-FD4224114A6E}"/>
    <cellStyle name="Calculation 4 3 7 10" xfId="5510" xr:uid="{4DC66D96-472D-4845-A4F3-2D1CE3C85819}"/>
    <cellStyle name="Calculation 4 3 7 2" xfId="3953" xr:uid="{5131A5EE-BEB7-4A92-8385-B42DDF71AFB7}"/>
    <cellStyle name="Calculation 4 3 7 2 2" xfId="4816" xr:uid="{5488C649-7F07-4D1E-8F50-EF1EC7187837}"/>
    <cellStyle name="Calculation 4 3 7 2 2 2" xfId="7311" xr:uid="{1A81E933-508D-49A1-A145-D46D5A009B5C}"/>
    <cellStyle name="Calculation 4 3 7 2 2 3" xfId="8725" xr:uid="{CD186A8D-CF5A-4D09-988E-B35AEA266ACF}"/>
    <cellStyle name="Calculation 4 3 7 2 2 4" xfId="10433" xr:uid="{80B09EAD-C6CB-47A4-8AD1-A7D5C53AEF5E}"/>
    <cellStyle name="Calculation 4 3 7 2 2 5" xfId="11929" xr:uid="{374422DF-6D03-4AA7-9766-FD3475ADE657}"/>
    <cellStyle name="Calculation 4 3 7 2 2 6" xfId="13402" xr:uid="{DE334F79-D95F-49AC-817C-8C4BA13435F0}"/>
    <cellStyle name="Calculation 4 3 7 2 2 7" xfId="15076" xr:uid="{651A65BC-0C52-480F-9CFC-162941FABB80}"/>
    <cellStyle name="Calculation 4 3 7 2 2 8" xfId="16742" xr:uid="{E0B872DF-57DD-405C-ACDC-1A08F36AFDE6}"/>
    <cellStyle name="Calculation 4 3 7 2 3" xfId="6573" xr:uid="{7686ECFB-B7CC-4AB0-AEEE-19A8E238C3A5}"/>
    <cellStyle name="Calculation 4 3 7 2 4" xfId="7880" xr:uid="{8F535B45-A034-426E-9CC0-3A1829F339FD}"/>
    <cellStyle name="Calculation 4 3 7 2 5" xfId="9572" xr:uid="{998A31E7-CC16-45AA-B961-2DA4C8EA5E4C}"/>
    <cellStyle name="Calculation 4 3 7 2 6" xfId="11203" xr:uid="{32D826E8-112E-46D4-8B41-442D085333E2}"/>
    <cellStyle name="Calculation 4 3 7 2 7" xfId="12559" xr:uid="{7550870D-B6AA-4E0A-B53C-64AFC1BE287D}"/>
    <cellStyle name="Calculation 4 3 7 2 8" xfId="14215" xr:uid="{01032CAA-3145-4E5D-98B6-01ADA542E3DD}"/>
    <cellStyle name="Calculation 4 3 7 2 9" xfId="15899" xr:uid="{5AAA3F9C-60A7-485F-9268-5898782132E8}"/>
    <cellStyle name="Calculation 4 3 7 3" xfId="3515" xr:uid="{36995B3B-2E62-48DA-B1A0-1D9A72E7390D}"/>
    <cellStyle name="Calculation 4 3 7 3 2" xfId="4530" xr:uid="{4CE2B699-4ED6-4188-9896-861BD6BEF4BE}"/>
    <cellStyle name="Calculation 4 3 7 3 2 2" xfId="7025" xr:uid="{1403B4B7-5F8B-47F3-A572-6D376660BFED}"/>
    <cellStyle name="Calculation 4 3 7 3 2 3" xfId="8445" xr:uid="{5EC5106C-D763-406C-B9DB-8800B7EC3247}"/>
    <cellStyle name="Calculation 4 3 7 3 2 4" xfId="10147" xr:uid="{33E048D6-E320-4416-9DBB-701ED928A853}"/>
    <cellStyle name="Calculation 4 3 7 3 2 5" xfId="11643" xr:uid="{C37CA61D-68D5-4ADA-80A5-570056E87848}"/>
    <cellStyle name="Calculation 4 3 7 3 2 6" xfId="13122" xr:uid="{9A115289-9112-4167-867C-8230FF09C510}"/>
    <cellStyle name="Calculation 4 3 7 3 2 7" xfId="14790" xr:uid="{43D4E084-3E14-44A7-8F17-C9BE2BC2D537}"/>
    <cellStyle name="Calculation 4 3 7 3 2 8" xfId="16462" xr:uid="{0FEBCA17-BED4-4B5C-AB90-EC4ED4B776D7}"/>
    <cellStyle name="Calculation 4 3 7 3 3" xfId="6243" xr:uid="{4D2BCA98-1A1A-4C3D-84DB-CA4404A699A6}"/>
    <cellStyle name="Calculation 4 3 7 3 4" xfId="5538" xr:uid="{0CDAC8FC-DF13-4B55-8D3C-1AF5F44D1E58}"/>
    <cellStyle name="Calculation 4 3 7 3 5" xfId="9134" xr:uid="{702425EE-B5EE-4902-AEBA-881500443124}"/>
    <cellStyle name="Calculation 4 3 7 3 6" xfId="10874" xr:uid="{C1B76D68-204D-4D6D-8DF0-594BF8E4DF3C}"/>
    <cellStyle name="Calculation 4 3 7 3 7" xfId="5348" xr:uid="{0F2C05D5-B401-496F-9D62-41A47F8B04D9}"/>
    <cellStyle name="Calculation 4 3 7 3 8" xfId="13777" xr:uid="{08E0CD63-7273-4D71-87B3-C8220428439E}"/>
    <cellStyle name="Calculation 4 3 7 3 9" xfId="15467" xr:uid="{378512AF-F6AB-48EB-ADBB-8C2BBD70C6E7}"/>
    <cellStyle name="Calculation 4 3 7 4" xfId="4312" xr:uid="{DB0DBE40-053C-4C42-BBA1-CF5952ABB656}"/>
    <cellStyle name="Calculation 4 3 7 4 2" xfId="6837" xr:uid="{5CE6EF9E-9A10-4538-822D-C8C63E0F95CD}"/>
    <cellStyle name="Calculation 4 3 7 4 3" xfId="8233" xr:uid="{40D612FA-CAF3-4077-B430-A9642F762B6A}"/>
    <cellStyle name="Calculation 4 3 7 4 4" xfId="9929" xr:uid="{89F606DD-6FBD-4080-B10D-8230BF9E68FF}"/>
    <cellStyle name="Calculation 4 3 7 4 5" xfId="11456" xr:uid="{7640123F-55FA-45F6-A86F-03ADF2B22810}"/>
    <cellStyle name="Calculation 4 3 7 4 6" xfId="12910" xr:uid="{FD7BA1E5-186C-4423-8DCC-CE4055B9B8FA}"/>
    <cellStyle name="Calculation 4 3 7 4 7" xfId="14572" xr:uid="{A8079BE2-0C7E-4325-8623-E589A95D6C8D}"/>
    <cellStyle name="Calculation 4 3 7 4 8" xfId="16250" xr:uid="{690B95C4-6A5A-4548-B937-6CCF45A4069F}"/>
    <cellStyle name="Calculation 4 3 7 5" xfId="5951" xr:uid="{C9C320A5-A7CA-4A14-BED4-522B55F73968}"/>
    <cellStyle name="Calculation 4 3 7 6" xfId="5568" xr:uid="{EF86BE9C-B5F8-434E-B880-01CB6AA38051}"/>
    <cellStyle name="Calculation 4 3 7 7" xfId="5969" xr:uid="{E7058B3A-7CAA-42AD-91B0-70FC6455D215}"/>
    <cellStyle name="Calculation 4 3 7 8" xfId="5365" xr:uid="{9A3FCB07-EE7C-425B-AC62-12C06D49F41C}"/>
    <cellStyle name="Calculation 4 3 7 9" xfId="5980" xr:uid="{5549FD67-FA65-45C9-A841-FBD0566E3B22}"/>
    <cellStyle name="Calculation 4 3 8" xfId="3359" xr:uid="{1EA2E07D-056D-4D89-AB91-47256ECA5544}"/>
    <cellStyle name="Calculation 4 3 8 10" xfId="15316" xr:uid="{3B548462-78C0-406D-BCBC-4B30A3ACA020}"/>
    <cellStyle name="Calculation 4 3 8 2" xfId="4239" xr:uid="{3538DCC3-4D18-42BB-B74C-2019E78CE7A2}"/>
    <cellStyle name="Calculation 4 3 8 2 2" xfId="4995" xr:uid="{C80B9680-43C1-47A9-8DA6-CF7722C7E3BA}"/>
    <cellStyle name="Calculation 4 3 8 2 2 2" xfId="7490" xr:uid="{90EBF207-1C63-4702-8A27-336769A7B7EE}"/>
    <cellStyle name="Calculation 4 3 8 2 2 3" xfId="8900" xr:uid="{C4487D71-32F2-4F29-AAE6-B38BF6D94C34}"/>
    <cellStyle name="Calculation 4 3 8 2 2 4" xfId="10612" xr:uid="{4761AA1E-C9C4-49B4-B963-FAC5D61CF913}"/>
    <cellStyle name="Calculation 4 3 8 2 2 5" xfId="12108" xr:uid="{92B86A56-C648-4991-A4F8-ABBD04EDB25E}"/>
    <cellStyle name="Calculation 4 3 8 2 2 6" xfId="13577" xr:uid="{34391767-6190-40D0-B783-78CD6F703C15}"/>
    <cellStyle name="Calculation 4 3 8 2 2 7" xfId="15255" xr:uid="{DB4660A6-9863-4896-AE2E-4C17D07B89D0}"/>
    <cellStyle name="Calculation 4 3 8 2 2 8" xfId="16917" xr:uid="{FB28C725-0CD1-4D05-A0A1-386ED37A034A}"/>
    <cellStyle name="Calculation 4 3 8 2 3" xfId="6781" xr:uid="{74E4A74E-28AA-457C-9629-9DCE4AEFCDB5}"/>
    <cellStyle name="Calculation 4 3 8 2 4" xfId="8162" xr:uid="{B56ED2E2-19B7-45B3-AE87-37015FDC029C}"/>
    <cellStyle name="Calculation 4 3 8 2 5" xfId="9858" xr:uid="{00370CE5-EA27-42A8-BAAA-52050C733970}"/>
    <cellStyle name="Calculation 4 3 8 2 6" xfId="11401" xr:uid="{5CAAA18F-5D5F-44B1-ACEC-55456D60C497}"/>
    <cellStyle name="Calculation 4 3 8 2 7" xfId="12841" xr:uid="{20B7A8D5-43F1-4D09-9399-9DFAD98072F0}"/>
    <cellStyle name="Calculation 4 3 8 2 8" xfId="14501" xr:uid="{DE6816DA-4D02-41A1-8B1B-0472635355AC}"/>
    <cellStyle name="Calculation 4 3 8 2 9" xfId="16181" xr:uid="{74543889-E7C0-48B7-A875-E2660AE97F3A}"/>
    <cellStyle name="Calculation 4 3 8 3" xfId="3799" xr:uid="{F0E47FD8-5657-47A6-86AA-A8CE100D98B6}"/>
    <cellStyle name="Calculation 4 3 8 3 2" xfId="4707" xr:uid="{73DF8D48-7494-4DED-A41F-D6D416C9374F}"/>
    <cellStyle name="Calculation 4 3 8 3 2 2" xfId="7202" xr:uid="{7EEB9AEF-62A1-4A59-86DB-8B0899C7E321}"/>
    <cellStyle name="Calculation 4 3 8 3 2 3" xfId="8620" xr:uid="{B7AFF581-7C70-4C34-88BF-594F4317E9D4}"/>
    <cellStyle name="Calculation 4 3 8 3 2 4" xfId="10324" xr:uid="{1927E39E-7849-4CFA-9A40-690B8D61D3C8}"/>
    <cellStyle name="Calculation 4 3 8 3 2 5" xfId="11820" xr:uid="{7865C949-7F0A-4A63-B35A-0724821F954B}"/>
    <cellStyle name="Calculation 4 3 8 3 2 6" xfId="13297" xr:uid="{BB239BAE-2366-40F7-B697-E67508EAC9A7}"/>
    <cellStyle name="Calculation 4 3 8 3 2 7" xfId="14967" xr:uid="{61A28D10-28BE-4D06-9FD3-6CEA8B64CA88}"/>
    <cellStyle name="Calculation 4 3 8 3 2 8" xfId="16637" xr:uid="{DF37110B-A874-4910-854B-1BD52781049B}"/>
    <cellStyle name="Calculation 4 3 8 3 3" xfId="6452" xr:uid="{FFCF2CED-58DB-463D-B955-69C8941222AE}"/>
    <cellStyle name="Calculation 4 3 8 3 4" xfId="7730" xr:uid="{8773FD45-FF82-40E4-B22B-C300589C4346}"/>
    <cellStyle name="Calculation 4 3 8 3 5" xfId="9418" xr:uid="{F4289C36-AD7C-4954-9D93-F0B7E2AA5174}"/>
    <cellStyle name="Calculation 4 3 8 3 6" xfId="11081" xr:uid="{6011CBFD-915D-40BA-92FD-C54EA0A514E6}"/>
    <cellStyle name="Calculation 4 3 8 3 7" xfId="12409" xr:uid="{0F3CBF90-C98D-43C6-8C11-8D47930AEE99}"/>
    <cellStyle name="Calculation 4 3 8 3 8" xfId="14061" xr:uid="{4A62E7BB-B366-4197-986F-16E459B39144}"/>
    <cellStyle name="Calculation 4 3 8 3 9" xfId="15749" xr:uid="{A8553431-3E59-44F8-983F-A0D2A4130B89}"/>
    <cellStyle name="Calculation 4 3 8 4" xfId="4415" xr:uid="{B793A33E-DB67-4738-87CB-DEE1599D2B47}"/>
    <cellStyle name="Calculation 4 3 8 4 2" xfId="6916" xr:uid="{E52FCD8A-AB2A-412C-A44B-8874A75B7D82}"/>
    <cellStyle name="Calculation 4 3 8 4 3" xfId="8332" xr:uid="{25F0A76D-A7E9-47E3-AEF0-E8F91C5029B5}"/>
    <cellStyle name="Calculation 4 3 8 4 4" xfId="10032" xr:uid="{EBA8B162-7DA0-4CB2-BF87-F4A12A75BD6C}"/>
    <cellStyle name="Calculation 4 3 8 4 5" xfId="11533" xr:uid="{BDEA18ED-37A6-49DE-8BE8-A2BF7B5E0B25}"/>
    <cellStyle name="Calculation 4 3 8 4 6" xfId="13009" xr:uid="{B2A89DC3-F3B3-4006-8971-2C9DE0032E25}"/>
    <cellStyle name="Calculation 4 3 8 4 7" xfId="14675" xr:uid="{8CBB3DC9-0CD9-4D1E-9575-02774FFC16C2}"/>
    <cellStyle name="Calculation 4 3 8 4 8" xfId="16349" xr:uid="{9B9D6111-5049-49A1-A882-12B4684F821F}"/>
    <cellStyle name="Calculation 4 3 8 5" xfId="6117" xr:uid="{F39FA7E2-8828-4FF2-B74D-780376991A9D}"/>
    <cellStyle name="Calculation 4 3 8 6" xfId="5659" xr:uid="{A9410B35-EF5F-40A5-A7C6-DCA41C6CD049}"/>
    <cellStyle name="Calculation 4 3 8 7" xfId="10749" xr:uid="{0189B420-38F0-4024-BDC5-7F43D313B3D3}"/>
    <cellStyle name="Calculation 4 3 8 8" xfId="5399" xr:uid="{D56BC05F-2449-448E-A484-866FCD7ED795}"/>
    <cellStyle name="Calculation 4 3 8 9" xfId="13625" xr:uid="{FD674DC7-E6DC-4242-9659-82566D214D11}"/>
    <cellStyle name="Calculation 4 3 9" xfId="3856" xr:uid="{A5503AB0-22BB-4641-9E30-3B296D5D9835}"/>
    <cellStyle name="Calculation 4 3 9 2" xfId="4751" xr:uid="{40A8EE8D-15AF-4D14-B613-9D414D97D2ED}"/>
    <cellStyle name="Calculation 4 3 9 2 2" xfId="7246" xr:uid="{3B9A3842-4A61-429A-8622-2FCD56DF5AC4}"/>
    <cellStyle name="Calculation 4 3 9 2 3" xfId="8662" xr:uid="{94141211-048A-4820-BF90-DD25BF356C2F}"/>
    <cellStyle name="Calculation 4 3 9 2 4" xfId="10368" xr:uid="{7B252923-102E-46CE-90B4-1425040BE7F4}"/>
    <cellStyle name="Calculation 4 3 9 2 5" xfId="11864" xr:uid="{41ABAB2F-2F0B-45E6-B9FF-E748FEF92487}"/>
    <cellStyle name="Calculation 4 3 9 2 6" xfId="13339" xr:uid="{FC2FB28F-89A6-4B39-8889-068BDAE33DA3}"/>
    <cellStyle name="Calculation 4 3 9 2 7" xfId="15011" xr:uid="{D5BE9EFA-76C3-4C2F-9ECA-05AD7C659551}"/>
    <cellStyle name="Calculation 4 3 9 2 8" xfId="16679" xr:uid="{842160C5-9C70-4F6E-B224-046006EBF7DD}"/>
    <cellStyle name="Calculation 4 3 9 3" xfId="6499" xr:uid="{0F2638BE-B00A-40D4-90CB-181882EF2A5D}"/>
    <cellStyle name="Calculation 4 3 9 4" xfId="7785" xr:uid="{FE309CA3-0525-47B7-87A1-1753E3D18347}"/>
    <cellStyle name="Calculation 4 3 9 5" xfId="9475" xr:uid="{4727B00A-AA46-4943-88E2-D908058B4D01}"/>
    <cellStyle name="Calculation 4 3 9 6" xfId="11129" xr:uid="{2E93601D-CAD6-40F1-84F3-979C0D412DF0}"/>
    <cellStyle name="Calculation 4 3 9 7" xfId="12464" xr:uid="{06DBF0B7-5B39-43FD-A8E8-C4866FFFBA68}"/>
    <cellStyle name="Calculation 4 3 9 8" xfId="14118" xr:uid="{980B0C08-6926-49D1-ADA7-697312507DB0}"/>
    <cellStyle name="Calculation 4 3 9 9" xfId="15804" xr:uid="{F793D1AB-B0C7-4736-BF06-08B4E90F7A43}"/>
    <cellStyle name="Calculation 4 4" xfId="3094" xr:uid="{211A8456-F024-4EE7-9D3F-F2ED96E68477}"/>
    <cellStyle name="Calculation 4 4 2" xfId="3974" xr:uid="{1FBB184B-96D9-431C-966F-78746C7EF7F1}"/>
    <cellStyle name="Calculation 4 4 2 2" xfId="4829" xr:uid="{B7452F2E-CE85-42F6-9A20-77E99F0E1C34}"/>
    <cellStyle name="Calculation 4 4 2 2 2" xfId="7324" xr:uid="{E9E1B4C2-F076-447D-B9EA-A6AE8AA4C5DA}"/>
    <cellStyle name="Calculation 4 4 2 2 3" xfId="8737" xr:uid="{4C4E0558-854D-4C60-A349-98436330ABB5}"/>
    <cellStyle name="Calculation 4 4 2 2 4" xfId="10446" xr:uid="{81C3EF8D-1FC6-4D92-99F2-80365BE9CBD8}"/>
    <cellStyle name="Calculation 4 4 2 2 5" xfId="11942" xr:uid="{79F095E4-040D-419F-B3CD-3C584D8ED608}"/>
    <cellStyle name="Calculation 4 4 2 2 6" xfId="13414" xr:uid="{410688D2-F42C-45E9-83F6-2AF426775931}"/>
    <cellStyle name="Calculation 4 4 2 2 7" xfId="15089" xr:uid="{160F4EEF-C4DC-4307-A46F-A1365C1C229B}"/>
    <cellStyle name="Calculation 4 4 2 2 8" xfId="16754" xr:uid="{E58C20C7-5DF0-4FE5-88A7-10E5EA1FC200}"/>
    <cellStyle name="Calculation 4 4 2 3" xfId="6589" xr:uid="{D2B016B3-5C89-4C92-B9BC-512CD023B1C6}"/>
    <cellStyle name="Calculation 4 4 2 4" xfId="7900" xr:uid="{484B186A-C98C-4078-B813-6B1F9A2FB56F}"/>
    <cellStyle name="Calculation 4 4 2 5" xfId="9593" xr:uid="{D023D744-BBA3-4ADD-850E-DE360BF913DB}"/>
    <cellStyle name="Calculation 4 4 2 6" xfId="11216" xr:uid="{A2C6D533-BA77-4D94-9F37-50A8F301BE0B}"/>
    <cellStyle name="Calculation 4 4 2 7" xfId="12579" xr:uid="{93B5CFA3-2EE6-4963-8421-D2A41F988A45}"/>
    <cellStyle name="Calculation 4 4 2 8" xfId="14236" xr:uid="{D0DD63FE-26AF-4290-8AD4-42D6A9F38497}"/>
    <cellStyle name="Calculation 4 4 2 9" xfId="15919" xr:uid="{58A779B7-8A9D-49B8-B73E-879A37738F46}"/>
    <cellStyle name="Calculation 4 4 3" xfId="3536" xr:uid="{D7652441-300E-4671-8D1F-32B436B30460}"/>
    <cellStyle name="Calculation 4 4 3 2" xfId="4543" xr:uid="{33E19E0B-4568-4535-B546-3659E47B272F}"/>
    <cellStyle name="Calculation 4 4 3 2 2" xfId="7038" xr:uid="{EA1325D9-44EB-4012-BC4C-26DC2BFAB8F6}"/>
    <cellStyle name="Calculation 4 4 3 2 3" xfId="8457" xr:uid="{4C3B3024-34B2-4F34-8FBE-AFEAC6C05DB3}"/>
    <cellStyle name="Calculation 4 4 3 2 4" xfId="10160" xr:uid="{6C87BDA9-AAE9-466A-BC81-536917BEE8FF}"/>
    <cellStyle name="Calculation 4 4 3 2 5" xfId="11656" xr:uid="{ABC14FF9-3B40-4057-962B-26DE244C198A}"/>
    <cellStyle name="Calculation 4 4 3 2 6" xfId="13134" xr:uid="{E8326D62-1B9B-4A84-9EC0-49AFD426E2E9}"/>
    <cellStyle name="Calculation 4 4 3 2 7" xfId="14803" xr:uid="{79F5BCC5-83AB-4DA3-8583-0DB30032DE08}"/>
    <cellStyle name="Calculation 4 4 3 2 8" xfId="16474" xr:uid="{AD22FA98-DAD7-483D-87A9-17A1C946F6A7}"/>
    <cellStyle name="Calculation 4 4 3 3" xfId="6258" xr:uid="{5B8BC36F-FC45-444B-B437-22F314FB0770}"/>
    <cellStyle name="Calculation 4 4 3 4" xfId="5133" xr:uid="{8B5D0AE8-FEE2-41A2-8F53-6E73BAF9C5F6}"/>
    <cellStyle name="Calculation 4 4 3 5" xfId="9155" xr:uid="{76E35471-A444-4F9B-93F4-844A6BD9E7F4}"/>
    <cellStyle name="Calculation 4 4 3 6" xfId="10888" xr:uid="{AF6AF4E4-6678-48A8-A9A8-2D665A3A93A2}"/>
    <cellStyle name="Calculation 4 4 3 7" xfId="12147" xr:uid="{50AE0881-73D0-43C0-A105-3AC7AB6E437D}"/>
    <cellStyle name="Calculation 4 4 3 8" xfId="13798" xr:uid="{36B9EC20-6598-4624-A329-6321C7DCD7CA}"/>
    <cellStyle name="Calculation 4 4 3 9" xfId="15487" xr:uid="{B87BA23C-D5ED-4F3F-BF58-8F7095327977}"/>
    <cellStyle name="Calculation 4 4 4" xfId="5243" xr:uid="{EAB349E9-40FF-40E5-A6DC-8FE5788F267F}"/>
    <cellStyle name="Calculation 4 5" xfId="3179" xr:uid="{CCE5D7E0-77FC-44F1-A9C3-18A259DBCFB6}"/>
    <cellStyle name="Calculation 4 5 10" xfId="5385" xr:uid="{3C692C4E-7DB4-4C1D-91C0-FA9236391B13}"/>
    <cellStyle name="Calculation 4 5 2" xfId="4059" xr:uid="{B4759667-ED1E-44E6-B794-12ADB9625B66}"/>
    <cellStyle name="Calculation 4 5 2 2" xfId="4885" xr:uid="{BBA16E34-4971-4F06-BFF9-24E4E97FEB59}"/>
    <cellStyle name="Calculation 4 5 2 2 2" xfId="7380" xr:uid="{C8103524-0B3F-4DC0-90FE-16E71E3E7096}"/>
    <cellStyle name="Calculation 4 5 2 2 3" xfId="8792" xr:uid="{C684E511-44B7-416E-8FB2-81C4474EDB58}"/>
    <cellStyle name="Calculation 4 5 2 2 4" xfId="10502" xr:uid="{A6447ED0-B1BB-4FFC-B194-AD8BC9C57FCC}"/>
    <cellStyle name="Calculation 4 5 2 2 5" xfId="11998" xr:uid="{21B5AEAE-140A-4027-95C1-8041F94FA2D7}"/>
    <cellStyle name="Calculation 4 5 2 2 6" xfId="13469" xr:uid="{764BC62F-614E-477D-B55D-E390A719F49D}"/>
    <cellStyle name="Calculation 4 5 2 2 7" xfId="15145" xr:uid="{32E05D26-CE5B-45A0-8267-1AC361FC8D8C}"/>
    <cellStyle name="Calculation 4 5 2 2 8" xfId="16809" xr:uid="{463663E9-93C6-46E4-B429-829E0C16E39F}"/>
    <cellStyle name="Calculation 4 5 2 3" xfId="6652" xr:uid="{901FDA94-9117-408F-80C3-51CDC066BA80}"/>
    <cellStyle name="Calculation 4 5 2 4" xfId="7984" xr:uid="{3315E16C-7A96-4968-ACCE-4146D8DF5788}"/>
    <cellStyle name="Calculation 4 5 2 5" xfId="9678" xr:uid="{48178D1E-F12E-49FB-9DEA-1AD1025AEEC2}"/>
    <cellStyle name="Calculation 4 5 2 6" xfId="11279" xr:uid="{8F8AD22C-DC83-4694-A7C8-3A9EE387E5F6}"/>
    <cellStyle name="Calculation 4 5 2 7" xfId="12663" xr:uid="{F4A83C75-E26F-4CFC-AAC7-3DCE80E0C7D8}"/>
    <cellStyle name="Calculation 4 5 2 8" xfId="14321" xr:uid="{20E2E421-63F7-4AF0-A881-CD66127B244F}"/>
    <cellStyle name="Calculation 4 5 2 9" xfId="16003" xr:uid="{A3E4FBBF-ACB4-4FCC-98F0-EA4788DD69D2}"/>
    <cellStyle name="Calculation 4 5 3" xfId="3621" xr:uid="{93ECB26B-B810-4C57-9A16-F935E2FB125F}"/>
    <cellStyle name="Calculation 4 5 3 2" xfId="4599" xr:uid="{9D328D55-1A95-41C9-BA47-9A0B8D62A08D}"/>
    <cellStyle name="Calculation 4 5 3 2 2" xfId="7094" xr:uid="{31D69261-FBBE-48C0-93C8-958F61667D31}"/>
    <cellStyle name="Calculation 4 5 3 2 3" xfId="8512" xr:uid="{1F825B95-B561-438F-BABC-2D56EF45FA14}"/>
    <cellStyle name="Calculation 4 5 3 2 4" xfId="10216" xr:uid="{9D0D478A-6B24-4F20-B2C2-A3CBA1F8FAE5}"/>
    <cellStyle name="Calculation 4 5 3 2 5" xfId="11712" xr:uid="{198ED557-B0C1-4EB4-AFC3-B9CA8FE03EF9}"/>
    <cellStyle name="Calculation 4 5 3 2 6" xfId="13189" xr:uid="{1029C1C3-8D92-4032-99B6-F070CD8589F1}"/>
    <cellStyle name="Calculation 4 5 3 2 7" xfId="14859" xr:uid="{82478F66-8F4A-4CE8-A3C1-D5A45FB20D63}"/>
    <cellStyle name="Calculation 4 5 3 2 8" xfId="16529" xr:uid="{7D0EABAD-197C-48B2-963D-957B9A55F047}"/>
    <cellStyle name="Calculation 4 5 3 3" xfId="6325" xr:uid="{B00BE6EC-F7D9-4AC3-B4FF-9CA0BE558F0A}"/>
    <cellStyle name="Calculation 4 5 3 4" xfId="7552" xr:uid="{E69D28CC-2F63-41D2-85F3-C607AC2B786D}"/>
    <cellStyle name="Calculation 4 5 3 5" xfId="9240" xr:uid="{688D07A4-A8FB-4EB8-A1E4-E6221536D504}"/>
    <cellStyle name="Calculation 4 5 3 6" xfId="10952" xr:uid="{6513047B-5677-490D-9D8C-23505A992C11}"/>
    <cellStyle name="Calculation 4 5 3 7" xfId="12231" xr:uid="{43A9774C-BF20-4267-9742-D4CA92A1BDB0}"/>
    <cellStyle name="Calculation 4 5 3 8" xfId="13883" xr:uid="{6A7A783D-F800-4DC0-B26C-535BDB206279}"/>
    <cellStyle name="Calculation 4 5 3 9" xfId="15571" xr:uid="{4B6579D6-4A5A-4D68-8D7F-37D9BC81815A}"/>
    <cellStyle name="Calculation 4 5 4" xfId="4345" xr:uid="{D020C2F2-1D5F-4740-A7EE-D753DA1C2D75}"/>
    <cellStyle name="Calculation 4 5 4 2" xfId="6863" xr:uid="{1E37342B-06DA-4AF2-98D9-54DCCC124961}"/>
    <cellStyle name="Calculation 4 5 4 3" xfId="8264" xr:uid="{9EDBC3E4-CB0E-4577-BBEB-82BEAB70AFB2}"/>
    <cellStyle name="Calculation 4 5 4 4" xfId="9962" xr:uid="{57F2A8DF-F657-4DD2-B7F4-4EDBA36E711F}"/>
    <cellStyle name="Calculation 4 5 4 5" xfId="11482" xr:uid="{87841DF6-B0D8-4FAC-93EE-D0E8BE2257AD}"/>
    <cellStyle name="Calculation 4 5 4 6" xfId="12941" xr:uid="{69C04BC3-912F-4D00-9195-1BC4B519A6AE}"/>
    <cellStyle name="Calculation 4 5 4 7" xfId="14605" xr:uid="{FCE1FD2B-0FE5-4272-9B81-1F5EDD9EFC93}"/>
    <cellStyle name="Calculation 4 5 4 8" xfId="16281" xr:uid="{21C323C0-E077-457F-B84D-B756DC44D0CA}"/>
    <cellStyle name="Calculation 4 5 5" xfId="6009" xr:uid="{7C13E300-8A79-44AA-A57E-D60AF8BCDFC3}"/>
    <cellStyle name="Calculation 4 5 6" xfId="5749" xr:uid="{70EE99EC-F3E9-47BD-8252-E3D37947B8F3}"/>
    <cellStyle name="Calculation 4 5 7" xfId="10656" xr:uid="{46D82E5C-0101-4D71-B797-482747259D53}"/>
    <cellStyle name="Calculation 4 5 8" xfId="5602" xr:uid="{BEAABE4F-E6FC-428A-BD32-B1F3C04E3DF6}"/>
    <cellStyle name="Calculation 4 5 9" xfId="10648" xr:uid="{C97E559C-5A06-4718-B0C3-1BFBF7C392E4}"/>
    <cellStyle name="Calculation 4 6" xfId="3039" xr:uid="{5DCAEB86-A8D5-471F-955C-EBA75196F324}"/>
    <cellStyle name="Calculation 4 6 10" xfId="11018" xr:uid="{AFEDAF17-1795-49D9-B814-AA4728B44261}"/>
    <cellStyle name="Calculation 4 6 2" xfId="3919" xr:uid="{A8D8DE16-333C-40B2-9F5B-2AF91EA76357}"/>
    <cellStyle name="Calculation 4 6 2 2" xfId="4792" xr:uid="{C63E102F-D874-4FBB-84F8-BE6501869C6A}"/>
    <cellStyle name="Calculation 4 6 2 2 2" xfId="7287" xr:uid="{B59D29D7-6F10-4D4A-B2F5-25DE95FF9D68}"/>
    <cellStyle name="Calculation 4 6 2 2 3" xfId="8702" xr:uid="{2CF14F5D-A2D1-448F-8013-E9EAC756A184}"/>
    <cellStyle name="Calculation 4 6 2 2 4" xfId="10409" xr:uid="{CF4ACCFE-5D8C-450A-94A1-4C4DC4C60977}"/>
    <cellStyle name="Calculation 4 6 2 2 5" xfId="11905" xr:uid="{AE3AEFF5-FA9D-4DDB-94FF-DC80F2BDE9D6}"/>
    <cellStyle name="Calculation 4 6 2 2 6" xfId="13379" xr:uid="{67924861-2E6C-4C10-AA76-2C28B4BFA7C6}"/>
    <cellStyle name="Calculation 4 6 2 2 7" xfId="15052" xr:uid="{FBA8B1C9-ED2C-4C3E-909C-21F78EF2B2C8}"/>
    <cellStyle name="Calculation 4 6 2 2 8" xfId="16719" xr:uid="{10AF2090-98AC-4D58-BFA7-0DEDCBA558F4}"/>
    <cellStyle name="Calculation 4 6 2 3" xfId="6547" xr:uid="{2A7F07A9-DD45-415E-8562-C7B493580F30}"/>
    <cellStyle name="Calculation 4 6 2 4" xfId="7847" xr:uid="{3EEACE0E-9937-4042-811D-22F37AE5C014}"/>
    <cellStyle name="Calculation 4 6 2 5" xfId="9538" xr:uid="{8E89B2DA-9830-4535-9BB9-5BFF8156C8D4}"/>
    <cellStyle name="Calculation 4 6 2 6" xfId="11178" xr:uid="{FCC37C02-5631-43DD-B173-0BB9D86D3CCC}"/>
    <cellStyle name="Calculation 4 6 2 7" xfId="12526" xr:uid="{6492CA12-D6B4-4173-B9FE-1C2846CE8620}"/>
    <cellStyle name="Calculation 4 6 2 8" xfId="14181" xr:uid="{16BB8F1F-2142-4B45-A1CD-F58BC0456384}"/>
    <cellStyle name="Calculation 4 6 2 9" xfId="15866" xr:uid="{C093C727-D3DA-4123-BCFA-41A993E624C1}"/>
    <cellStyle name="Calculation 4 6 3" xfId="3481" xr:uid="{00DB8859-D72B-49A3-9646-298331544F2B}"/>
    <cellStyle name="Calculation 4 6 3 2" xfId="4506" xr:uid="{166F61CD-3130-44DA-A2CF-26846130E26A}"/>
    <cellStyle name="Calculation 4 6 3 2 2" xfId="7001" xr:uid="{AB42781A-BA55-40BE-BF3E-7CEF15C79916}"/>
    <cellStyle name="Calculation 4 6 3 2 3" xfId="8422" xr:uid="{94892FA7-3455-4E1C-8F29-BF5F4A0CAF64}"/>
    <cellStyle name="Calculation 4 6 3 2 4" xfId="10123" xr:uid="{3649EB81-61E0-4900-B129-A01F7437DD42}"/>
    <cellStyle name="Calculation 4 6 3 2 5" xfId="11619" xr:uid="{A75095A2-A930-4AF4-993A-924419A35B57}"/>
    <cellStyle name="Calculation 4 6 3 2 6" xfId="13099" xr:uid="{4803B8A5-8974-4519-8807-3F088A7883FA}"/>
    <cellStyle name="Calculation 4 6 3 2 7" xfId="14766" xr:uid="{B77EB701-0D96-49EB-97AA-6291CEB5161B}"/>
    <cellStyle name="Calculation 4 6 3 2 8" xfId="16439" xr:uid="{8C3E608D-5F40-425E-92AE-9EF446ABDE9B}"/>
    <cellStyle name="Calculation 4 6 3 3" xfId="6214" xr:uid="{8A8637E6-E6E1-41C1-94D7-68CEAB6826F2}"/>
    <cellStyle name="Calculation 4 6 3 4" xfId="5064" xr:uid="{658F5687-F517-41D2-9920-9B675225F046}"/>
    <cellStyle name="Calculation 4 6 3 5" xfId="9100" xr:uid="{26089E0E-18A6-4AE5-A2D6-14FDB666A38F}"/>
    <cellStyle name="Calculation 4 6 3 6" xfId="10849" xr:uid="{CFEDCD8A-3356-4A33-8D83-ADDD45879140}"/>
    <cellStyle name="Calculation 4 6 3 7" xfId="5343" xr:uid="{30996830-DD48-4B18-A3CB-32F53F4C3658}"/>
    <cellStyle name="Calculation 4 6 3 8" xfId="13743" xr:uid="{713B81BD-DC7F-4BA7-A1F1-EF48780233D9}"/>
    <cellStyle name="Calculation 4 6 3 9" xfId="15434" xr:uid="{5354EA92-330E-488D-9AB4-7E4C986116A7}"/>
    <cellStyle name="Calculation 4 6 4" xfId="4288" xr:uid="{5521386F-AE37-4F56-952D-AB16F0CAEAC7}"/>
    <cellStyle name="Calculation 4 6 4 2" xfId="6818" xr:uid="{5473E297-313B-4EE6-9058-302928C38F8D}"/>
    <cellStyle name="Calculation 4 6 4 3" xfId="8210" xr:uid="{E6461696-6DD3-4E59-8947-67CD6665FC3D}"/>
    <cellStyle name="Calculation 4 6 4 4" xfId="9905" xr:uid="{C08B2462-E145-4337-ADE1-046D936FA95A}"/>
    <cellStyle name="Calculation 4 6 4 5" xfId="11438" xr:uid="{B3BFCDDD-EBF5-4173-ABA7-C348D4C31A9F}"/>
    <cellStyle name="Calculation 4 6 4 6" xfId="12887" xr:uid="{70AD968C-7285-47B4-A2AB-348E819A540F}"/>
    <cellStyle name="Calculation 4 6 4 7" xfId="14548" xr:uid="{C4B4B466-BEDA-4695-8CBD-F34BAC629520}"/>
    <cellStyle name="Calculation 4 6 4 8" xfId="16227" xr:uid="{BA99468D-E49E-40BF-8CB2-3D792D0D8459}"/>
    <cellStyle name="Calculation 4 6 5" xfId="5923" xr:uid="{8AB56B72-2F9E-4881-B7B1-7D679CD57E1A}"/>
    <cellStyle name="Calculation 4 6 6" xfId="5683" xr:uid="{A87BC96B-8213-47B5-ACB9-55A97753AAE4}"/>
    <cellStyle name="Calculation 4 6 7" xfId="5809" xr:uid="{EBA210EB-BEC7-46D1-8667-8446371C09CB}"/>
    <cellStyle name="Calculation 4 6 8" xfId="5275" xr:uid="{80C5F661-0113-4DB8-9536-787906930AB5}"/>
    <cellStyle name="Calculation 4 6 9" xfId="5664" xr:uid="{95CC43D2-37DA-44B0-A774-AA3AC12BD33F}"/>
    <cellStyle name="Calculation 4 7" xfId="3838" xr:uid="{076AD65E-E705-49CF-B68B-A23A31C12948}"/>
    <cellStyle name="Calculation 4 7 2" xfId="4737" xr:uid="{F7BD4EDF-F67B-462A-90E1-84D79A7FBD39}"/>
    <cellStyle name="Calculation 4 7 2 2" xfId="7232" xr:uid="{BE116551-CA1B-4373-8247-FF2498E9FB01}"/>
    <cellStyle name="Calculation 4 7 2 3" xfId="8648" xr:uid="{01D98FCD-EF97-47E9-9C86-F0BA7E929BD2}"/>
    <cellStyle name="Calculation 4 7 2 4" xfId="10354" xr:uid="{1C515289-7C3D-4BCC-9C3D-9C0EF6B40955}"/>
    <cellStyle name="Calculation 4 7 2 5" xfId="11850" xr:uid="{3AC66E01-7C06-4BCC-A69A-9D2499693DB3}"/>
    <cellStyle name="Calculation 4 7 2 6" xfId="13325" xr:uid="{AE9636A3-C029-43A1-9D04-62649650CD2A}"/>
    <cellStyle name="Calculation 4 7 2 7" xfId="14997" xr:uid="{6E8CB9A9-02AA-454F-9CCB-6628339A7455}"/>
    <cellStyle name="Calculation 4 7 2 8" xfId="16665" xr:uid="{DA225933-C386-4C82-8A1C-5BD2FDECD986}"/>
    <cellStyle name="Calculation 4 7 3" xfId="6483" xr:uid="{8739448C-FC1D-4ED1-866D-203C33CE7414}"/>
    <cellStyle name="Calculation 4 7 4" xfId="7767" xr:uid="{864899B3-2C54-4E96-8263-2E2E3A1221BD}"/>
    <cellStyle name="Calculation 4 7 5" xfId="9457" xr:uid="{4B40444C-EB36-4104-9C74-E05BE9D06E66}"/>
    <cellStyle name="Calculation 4 7 6" xfId="11114" xr:uid="{4BDFF9FF-08C1-45C0-8344-E0671F315C92}"/>
    <cellStyle name="Calculation 4 7 7" xfId="12446" xr:uid="{4CFA605F-0694-4CA4-B88E-3A5E00D5B216}"/>
    <cellStyle name="Calculation 4 7 8" xfId="14100" xr:uid="{1210A808-1872-4DC0-BDFE-DF4029E88E9D}"/>
    <cellStyle name="Calculation 4 7 9" xfId="15786" xr:uid="{D1F74C85-A417-453C-81A5-FEE962687B84}"/>
    <cellStyle name="Calculation 4 8" xfId="3401" xr:uid="{DDE4A926-58DE-451C-8E9B-E9B2BA66C9DC}"/>
    <cellStyle name="Calculation 4 8 2" xfId="4452" xr:uid="{83CA00BA-0F66-4736-A7C6-C74F0681D195}"/>
    <cellStyle name="Calculation 4 8 2 2" xfId="6947" xr:uid="{38CE9C85-F7BE-4507-BE07-EF220D1B3686}"/>
    <cellStyle name="Calculation 4 8 2 3" xfId="8368" xr:uid="{D78B5267-DF6B-4281-A307-6C15A5016CD4}"/>
    <cellStyle name="Calculation 4 8 2 4" xfId="10069" xr:uid="{267EDB4F-E112-4627-B57C-A639009D3B12}"/>
    <cellStyle name="Calculation 4 8 2 5" xfId="11565" xr:uid="{7377DB11-06D2-42C2-9ACA-4C2BAF9D7FF9}"/>
    <cellStyle name="Calculation 4 8 2 6" xfId="13045" xr:uid="{A3A9435F-873B-4AAF-974F-F175AE1AD47A}"/>
    <cellStyle name="Calculation 4 8 2 7" xfId="14712" xr:uid="{B0C9293C-879E-47F3-9E2E-76B036EB1820}"/>
    <cellStyle name="Calculation 4 8 2 8" xfId="16385" xr:uid="{6540E2E5-7BDF-489F-A9E4-ABE11FFFD48E}"/>
    <cellStyle name="Calculation 4 8 3" xfId="6154" xr:uid="{047073CF-C50D-48A9-A777-3E3D34349CD0}"/>
    <cellStyle name="Calculation 4 8 4" xfId="6040" xr:uid="{AB5C0EBB-74BD-4666-A700-42CAFAD25F1C}"/>
    <cellStyle name="Calculation 4 8 5" xfId="9020" xr:uid="{4A360C94-7119-4FC8-B130-2D10CEB09665}"/>
    <cellStyle name="Calculation 4 8 6" xfId="10787" xr:uid="{8AEE5FF9-EF2D-4D9D-884E-F09559B66699}"/>
    <cellStyle name="Calculation 4 8 7" xfId="5845" xr:uid="{62A837F5-42E9-44A2-A211-246E5DB3FDF3}"/>
    <cellStyle name="Calculation 4 8 8" xfId="13663" xr:uid="{F8CCAEE7-21B3-4041-B04F-38423680E6A5}"/>
    <cellStyle name="Calculation 4 8 9" xfId="15354" xr:uid="{80FB7C8C-C84D-4EB8-B6B7-736E2DF3E218}"/>
    <cellStyle name="Calculation 4 9" xfId="6546" xr:uid="{34DB61E7-3B52-4F95-91E9-8EA7F3A15BD0}"/>
    <cellStyle name="Check Cell 2" xfId="387" xr:uid="{217F057E-49A6-4794-9A37-E4DB6CD1ACFB}"/>
    <cellStyle name="Check Cell 3" xfId="388" xr:uid="{CDB62B2E-6BC3-49D8-B5AB-9DFF91FF622B}"/>
    <cellStyle name="Check Cell 4" xfId="389" xr:uid="{69ED4670-5737-4967-B2A5-A5B3CE4F475F}"/>
    <cellStyle name="Comma" xfId="1" builtinId="3"/>
    <cellStyle name="Comma [0] 2" xfId="390" xr:uid="{4EB7C205-E0C7-4678-901E-C519DF9DC914}"/>
    <cellStyle name="Comma [0] 3" xfId="391" xr:uid="{7064604B-1D26-46DD-B04F-72B829B92E00}"/>
    <cellStyle name="Comma 10" xfId="2" xr:uid="{44105B48-1C39-4248-9216-64E58417A06E}"/>
    <cellStyle name="Comma 10 10" xfId="2102" xr:uid="{C95BF6BD-A957-45CC-837B-C5E883BD0DC1}"/>
    <cellStyle name="Comma 10 10 10" xfId="2135" xr:uid="{90080DFC-747A-4CDB-B0D7-DD752074CE25}"/>
    <cellStyle name="Comma 10 10 11" xfId="2137" xr:uid="{2D367C1B-3443-4364-B079-8F68BCF8B7BB}"/>
    <cellStyle name="Comma 10 10 12" xfId="2144" xr:uid="{E8EFED74-F685-460D-BB0E-2B9586623E8A}"/>
    <cellStyle name="Comma 10 10 13" xfId="2147" xr:uid="{D5878A47-C716-4EAF-A9CB-2D9FDA7DC523}"/>
    <cellStyle name="Comma 10 10 14" xfId="2149" xr:uid="{A24AE0D9-1B7A-4CD4-98B6-FB4D9C7B3410}"/>
    <cellStyle name="Comma 10 10 15" xfId="2155" xr:uid="{5E0C4F5B-E52F-4D0E-A950-3B23AF5DE72A}"/>
    <cellStyle name="Comma 10 10 16" xfId="2157" xr:uid="{3044A0E6-2757-4F3F-8BCB-564FF846AAAE}"/>
    <cellStyle name="Comma 10 10 17" xfId="2192" xr:uid="{4A508C21-2A5C-4E9D-BE88-A25F45649DBC}"/>
    <cellStyle name="Comma 10 10 18" xfId="2162" xr:uid="{6007FBDB-5E84-4DD9-B46A-EA817F814FD7}"/>
    <cellStyle name="Comma 10 10 19" xfId="2202" xr:uid="{B8189065-6B9F-4092-A40A-5BA0D8203139}"/>
    <cellStyle name="Comma 10 10 2" xfId="2105" xr:uid="{A24ACB1C-7B82-43CE-898E-918B273AD8B3}"/>
    <cellStyle name="Comma 10 10 20" xfId="2237" xr:uid="{20F67DAD-D085-45A4-8D5D-3868650D078D}"/>
    <cellStyle name="Comma 10 10 21" xfId="2249" xr:uid="{F249F319-61A3-4549-8113-DD28FB65C4D3}"/>
    <cellStyle name="Comma 10 10 22" xfId="2258" xr:uid="{95C4475C-7C90-4E54-9F27-63BECBE70142}"/>
    <cellStyle name="Comma 10 10 23" xfId="2292" xr:uid="{9755AC51-F0AF-4AB9-8C0E-5E483AA161FB}"/>
    <cellStyle name="Comma 10 10 24" xfId="2278" xr:uid="{F3E8900F-BCF6-42D8-832C-6CD0BC655503}"/>
    <cellStyle name="Comma 10 10 25" xfId="2300" xr:uid="{917207C7-B012-43FF-9BAD-4208BD831492}"/>
    <cellStyle name="Comma 10 10 26" xfId="2357" xr:uid="{2BDCECF7-C71B-40BA-8182-138E66FC3B10}"/>
    <cellStyle name="Comma 10 10 27" xfId="2336" xr:uid="{6376E557-00B5-4414-AFE6-555D2C8454C0}"/>
    <cellStyle name="Comma 10 10 28" xfId="2366" xr:uid="{932FEF88-798F-40EE-B75A-35EBB385350B}"/>
    <cellStyle name="Comma 10 10 29" xfId="2401" xr:uid="{FA41D33F-5ABF-4A8D-B94A-3AC723C1FF40}"/>
    <cellStyle name="Comma 10 10 3" xfId="2108" xr:uid="{494B3397-ACE1-4426-AA6E-97C4B1F719BF}"/>
    <cellStyle name="Comma 10 10 30" xfId="2410" xr:uid="{41F2C8C9-325C-426C-BC70-BD226FE89153}"/>
    <cellStyle name="Comma 10 10 4" xfId="2111" xr:uid="{56513B29-6712-4C77-A769-D2131ED0DBB0}"/>
    <cellStyle name="Comma 10 10 5" xfId="2114" xr:uid="{40BE0B36-AF33-4B81-89E4-154ECE72B356}"/>
    <cellStyle name="Comma 10 10 6" xfId="2117" xr:uid="{43A73726-119A-4B50-B875-C0F2F5D6C2FC}"/>
    <cellStyle name="Comma 10 10 7" xfId="2126" xr:uid="{F571C35F-3759-4A54-A3AA-767E1CAEAC4F}"/>
    <cellStyle name="Comma 10 10 8" xfId="2129" xr:uid="{2AC7D4AD-60FB-4A79-9AAC-82A84F9DEC72}"/>
    <cellStyle name="Comma 10 10 9" xfId="2132" xr:uid="{48F4A652-7A2A-4DCD-B319-DA7B0C83B531}"/>
    <cellStyle name="Comma 10 11" xfId="2099" xr:uid="{9C9324A8-C583-4867-A327-799C563418C6}"/>
    <cellStyle name="Comma 10 12" xfId="2104" xr:uid="{5A3B32D9-D6BA-4BFD-B0DB-72F35DEDD001}"/>
    <cellStyle name="Comma 10 13" xfId="2107" xr:uid="{5CCF2D83-C9DD-4829-8BDD-7D5D262EB5D0}"/>
    <cellStyle name="Comma 10 14" xfId="2110" xr:uid="{34AEDD96-0D0B-4F64-996D-354F9E4A49F6}"/>
    <cellStyle name="Comma 10 15" xfId="2113" xr:uid="{7BC661FD-7D3E-4E72-B07E-A95142E69560}"/>
    <cellStyle name="Comma 10 16" xfId="2116" xr:uid="{28BAA394-7D28-453F-BFB3-F44FAF370E5F}"/>
    <cellStyle name="Comma 10 17" xfId="2124" xr:uid="{1CB7F84D-92BA-489E-A5C3-F087F75A5CAB}"/>
    <cellStyle name="Comma 10 18" xfId="2121" xr:uid="{2192146B-18FC-45CA-8C43-04092C9F4848}"/>
    <cellStyle name="Comma 10 19" xfId="2127" xr:uid="{F9B54788-B3BB-4831-81EA-0A071F365344}"/>
    <cellStyle name="Comma 10 2" xfId="258" xr:uid="{BE954E45-8E2B-4A7B-BD0F-17EF163EA1DE}"/>
    <cellStyle name="Comma 10 2 2" xfId="392" xr:uid="{506BCFFD-8BBC-4D81-85CE-35F90DD5BC7E}"/>
    <cellStyle name="Comma 10 2 2 2" xfId="393" xr:uid="{12F62C04-A53D-4F31-BADC-1BD12F742564}"/>
    <cellStyle name="Comma 10 2 2 3" xfId="1774" xr:uid="{EC88E017-1D82-4E15-9B40-1824356FC6A4}"/>
    <cellStyle name="Comma 10 2 3" xfId="1773" xr:uid="{A2D5444F-BA1C-4F96-B727-67B10868962F}"/>
    <cellStyle name="Comma 10 20" xfId="2130" xr:uid="{45868FB8-BF52-4BB6-9B0C-82C773FE4EB8}"/>
    <cellStyle name="Comma 10 21" xfId="2133" xr:uid="{7E1664C7-2AB9-493F-8D2C-382271CA94E0}"/>
    <cellStyle name="Comma 10 22" xfId="2142" xr:uid="{C520B7A9-478F-438D-8D78-314B7204596C}"/>
    <cellStyle name="Comma 10 23" xfId="2140" xr:uid="{266D87D7-2087-4DEA-B172-E7E2441762B6}"/>
    <cellStyle name="Comma 10 24" xfId="2145" xr:uid="{D5C0464B-4037-45A6-84B6-34BB3B2598DD}"/>
    <cellStyle name="Comma 10 25" xfId="2154" xr:uid="{6DF8839B-753D-4204-980D-9471E39B94A1}"/>
    <cellStyle name="Comma 10 26" xfId="2152" xr:uid="{9BCA4C16-1B72-48D2-A395-3B1018D0D6A2}"/>
    <cellStyle name="Comma 10 27" xfId="2184" xr:uid="{F0AC0A95-A598-4216-9609-26D6D0A18569}"/>
    <cellStyle name="Comma 10 28" xfId="2176" xr:uid="{4DDCE11B-48A9-411E-B5A7-3858578DFFB4}"/>
    <cellStyle name="Comma 10 29" xfId="2181" xr:uid="{EB4A7BDE-C405-438F-9F2E-92C2474A7B7F}"/>
    <cellStyle name="Comma 10 3" xfId="1717" xr:uid="{6BA15ADF-5D34-4453-8952-D6CD91EEEA70}"/>
    <cellStyle name="Comma 10 3 2" xfId="1812" xr:uid="{7D043390-F276-4AD0-BBB7-02AA36CF65F9}"/>
    <cellStyle name="Comma 10 30" xfId="2180" xr:uid="{7241BC42-F249-4FEF-AEF6-89F4DF687922}"/>
    <cellStyle name="Comma 10 31" xfId="2177" xr:uid="{A46A6FB5-39C1-4E24-A0A3-CC3793F9309A}"/>
    <cellStyle name="Comma 10 32" xfId="2193" xr:uid="{1AFB869E-4A33-49DB-BC3F-6C43A038BC25}"/>
    <cellStyle name="Comma 10 33" xfId="2291" xr:uid="{C48E4D52-BC11-44DF-A728-2EEF0F8E7EE4}"/>
    <cellStyle name="Comma 10 34" xfId="2286" xr:uid="{C7AD860F-5AB9-4B2E-8597-BF384EC687ED}"/>
    <cellStyle name="Comma 10 35" xfId="2289" xr:uid="{1499A7BB-6380-4185-B8F4-F096420189A0}"/>
    <cellStyle name="Comma 10 36" xfId="2355" xr:uid="{EC24272C-19EA-4368-947B-96B5B4279F4F}"/>
    <cellStyle name="Comma 10 37" xfId="2347" xr:uid="{12A5036B-9474-4AEA-87A0-2FCE6449906B}"/>
    <cellStyle name="Comma 10 38" xfId="2352" xr:uid="{0261D010-1420-498A-95D4-C39D1DC061C6}"/>
    <cellStyle name="Comma 10 39" xfId="2351" xr:uid="{BA398B15-13BD-4A9D-A5FB-91F4CE44D69C}"/>
    <cellStyle name="Comma 10 4" xfId="1894" xr:uid="{810B6F31-83A0-4470-A05C-F1892EE5F78D}"/>
    <cellStyle name="Comma 10 40" xfId="2348" xr:uid="{750CB84B-9FD0-43C0-BB22-F8F612D2A209}"/>
    <cellStyle name="Comma 10 41" xfId="257" xr:uid="{6AB07313-52B4-43BD-88C5-FD3BBF474A52}"/>
    <cellStyle name="Comma 10 5" xfId="2088" xr:uid="{D27C82AE-92B0-4265-9E17-2C118D1B0EB3}"/>
    <cellStyle name="Comma 10 6" xfId="2098" xr:uid="{6D9BC634-A225-4380-A882-1C475DB0030F}"/>
    <cellStyle name="Comma 10 7" xfId="2092" xr:uid="{9990877B-E870-48C2-B75F-7FF8B3257ADA}"/>
    <cellStyle name="Comma 10 8" xfId="2095" xr:uid="{EA503098-9649-4F05-A000-7EA4E919343F}"/>
    <cellStyle name="Comma 10 9" xfId="2094" xr:uid="{E2A9D0D3-C062-453E-81AF-8512908B9953}"/>
    <cellStyle name="Comma 100" xfId="394" xr:uid="{2F87E446-A77D-4FA8-824B-A5715CA81628}"/>
    <cellStyle name="Comma 100 2" xfId="1930" xr:uid="{5B24F3E3-8973-4A0D-BBBD-623C76A49BB9}"/>
    <cellStyle name="Comma 100 3" xfId="2037" xr:uid="{0EB84732-82CA-4ABC-B509-8953BF1DCB14}"/>
    <cellStyle name="Comma 1000" xfId="17226" xr:uid="{D8D707AE-1C90-4E1A-B7D6-702D5699E24E}"/>
    <cellStyle name="Comma 1001" xfId="17227" xr:uid="{7BAF6BD4-78BD-409A-A37E-C3C5A3F0345D}"/>
    <cellStyle name="Comma 1002" xfId="17228" xr:uid="{A1EF1B28-F302-4694-AEEA-3D24B412482A}"/>
    <cellStyle name="Comma 1003" xfId="17229" xr:uid="{04F57BD0-FA8A-4BF7-B6D7-EFD748FA4342}"/>
    <cellStyle name="Comma 1004" xfId="17230" xr:uid="{1A5147E1-ED1C-4903-BEC0-1B66F6242DA3}"/>
    <cellStyle name="Comma 1005" xfId="17231" xr:uid="{E0ED6E04-3336-49C8-99BB-EA774FEC59AD}"/>
    <cellStyle name="Comma 1006" xfId="17232" xr:uid="{586600CC-200C-46F0-84DC-69D61ACA9E3F}"/>
    <cellStyle name="Comma 1007" xfId="17233" xr:uid="{C536268A-A29F-4282-AD05-51A8E759F5DB}"/>
    <cellStyle name="Comma 1008" xfId="17234" xr:uid="{52D6B03B-4184-42F1-B91D-9ED1FF3D82B6}"/>
    <cellStyle name="Comma 1009" xfId="17235" xr:uid="{9B1A2E0A-D662-437D-ABCE-3A482B4158C2}"/>
    <cellStyle name="Comma 101" xfId="395" xr:uid="{C0C8A768-7870-4BCC-84C5-51EF90CFEDA4}"/>
    <cellStyle name="Comma 101 2" xfId="1931" xr:uid="{8F1042D4-1EB9-4389-B6CA-594219589412}"/>
    <cellStyle name="Comma 101 3" xfId="2038" xr:uid="{D6BC9758-F0E7-4D6E-A3BE-B4D10FFAE8A3}"/>
    <cellStyle name="Comma 1010" xfId="17236" xr:uid="{27C8B00B-D090-4FFF-8D69-AD510C37E576}"/>
    <cellStyle name="Comma 1011" xfId="17237" xr:uid="{3DC8958F-8488-4DF4-8311-62B5A1F696FA}"/>
    <cellStyle name="Comma 1012" xfId="17238" xr:uid="{B7BAAA18-9A5B-4A5B-B125-47D5B0D7B0C8}"/>
    <cellStyle name="Comma 1013" xfId="17239" xr:uid="{1CB8426E-1AE9-45D8-B205-4A58BA88869D}"/>
    <cellStyle name="Comma 1014" xfId="17240" xr:uid="{DFD7E8A5-E2EB-405D-984F-15B2679CACC9}"/>
    <cellStyle name="Comma 1015" xfId="17241" xr:uid="{4B76FA51-1095-4D91-90A5-BA620ACABAF7}"/>
    <cellStyle name="Comma 1016" xfId="17242" xr:uid="{B5F3A2A7-AA1C-419B-8F62-4C19650A10FB}"/>
    <cellStyle name="Comma 1017" xfId="17243" xr:uid="{0790ECEC-AD17-41D7-BCC7-21DC2F321B64}"/>
    <cellStyle name="Comma 1018" xfId="17244" xr:uid="{9573260A-0318-4555-B555-7B5CA194004E}"/>
    <cellStyle name="Comma 1019" xfId="17245" xr:uid="{9D95215A-E362-4E70-B78A-343FB1D5F4E0}"/>
    <cellStyle name="Comma 102" xfId="396" xr:uid="{89F46BF2-35A8-4F88-BC17-18F7D7CCAD3F}"/>
    <cellStyle name="Comma 102 2" xfId="1932" xr:uid="{E0F3A507-8A08-44B8-AA9E-6F10C0201514}"/>
    <cellStyle name="Comma 102 3" xfId="2039" xr:uid="{B8968139-D0E6-4D6B-B5B1-2FF0420C90CE}"/>
    <cellStyle name="Comma 1020" xfId="17246" xr:uid="{E1E5FA13-E545-4995-8212-799146958B0B}"/>
    <cellStyle name="Comma 1021" xfId="17247" xr:uid="{3624F38C-2CAC-447E-B09D-CF16008E3DE3}"/>
    <cellStyle name="Comma 1022" xfId="17248" xr:uid="{4464A2B7-05E2-4F2D-B5A7-6A750914541E}"/>
    <cellStyle name="Comma 1023" xfId="17249" xr:uid="{F50D8806-C494-4AB1-A58F-3FA495C611B9}"/>
    <cellStyle name="Comma 1024" xfId="17250" xr:uid="{A21075FE-C5E1-405F-9426-7E1C9DEA5CAA}"/>
    <cellStyle name="Comma 1025" xfId="17251" xr:uid="{3605262D-7159-4D9D-8C77-BBC727D95149}"/>
    <cellStyle name="Comma 1026" xfId="17252" xr:uid="{6E396F46-B89A-4230-9474-314308FF67F8}"/>
    <cellStyle name="Comma 1027" xfId="17253" xr:uid="{4B017FB2-3FC0-4E84-A6B7-40BA2411039E}"/>
    <cellStyle name="Comma 1028" xfId="17254" xr:uid="{F11EF1DA-15CE-4A62-9EDA-AAECF870DE3B}"/>
    <cellStyle name="Comma 1029" xfId="17255" xr:uid="{FC1EBB84-D3E9-4CF7-BA37-6B41340247ED}"/>
    <cellStyle name="Comma 103" xfId="397" xr:uid="{EFC0B777-8E9E-4567-8F51-CB6BD1C40BEE}"/>
    <cellStyle name="Comma 103 2" xfId="1933" xr:uid="{EC208CFE-A99D-4354-B51F-63CACA5091A2}"/>
    <cellStyle name="Comma 103 3" xfId="2040" xr:uid="{409CB79F-4311-4E9A-B15C-558B6D5A750C}"/>
    <cellStyle name="Comma 1030" xfId="17256" xr:uid="{266F1D84-B430-4A80-915F-58B058FA891C}"/>
    <cellStyle name="Comma 1031" xfId="17257" xr:uid="{3F989E46-34A1-4BFF-A7E9-47064AA8BA2E}"/>
    <cellStyle name="Comma 1032" xfId="17258" xr:uid="{97DA6452-6A99-413E-9218-3C712D6EA247}"/>
    <cellStyle name="Comma 1033" xfId="17259" xr:uid="{D04D9376-9857-4829-B5D9-6A84685C51B6}"/>
    <cellStyle name="Comma 1034" xfId="17260" xr:uid="{12898118-4C88-40D0-858F-F1ACE602FEFD}"/>
    <cellStyle name="Comma 1035" xfId="17261" xr:uid="{80A263A5-02A3-4AD7-B68B-983CCC12E59A}"/>
    <cellStyle name="Comma 1036" xfId="17262" xr:uid="{3A6C42B4-7CCC-4184-99F0-F3368D48B0E9}"/>
    <cellStyle name="Comma 1037" xfId="17263" xr:uid="{2E83E396-1300-4250-9F53-277AC80381ED}"/>
    <cellStyle name="Comma 1038" xfId="17264" xr:uid="{9C28DD36-C8DD-49D3-A35D-7E33C53E80B0}"/>
    <cellStyle name="Comma 1039" xfId="17265" xr:uid="{229D6533-7F60-44CD-8D17-1CB00A52FF33}"/>
    <cellStyle name="Comma 104" xfId="398" xr:uid="{6443FECF-BE32-4F13-B348-7642F82BF370}"/>
    <cellStyle name="Comma 104 2" xfId="1934" xr:uid="{AB630A9F-F1BD-49CB-BA8F-DC07686A35F6}"/>
    <cellStyle name="Comma 104 3" xfId="2041" xr:uid="{65DE06D3-1DF7-4FDC-A279-D52EFD53C6EA}"/>
    <cellStyle name="Comma 1040" xfId="17266" xr:uid="{C5646E63-8609-414E-AAFB-E976EDD2C561}"/>
    <cellStyle name="Comma 1041" xfId="17267" xr:uid="{D1BC84B7-746C-4389-B3AC-AB14AAF74F6E}"/>
    <cellStyle name="Comma 1042" xfId="17268" xr:uid="{FFB3FAA2-6FE7-421E-81BB-62FDF62F012C}"/>
    <cellStyle name="Comma 1043" xfId="17269" xr:uid="{BE66DBBA-D164-4A51-B465-917E17B84563}"/>
    <cellStyle name="Comma 1044" xfId="17270" xr:uid="{C658BD40-B100-409A-8E78-74DADAFD9F01}"/>
    <cellStyle name="Comma 1045" xfId="17271" xr:uid="{4F4932D8-A558-4150-9CD6-856AE9FBA657}"/>
    <cellStyle name="Comma 1046" xfId="17272" xr:uid="{4149B1E6-F775-46A9-A132-B5602BE1C242}"/>
    <cellStyle name="Comma 1047" xfId="17273" xr:uid="{B9AAF15C-3D31-47CC-8091-FA8B3EB88497}"/>
    <cellStyle name="Comma 1048" xfId="17274" xr:uid="{3273B7A6-51A4-4FD6-B111-31D772A8ECCD}"/>
    <cellStyle name="Comma 1049" xfId="17275" xr:uid="{87F40FBF-B778-488D-B8A2-FCBA4B714628}"/>
    <cellStyle name="Comma 105" xfId="399" xr:uid="{1D947061-4278-4D0A-BD7A-DA197F1B1E7A}"/>
    <cellStyle name="Comma 105 2" xfId="1935" xr:uid="{088A3EC7-1C47-407C-8F30-7BE461F5C735}"/>
    <cellStyle name="Comma 105 3" xfId="2042" xr:uid="{B2E1B1CB-74E2-4CF6-9046-1F10D30F95FD}"/>
    <cellStyle name="Comma 1050" xfId="17276" xr:uid="{8F328264-85A3-4042-9BC4-5386AB2C2318}"/>
    <cellStyle name="Comma 1051" xfId="17277" xr:uid="{C7374E03-DD21-4FA0-A12C-9B404CA27371}"/>
    <cellStyle name="Comma 1052" xfId="17278" xr:uid="{345E035F-510D-456F-94E2-98F8E4C49F7F}"/>
    <cellStyle name="Comma 1053" xfId="17279" xr:uid="{C82C2935-F22C-4D2D-AC00-03FC54395DEF}"/>
    <cellStyle name="Comma 1054" xfId="17280" xr:uid="{57A561AB-83F3-408D-ACA0-966DEC736314}"/>
    <cellStyle name="Comma 1055" xfId="17281" xr:uid="{5C506805-0D54-49EC-B123-FD2DFECB0D87}"/>
    <cellStyle name="Comma 1056" xfId="17282" xr:uid="{C62B76E5-13CD-4918-867B-F1D79897F8BF}"/>
    <cellStyle name="Comma 1057" xfId="17283" xr:uid="{53C766E7-A39F-4678-A5E0-60672F069851}"/>
    <cellStyle name="Comma 1058" xfId="17284" xr:uid="{44990259-FC67-4718-9E7E-FCE8A378128A}"/>
    <cellStyle name="Comma 1059" xfId="17285" xr:uid="{313FBE78-4136-4AF2-9AD5-1CBA40B75BB2}"/>
    <cellStyle name="Comma 106" xfId="400" xr:uid="{50E646BA-DE93-4534-9610-15A4D3F336A8}"/>
    <cellStyle name="Comma 106 2" xfId="1936" xr:uid="{CEC10961-4E00-4A5E-8831-113686AB60C2}"/>
    <cellStyle name="Comma 106 3" xfId="2043" xr:uid="{B8DB5419-D0EF-4C83-A726-9128E6D842BF}"/>
    <cellStyle name="Comma 1060" xfId="17286" xr:uid="{1F10CE15-A0D4-4CD3-941A-660514716334}"/>
    <cellStyle name="Comma 1061" xfId="17287" xr:uid="{5772B413-6749-452D-A551-12319B382AAC}"/>
    <cellStyle name="Comma 1062" xfId="17288" xr:uid="{1BB5A748-1559-4BF3-8290-8707E050D0C9}"/>
    <cellStyle name="Comma 1063" xfId="17289" xr:uid="{CB1E6BC8-9284-4A51-94AF-060DA35252B1}"/>
    <cellStyle name="Comma 1064" xfId="17290" xr:uid="{63616395-80AC-4E91-9FE2-68DC44440088}"/>
    <cellStyle name="Comma 1065" xfId="17291" xr:uid="{0D8A3899-CCAD-4B16-8977-32AA6AE38983}"/>
    <cellStyle name="Comma 1066" xfId="17292" xr:uid="{342A49FD-E6BF-4235-88BD-E50B0104A0DD}"/>
    <cellStyle name="Comma 1067" xfId="17293" xr:uid="{1ADF59CA-7FB7-4775-A8C5-88CE8585907D}"/>
    <cellStyle name="Comma 1068" xfId="17294" xr:uid="{3396949F-1909-4166-9032-9EF78F5CEBC1}"/>
    <cellStyle name="Comma 1069" xfId="17295" xr:uid="{8FB55D35-7F6D-4B2A-AD17-AB78BB2F4DEE}"/>
    <cellStyle name="Comma 107" xfId="401" xr:uid="{F5C8231F-7EEA-4968-982E-EB38ECB05043}"/>
    <cellStyle name="Comma 107 2" xfId="1937" xr:uid="{E33CC294-F4B9-4B85-944B-F78658D6E57D}"/>
    <cellStyle name="Comma 107 3" xfId="2044" xr:uid="{D3CDC2C4-7EAF-4E82-952C-796D12B57CF6}"/>
    <cellStyle name="Comma 1070" xfId="17296" xr:uid="{CF8CA327-BDB1-4E0D-90FE-2CA42BA1F5D0}"/>
    <cellStyle name="Comma 1071" xfId="17297" xr:uid="{7B27BBFE-9368-47DF-A8DF-ECF4E0247C1D}"/>
    <cellStyle name="Comma 1072" xfId="17298" xr:uid="{9AFB05F9-A6EE-420F-942F-E591ACE46A9B}"/>
    <cellStyle name="Comma 1073" xfId="17299" xr:uid="{45188A70-C51E-4D5A-A838-8FBBABA66E71}"/>
    <cellStyle name="Comma 1074" xfId="17300" xr:uid="{EA15AAB0-3045-4AD6-806A-54AEB6A13747}"/>
    <cellStyle name="Comma 1075" xfId="17301" xr:uid="{C5499EF7-500C-4F51-AD5B-031D845D70FE}"/>
    <cellStyle name="Comma 1076" xfId="17302" xr:uid="{8204CBAF-417E-478C-A2F4-495B4B3C478C}"/>
    <cellStyle name="Comma 1077" xfId="17303" xr:uid="{9139BD5C-2979-4E72-8159-2D7C889DA5AA}"/>
    <cellStyle name="Comma 1078" xfId="17304" xr:uid="{14BFD65C-954F-43A3-8F61-B1D1E0373B18}"/>
    <cellStyle name="Comma 1079" xfId="17305" xr:uid="{838FF0B5-DDA1-4E14-9E24-4FCCB30BB696}"/>
    <cellStyle name="Comma 108" xfId="402" xr:uid="{894859FE-DB21-4370-98D6-1EACB6D6BAF5}"/>
    <cellStyle name="Comma 108 2" xfId="1938" xr:uid="{CCF5B90B-22E3-4089-971A-7D1B9575CC3C}"/>
    <cellStyle name="Comma 108 3" xfId="2045" xr:uid="{8879825E-74B4-4D93-A5A8-CE5F7AE332DA}"/>
    <cellStyle name="Comma 1080" xfId="17306" xr:uid="{D59B1104-8E82-42EE-8A8A-0C02EF7AC61E}"/>
    <cellStyle name="Comma 1081" xfId="17307" xr:uid="{91216AB1-D38C-42C4-A41C-620D9630C068}"/>
    <cellStyle name="Comma 1082" xfId="17308" xr:uid="{F225D342-2C1C-42CF-9FEE-853BBCC5829F}"/>
    <cellStyle name="Comma 1083" xfId="17309" xr:uid="{96BE943C-DE3E-4379-9119-0438FE09DFE8}"/>
    <cellStyle name="Comma 1084" xfId="17310" xr:uid="{C4902C7C-3830-45F8-946E-594F65A16A65}"/>
    <cellStyle name="Comma 1085" xfId="17311" xr:uid="{B7B3373D-E366-4C18-AD1A-945B468D71B8}"/>
    <cellStyle name="Comma 1086" xfId="17312" xr:uid="{9A0AA9DD-9B77-43B0-9F45-872AA27B408B}"/>
    <cellStyle name="Comma 1087" xfId="17313" xr:uid="{638CFC8E-7FD0-4C3F-9B41-2653BD80B049}"/>
    <cellStyle name="Comma 1088" xfId="17314" xr:uid="{311250C5-DA68-4A1D-917B-90B5B9401751}"/>
    <cellStyle name="Comma 1089" xfId="17315" xr:uid="{ED0F515C-A4B5-445F-AED9-48BFECFD6974}"/>
    <cellStyle name="Comma 109" xfId="403" xr:uid="{01471EF8-49CE-4AFE-8E0E-2AC23EBF2928}"/>
    <cellStyle name="Comma 109 2" xfId="1939" xr:uid="{D03A43D2-DC41-4C25-AE4F-CA7828E11575}"/>
    <cellStyle name="Comma 109 3" xfId="2046" xr:uid="{471D6AC2-604A-47B5-B8B5-53BB4C507501}"/>
    <cellStyle name="Comma 1090" xfId="17316" xr:uid="{9417F38E-14A5-47A0-A940-5EF417526A53}"/>
    <cellStyle name="Comma 1091" xfId="17317" xr:uid="{A71E5E61-2379-4A6D-AFBB-D4F451D9FD2B}"/>
    <cellStyle name="Comma 1092" xfId="17318" xr:uid="{6CB9C793-0B51-437C-B746-B02DD3654259}"/>
    <cellStyle name="Comma 1093" xfId="17319" xr:uid="{DE0C9F0C-9D38-42E4-B684-459A955FFCB6}"/>
    <cellStyle name="Comma 1094" xfId="17320" xr:uid="{C4608E63-CE96-4091-B6FF-977155B8B6E1}"/>
    <cellStyle name="Comma 1095" xfId="17321" xr:uid="{19ED7422-E57B-4FDF-96A3-1B0695C2CF1B}"/>
    <cellStyle name="Comma 1096" xfId="17322" xr:uid="{1DED9AE0-88DE-429A-8304-59DD6ED19BBE}"/>
    <cellStyle name="Comma 1097" xfId="17323" xr:uid="{D13D6010-A1A6-42E4-8DF8-C072DF5FF16A}"/>
    <cellStyle name="Comma 1098" xfId="17324" xr:uid="{20CE42BE-A4B8-4063-8E67-D19A18428D98}"/>
    <cellStyle name="Comma 1099" xfId="17325" xr:uid="{8BC9E096-B070-4C90-9EA4-7D52278CAF0D}"/>
    <cellStyle name="Comma 11" xfId="44" xr:uid="{0D428F78-8BD8-429A-8ED8-FF2DA9600412}"/>
    <cellStyle name="Comma 11 10" xfId="2259" xr:uid="{403A202D-5BD4-477D-A3F6-7E7DDCB8BF10}"/>
    <cellStyle name="Comma 11 11" xfId="2294" xr:uid="{0D654106-2C97-446A-98DF-D202DC3026ED}"/>
    <cellStyle name="Comma 11 12" xfId="2282" xr:uid="{02FB710B-822A-462A-B189-7F068B1C1682}"/>
    <cellStyle name="Comma 11 13" xfId="2318" xr:uid="{18A57FAA-D2B6-4F48-8F6D-E8ECECC0720C}"/>
    <cellStyle name="Comma 11 14" xfId="2359" xr:uid="{E0D3508E-B318-4A7B-9E33-F2071C1BD9AC}"/>
    <cellStyle name="Comma 11 15" xfId="2343" xr:uid="{4C60F2CC-C0AC-49F1-AA3D-36733BC20443}"/>
    <cellStyle name="Comma 11 16" xfId="2394" xr:uid="{59D3779E-1FD0-4BD3-9FC1-6903B80E6308}"/>
    <cellStyle name="Comma 11 17" xfId="2402" xr:uid="{99882FB4-1DC6-4C3C-B22A-C2EE4A2527D2}"/>
    <cellStyle name="Comma 11 18" xfId="2411" xr:uid="{A9643820-952B-4D63-BF23-4165A1D0D01A}"/>
    <cellStyle name="Comma 11 19" xfId="268" xr:uid="{F832CC19-F2C5-4F27-9563-80D77066CB21}"/>
    <cellStyle name="Comma 11 2" xfId="404" xr:uid="{EA3E839F-402C-4BF1-8A2A-3A1B7F8A5FA5}"/>
    <cellStyle name="Comma 11 3" xfId="1814" xr:uid="{1D27531C-D466-4FF4-A73F-69F911CC06BD}"/>
    <cellStyle name="Comma 11 4" xfId="1891" xr:uid="{A875FF5C-CFE8-4A5D-A725-2160686CF3E4}"/>
    <cellStyle name="Comma 11 5" xfId="2195" xr:uid="{C8D7F5AA-D33D-43DE-A300-A456A29DCCE1}"/>
    <cellStyle name="Comma 11 6" xfId="2170" xr:uid="{CBD4CEC0-F84E-4F98-B712-FC1554A63896}"/>
    <cellStyle name="Comma 11 7" xfId="2229" xr:uid="{DBDBFF53-5FAD-44F4-9E48-46D4C3D8C280}"/>
    <cellStyle name="Comma 11 8" xfId="2159" xr:uid="{765BDEC5-BD1A-4CCC-A550-69A3A1242770}"/>
    <cellStyle name="Comma 11 9" xfId="2250" xr:uid="{A8566A6A-7898-43AA-981B-2889387D95C7}"/>
    <cellStyle name="Comma 110" xfId="405" xr:uid="{3F330879-1F29-4EC0-A4B6-9A8436D32734}"/>
    <cellStyle name="Comma 110 2" xfId="1940" xr:uid="{AFDAD047-D0D9-4247-9C57-74874081153E}"/>
    <cellStyle name="Comma 110 3" xfId="2047" xr:uid="{8BD90171-F239-4DEF-B9B3-7AA0AD1B52B6}"/>
    <cellStyle name="Comma 1100" xfId="17326" xr:uid="{0984E070-BAD8-485D-940E-3D406FAFCA03}"/>
    <cellStyle name="Comma 1101" xfId="17327" xr:uid="{8DB7ED5C-7BC3-46A9-A5B3-DA3E0C2F08B9}"/>
    <cellStyle name="Comma 111" xfId="406" xr:uid="{20D81866-9797-49D4-BB91-890AB211F760}"/>
    <cellStyle name="Comma 111 2" xfId="1942" xr:uid="{F576FEED-B9CA-4050-9E46-1BEDE8C0FEE8}"/>
    <cellStyle name="Comma 111 3" xfId="2049" xr:uid="{11890052-593A-452B-B19F-7D0EE3D61B31}"/>
    <cellStyle name="Comma 112" xfId="407" xr:uid="{B364140D-BEC5-423A-B7C7-90CD84B83B87}"/>
    <cellStyle name="Comma 112 2" xfId="1941" xr:uid="{9F88B69D-63CF-4571-A979-E144DC9C2935}"/>
    <cellStyle name="Comma 112 3" xfId="2048" xr:uid="{2A5A8E21-EC86-4B13-B828-B712524C0E38}"/>
    <cellStyle name="Comma 113" xfId="408" xr:uid="{18A66471-0109-40B3-B97C-15B5B8B40F78}"/>
    <cellStyle name="Comma 113 2" xfId="1943" xr:uid="{5C072A49-2BD7-4D5F-82A2-DC86BD65D7F1}"/>
    <cellStyle name="Comma 113 3" xfId="2050" xr:uid="{14869763-368E-4BDC-B43F-E1F507AD6729}"/>
    <cellStyle name="Comma 114" xfId="409" xr:uid="{34560C4F-2B1D-4D35-B8F1-1B0C98AF6A51}"/>
    <cellStyle name="Comma 114 2" xfId="1944" xr:uid="{5B08D4F2-74E2-4F32-A6E1-BAC0C9854FED}"/>
    <cellStyle name="Comma 114 3" xfId="2051" xr:uid="{9C88504A-ECFA-49E3-B049-48232C5C5EBC}"/>
    <cellStyle name="Comma 115" xfId="410" xr:uid="{0FEFFD17-CFBB-4200-9C6D-5648B4608345}"/>
    <cellStyle name="Comma 115 2" xfId="1945" xr:uid="{0B4C4349-5869-4251-AA0F-F2FB68956016}"/>
    <cellStyle name="Comma 115 3" xfId="2052" xr:uid="{67F7A876-6152-4631-83ED-EE7C0C775FEE}"/>
    <cellStyle name="Comma 116" xfId="411" xr:uid="{035072D0-B86B-4750-A5E5-35FAAD9C727E}"/>
    <cellStyle name="Comma 116 2" xfId="1946" xr:uid="{128EF5E7-AE59-404F-9CE8-51B203151833}"/>
    <cellStyle name="Comma 116 3" xfId="2053" xr:uid="{F010B548-516E-4AED-8EA6-8417E04E7074}"/>
    <cellStyle name="Comma 117" xfId="412" xr:uid="{9ED803B2-C99D-4529-B6C9-7DF162AB526B}"/>
    <cellStyle name="Comma 117 2" xfId="1947" xr:uid="{D19C5FE6-704B-451C-BAE9-A317404BF8F6}"/>
    <cellStyle name="Comma 117 3" xfId="2054" xr:uid="{4E4B55FB-54C0-4F5B-8A08-605C1CC9A843}"/>
    <cellStyle name="Comma 118" xfId="413" xr:uid="{643CA5B4-F5DD-4936-897C-7A753CAFC969}"/>
    <cellStyle name="Comma 118 2" xfId="1948" xr:uid="{FF2DC9C2-5AAA-465C-A58F-97E1020F4B5A}"/>
    <cellStyle name="Comma 118 3" xfId="2055" xr:uid="{BA2F5F1C-342E-47A2-BE84-C9C1A7478EA6}"/>
    <cellStyle name="Comma 119" xfId="414" xr:uid="{F6B5CF8A-1DE0-4B8C-A7D3-7B8CE3A6A070}"/>
    <cellStyle name="Comma 119 2" xfId="1949" xr:uid="{55507622-1982-4930-AD61-13103D5C0CDD}"/>
    <cellStyle name="Comma 119 3" xfId="2056" xr:uid="{61C18AD5-9EDC-4A7F-8D0C-9483F4427A8D}"/>
    <cellStyle name="Comma 12" xfId="55" xr:uid="{A957B8D3-89C3-44AD-A9DA-DC7052B41213}"/>
    <cellStyle name="Comma 12 10" xfId="2263" xr:uid="{689EEAA6-2BAB-423C-835E-56DE9C7030FB}"/>
    <cellStyle name="Comma 12 11" xfId="2296" xr:uid="{01798FA1-7267-4E14-8FAF-F4B5D36C5A8F}"/>
    <cellStyle name="Comma 12 12" xfId="2281" xr:uid="{25EE9FD7-ECF3-4AE9-8579-6D6548A393A8}"/>
    <cellStyle name="Comma 12 13" xfId="2319" xr:uid="{3944749E-6B0F-41BF-890A-5A1F6464CD3C}"/>
    <cellStyle name="Comma 12 14" xfId="2361" xr:uid="{D9DE3CAD-4757-4C83-B7B7-E48E24010ABF}"/>
    <cellStyle name="Comma 12 15" xfId="2342" xr:uid="{549E42B8-227F-4C11-BA36-9A4C030CFAD4}"/>
    <cellStyle name="Comma 12 16" xfId="2395" xr:uid="{2F7A1EAA-E0CA-4A63-B7E9-87162DB0EC3F}"/>
    <cellStyle name="Comma 12 17" xfId="2406" xr:uid="{125F0EFD-48FD-4117-8087-0FB9AD417FA2}"/>
    <cellStyle name="Comma 12 18" xfId="2415" xr:uid="{19B83A6B-069A-4D22-99CB-78E7BADDC674}"/>
    <cellStyle name="Comma 12 19" xfId="266" xr:uid="{387453EC-BAAC-40FE-9C9D-45E9919CFE33}"/>
    <cellStyle name="Comma 12 2" xfId="415" xr:uid="{ADBBBC73-4F77-4F86-951B-02D93EFA2C85}"/>
    <cellStyle name="Comma 12 3" xfId="1815" xr:uid="{C13FF303-A9BC-44B8-B682-CB1A90EBA3E6}"/>
    <cellStyle name="Comma 12 4" xfId="1806" xr:uid="{29E1227A-6A1D-41E7-9CBD-00AA24E59667}"/>
    <cellStyle name="Comma 12 5" xfId="2197" xr:uid="{AE52FDFB-16FA-43F0-B7A7-DCBA3243864F}"/>
    <cellStyle name="Comma 12 6" xfId="2169" xr:uid="{FBCF2F32-FC04-4A8B-BE95-7E3ED8A2BE15}"/>
    <cellStyle name="Comma 12 7" xfId="2230" xr:uid="{F9ABC854-DEA0-447F-91DA-7C726D48CE24}"/>
    <cellStyle name="Comma 12 8" xfId="2161" xr:uid="{354D34DC-D165-435E-8A31-1C22D946534A}"/>
    <cellStyle name="Comma 12 9" xfId="2254" xr:uid="{DEF912F0-5513-4686-8A2F-03D1114BA711}"/>
    <cellStyle name="Comma 120" xfId="416" xr:uid="{F06FDC6F-A087-45D9-A417-6178890E3E04}"/>
    <cellStyle name="Comma 120 2" xfId="1950" xr:uid="{98771579-C538-4422-BD18-6B3E29D7B3AC}"/>
    <cellStyle name="Comma 120 3" xfId="2057" xr:uid="{216CF417-E992-4AB1-AC46-AC63AD0FB82C}"/>
    <cellStyle name="Comma 121" xfId="417" xr:uid="{FBD391D1-A396-4992-84A8-E2E29337B77C}"/>
    <cellStyle name="Comma 121 2" xfId="1951" xr:uid="{54926D20-D3BB-435A-BC88-FCAF9EA21D9E}"/>
    <cellStyle name="Comma 121 3" xfId="2058" xr:uid="{51AE1971-9126-443E-AA53-8E19D6C305E5}"/>
    <cellStyle name="Comma 122" xfId="418" xr:uid="{86DE2329-9948-4BF5-A48C-FB9370EFE856}"/>
    <cellStyle name="Comma 122 2" xfId="1952" xr:uid="{BCB5BE24-C14D-499A-A870-275E51961D83}"/>
    <cellStyle name="Comma 122 3" xfId="2059" xr:uid="{2247F3B0-4BB8-423B-93DE-C08B73084CB9}"/>
    <cellStyle name="Comma 123" xfId="419" xr:uid="{D20EA2FF-097C-4F5B-B7A3-289A45E321CD}"/>
    <cellStyle name="Comma 123 2" xfId="1953" xr:uid="{896FC00E-6CB6-41BD-99CE-052D82532EF9}"/>
    <cellStyle name="Comma 123 3" xfId="2060" xr:uid="{2E7CB720-C6C4-49B9-B134-A136E3E935DB}"/>
    <cellStyle name="Comma 124" xfId="420" xr:uid="{CDFFE95F-570F-46D8-8CD1-BE1C9288D87B}"/>
    <cellStyle name="Comma 124 2" xfId="1954" xr:uid="{1C2AEDB3-BA2B-4BED-B7CB-6C396AF49A05}"/>
    <cellStyle name="Comma 124 3" xfId="2061" xr:uid="{BAED0388-9710-42C7-B0DC-973E3D3D9957}"/>
    <cellStyle name="Comma 125" xfId="421" xr:uid="{66F075FE-9319-4B17-B506-A7905475DBB5}"/>
    <cellStyle name="Comma 125 2" xfId="1955" xr:uid="{4D126B0D-B543-495A-AAF9-7A7EA877672E}"/>
    <cellStyle name="Comma 125 3" xfId="2062" xr:uid="{F7DCD767-D214-4F69-99D4-87585CD0CD14}"/>
    <cellStyle name="Comma 126" xfId="422" xr:uid="{EFAAC7A8-4849-4910-ACDF-AC7E922AE52C}"/>
    <cellStyle name="Comma 126 2" xfId="1956" xr:uid="{2AD3F0AC-A8AA-4210-B3B3-F37B75F98DDC}"/>
    <cellStyle name="Comma 126 3" xfId="2063" xr:uid="{1C80A610-D5E9-4B08-9785-38C92EAF2FD8}"/>
    <cellStyle name="Comma 127" xfId="423" xr:uid="{1BC837F0-B95B-4CCC-A41E-F329D035565E}"/>
    <cellStyle name="Comma 127 2" xfId="1957" xr:uid="{F1906A80-B61C-4C5B-BBBB-22487CADBB83}"/>
    <cellStyle name="Comma 127 3" xfId="2064" xr:uid="{9FDB7425-98C8-474B-8DEE-F17C18CEA55B}"/>
    <cellStyle name="Comma 128" xfId="424" xr:uid="{A1C54F59-F02A-4B72-9B5F-12A3DEFC0FB7}"/>
    <cellStyle name="Comma 128 2" xfId="1958" xr:uid="{423BABEC-5775-49AF-AC23-F6BD0D2B41B4}"/>
    <cellStyle name="Comma 128 3" xfId="2065" xr:uid="{A482D6A1-6C26-4905-9335-6E96CD4CF09F}"/>
    <cellStyle name="Comma 129" xfId="425" xr:uid="{072B8995-1764-43EE-ACB2-6925882ABDA8}"/>
    <cellStyle name="Comma 129 2" xfId="1959" xr:uid="{4EE06483-22BE-4249-B10B-EE5B73A01B56}"/>
    <cellStyle name="Comma 129 3" xfId="2066" xr:uid="{87130410-1248-4BF6-A2BB-52A390D3C2F0}"/>
    <cellStyle name="Comma 13" xfId="73" xr:uid="{3B18D914-4070-4F32-8C00-44658376518A}"/>
    <cellStyle name="Comma 13 10" xfId="2270" xr:uid="{E9C0BD65-655F-4C09-96B9-9EABDD30965A}"/>
    <cellStyle name="Comma 13 11" xfId="2299" xr:uid="{EFCB09F7-03A5-461A-997B-5385AD940AC9}"/>
    <cellStyle name="Comma 13 12" xfId="2323" xr:uid="{AE7D9CDF-6796-4037-A815-E736FB3C0412}"/>
    <cellStyle name="Comma 13 13" xfId="2327" xr:uid="{9CE049CC-7FD0-41B5-BD9F-EF842116F31B}"/>
    <cellStyle name="Comma 13 14" xfId="2365" xr:uid="{F15551B5-603E-4955-9248-1C0596909973}"/>
    <cellStyle name="Comma 13 15" xfId="2400" xr:uid="{C63E5CDC-B5D2-4811-A438-E05F053B7B94}"/>
    <cellStyle name="Comma 13 16" xfId="2409" xr:uid="{13180D89-83B7-44F8-BAB9-288745CBFF59}"/>
    <cellStyle name="Comma 13 17" xfId="2418" xr:uid="{C7609E91-6DD6-407E-8350-3FD02D15DAAC}"/>
    <cellStyle name="Comma 13 18" xfId="2422" xr:uid="{18D3DCA4-6C7F-4681-8A98-3370D34FB378}"/>
    <cellStyle name="Comma 13 19" xfId="267" xr:uid="{F4824A36-E2D1-4C70-86C5-88F96ACE2315}"/>
    <cellStyle name="Comma 13 2" xfId="426" xr:uid="{49A11665-2DC4-444A-B4BB-A9ECEC704097}"/>
    <cellStyle name="Comma 13 3" xfId="1816" xr:uid="{F6425FB4-30D4-4318-B577-804E5C37C149}"/>
    <cellStyle name="Comma 13 4" xfId="1887" xr:uid="{38AB2426-23DE-4FB1-B5E4-9DF49B638C55}"/>
    <cellStyle name="Comma 13 5" xfId="2201" xr:uid="{CC15198C-2798-42F7-B88B-AC729BEFE699}"/>
    <cellStyle name="Comma 13 6" xfId="2238" xr:uid="{E5197449-9296-4891-8D5C-079B61F45AC6}"/>
    <cellStyle name="Comma 13 7" xfId="2248" xr:uid="{FAD90D0C-9FBD-49D9-9D51-23DA5023BD20}"/>
    <cellStyle name="Comma 13 8" xfId="2257" xr:uid="{DABE8341-E161-4FB3-AC45-43A5782ED352}"/>
    <cellStyle name="Comma 13 9" xfId="2266" xr:uid="{4A21C15C-A096-49DA-8262-14309BA2F68E}"/>
    <cellStyle name="Comma 130" xfId="427" xr:uid="{6890D3A9-6913-4682-A65D-B29A0AAA1B41}"/>
    <cellStyle name="Comma 130 2" xfId="1960" xr:uid="{25804329-4B40-4E56-AE7D-382611E43146}"/>
    <cellStyle name="Comma 130 3" xfId="2067" xr:uid="{1F23B044-D496-4A89-8819-62BE794906C9}"/>
    <cellStyle name="Comma 131" xfId="428" xr:uid="{F1020192-7057-4A02-81B8-1B41BE3735B6}"/>
    <cellStyle name="Comma 131 2" xfId="1961" xr:uid="{3E76498F-9237-451D-AC14-19E9D96670F8}"/>
    <cellStyle name="Comma 131 3" xfId="2068" xr:uid="{6A6206A1-5ADD-4C55-8988-9D838D843006}"/>
    <cellStyle name="Comma 132" xfId="429" xr:uid="{9D959541-E088-4171-918A-930B0E752353}"/>
    <cellStyle name="Comma 132 2" xfId="1962" xr:uid="{C0500F1B-8588-46EC-8604-A054DCF88C0D}"/>
    <cellStyle name="Comma 132 3" xfId="2069" xr:uid="{CD9039F1-300E-4C0D-AF4C-3561C54C23AB}"/>
    <cellStyle name="Comma 133" xfId="430" xr:uid="{A162A4F6-59AA-4533-91C2-43A293F8069A}"/>
    <cellStyle name="Comma 133 2" xfId="1963" xr:uid="{A55809AF-0179-4466-86A5-E7E65411D151}"/>
    <cellStyle name="Comma 133 3" xfId="2070" xr:uid="{E1255808-BD23-4EAF-9EA1-ADF893FED656}"/>
    <cellStyle name="Comma 134" xfId="431" xr:uid="{43394BE7-A6D2-493C-863D-B4AC23B49F8C}"/>
    <cellStyle name="Comma 134 2" xfId="1965" xr:uid="{21252D12-5186-47B6-836C-6C8AD98400BE}"/>
    <cellStyle name="Comma 134 3" xfId="2071" xr:uid="{46D4BEC0-12F6-4359-9D8D-C8701DD9E16F}"/>
    <cellStyle name="Comma 135" xfId="432" xr:uid="{E88C8328-ABEC-45CA-96C8-A3F4D3B0EB1C}"/>
    <cellStyle name="Comma 135 2" xfId="1966" xr:uid="{86CE95D4-0C5A-40F7-BCDC-760A522F2B45}"/>
    <cellStyle name="Comma 135 3" xfId="2072" xr:uid="{4E7CA7C0-A8AD-452D-BC5B-E84CD77C9D6F}"/>
    <cellStyle name="Comma 136" xfId="433" xr:uid="{45E369A0-073D-4D72-A2EA-7D91F2449D37}"/>
    <cellStyle name="Comma 136 2" xfId="1967" xr:uid="{83A11927-F642-4D34-A031-24F176893343}"/>
    <cellStyle name="Comma 136 3" xfId="2073" xr:uid="{4210E85D-1A6D-4845-B848-A18321C7F047}"/>
    <cellStyle name="Comma 137" xfId="434" xr:uid="{D51E6168-CE76-465C-9D38-18E83FE0D07D}"/>
    <cellStyle name="Comma 137 2" xfId="1968" xr:uid="{03BFBC36-496B-4584-8D98-411E80858A92}"/>
    <cellStyle name="Comma 137 3" xfId="2074" xr:uid="{47AE3932-6477-43B9-83A4-7D3C127EAA67}"/>
    <cellStyle name="Comma 138" xfId="435" xr:uid="{E6FB2A5B-C197-4FC5-8391-C666685C7B19}"/>
    <cellStyle name="Comma 138 2" xfId="1970" xr:uid="{D43E9AD8-7CFF-4D6D-B459-87A36DC3D401}"/>
    <cellStyle name="Comma 138 3" xfId="2075" xr:uid="{23402195-D6AD-4191-9104-03E0E55065ED}"/>
    <cellStyle name="Comma 139" xfId="436" xr:uid="{36DBB449-6082-4905-BFD7-D592182444D5}"/>
    <cellStyle name="Comma 139 2" xfId="1971" xr:uid="{9AD557F0-645E-443B-924A-6A5DFD3179D9}"/>
    <cellStyle name="Comma 139 3" xfId="2076" xr:uid="{A26E6016-825A-4497-9185-F5EA88A92D81}"/>
    <cellStyle name="Comma 14" xfId="90" xr:uid="{D36B8F0D-22B5-4373-872C-A1C1B0C94571}"/>
    <cellStyle name="Comma 14 10" xfId="2234" xr:uid="{E3B3AC71-9B73-4708-8790-7DEE824E185D}"/>
    <cellStyle name="Comma 14 11" xfId="2305" xr:uid="{20CE8359-DE84-401D-86B3-6A9D76ADC33F}"/>
    <cellStyle name="Comma 14 12" xfId="2321" xr:uid="{78D04863-04D5-4C7F-8DB6-2F5464D7CA7F}"/>
    <cellStyle name="Comma 14 13" xfId="2276" xr:uid="{7573451C-7144-41CB-A2A4-B79D09AFB4BE}"/>
    <cellStyle name="Comma 14 14" xfId="2373" xr:uid="{65985D47-F1FF-4BFB-8456-278791A6A1E2}"/>
    <cellStyle name="Comma 14 15" xfId="2398" xr:uid="{6CF0708C-6031-4B88-9B0C-88CE7FCAF2F7}"/>
    <cellStyle name="Comma 14 16" xfId="2333" xr:uid="{45C6E62D-420C-48F1-8821-0842A135BF2E}"/>
    <cellStyle name="Comma 14 17" xfId="2387" xr:uid="{2E3E72EB-24CF-43AB-9152-2B9ECF4F1D5A}"/>
    <cellStyle name="Comma 14 18" xfId="2371" xr:uid="{40ACED4F-5A65-45E5-8F75-3672D67AF3F6}"/>
    <cellStyle name="Comma 14 19" xfId="269" xr:uid="{75DAF4E4-6E15-4BD2-B0E9-BA2993FE7542}"/>
    <cellStyle name="Comma 14 2" xfId="437" xr:uid="{EAA95CAC-A417-44A3-9235-8CEDC7D60FAA}"/>
    <cellStyle name="Comma 14 3" xfId="1818" xr:uid="{87AD431E-080C-4E8B-84C7-F32460BA34BD}"/>
    <cellStyle name="Comma 14 4" xfId="1885" xr:uid="{6989FA37-0D47-4B5C-B34C-3D2308651ED2}"/>
    <cellStyle name="Comma 14 5" xfId="2209" xr:uid="{DB0816CC-7A8D-4D4E-B912-0C3787BA6C94}"/>
    <cellStyle name="Comma 14 6" xfId="2188" xr:uid="{7458D393-6EDA-41D8-BCD7-8082762D4BED}"/>
    <cellStyle name="Comma 14 7" xfId="2246" xr:uid="{689E10A6-0D62-42D4-B082-9E6552429C70}"/>
    <cellStyle name="Comma 14 8" xfId="2221" xr:uid="{3E90F310-FD19-4161-AC73-0B0609572B26}"/>
    <cellStyle name="Comma 14 9" xfId="2167" xr:uid="{9E825FAB-AABF-4E7D-AD91-46F4697B3517}"/>
    <cellStyle name="Comma 140" xfId="438" xr:uid="{2B210611-5815-49B6-8441-E939332400D6}"/>
    <cellStyle name="Comma 140 2" xfId="1973" xr:uid="{5D717F0C-C50C-45A6-9ADE-F3D1C9D72778}"/>
    <cellStyle name="Comma 140 3" xfId="2077" xr:uid="{8DAC9F55-6499-4B5B-81D2-4B87EBD79E7B}"/>
    <cellStyle name="Comma 141" xfId="439" xr:uid="{AE2B0649-7472-4644-B353-B7E34E1BE10F}"/>
    <cellStyle name="Comma 141 2" xfId="1974" xr:uid="{7E8467CD-5036-49A5-A89D-E49B91ABF57F}"/>
    <cellStyle name="Comma 141 3" xfId="2078" xr:uid="{438060B4-BBDB-4C63-BD1B-3E59AA779C2C}"/>
    <cellStyle name="Comma 142" xfId="440" xr:uid="{E6AAD0BD-45A5-48F3-BDB5-52F517252137}"/>
    <cellStyle name="Comma 142 2" xfId="1975" xr:uid="{2691E606-A21E-4BB7-B091-9D0FFD470975}"/>
    <cellStyle name="Comma 142 3" xfId="2079" xr:uid="{F544F66B-97E9-4E39-8B02-937B98D960E5}"/>
    <cellStyle name="Comma 143" xfId="441" xr:uid="{3203B3FE-40C9-4E6E-BA76-798C073F7FD2}"/>
    <cellStyle name="Comma 143 2" xfId="1976" xr:uid="{FB8FE699-3A7F-4F7A-9D4F-75D70A3DAE70}"/>
    <cellStyle name="Comma 143 3" xfId="2080" xr:uid="{350CBC8D-8F3B-4317-932D-CED8972F11EF}"/>
    <cellStyle name="Comma 144" xfId="442" xr:uid="{292A3B5B-7466-42CE-AB3A-FA281D24FA2D}"/>
    <cellStyle name="Comma 144 2" xfId="1978" xr:uid="{81F4D570-84A6-4D2B-84BB-6F962998BFA8}"/>
    <cellStyle name="Comma 144 3" xfId="2081" xr:uid="{1918CB63-9DC1-4B10-9997-CF65BC30D9EF}"/>
    <cellStyle name="Comma 145" xfId="443" xr:uid="{3FD33E79-C83B-4663-AC87-B6A07039EC74}"/>
    <cellStyle name="Comma 145 2" xfId="1980" xr:uid="{B1B2E1C5-C6F0-41F4-B652-8691A536B2B9}"/>
    <cellStyle name="Comma 145 3" xfId="2082" xr:uid="{75EF0B52-19D5-40DE-B11F-9A4189B28A93}"/>
    <cellStyle name="Comma 146" xfId="444" xr:uid="{DE68F357-7C54-4515-90A4-F86ECFC08326}"/>
    <cellStyle name="Comma 146 2" xfId="1982" xr:uid="{5DD30247-414F-4FF8-B7A1-7A4B5EEC3545}"/>
    <cellStyle name="Comma 146 3" xfId="2083" xr:uid="{616F5C84-A074-4A45-A82B-677AEB2459FB}"/>
    <cellStyle name="Comma 147" xfId="445" xr:uid="{8EB29895-AD9B-48F4-9783-BB6E869554C8}"/>
    <cellStyle name="Comma 147 2" xfId="1984" xr:uid="{154F474F-2F1A-43CB-B548-8C836A94C6B0}"/>
    <cellStyle name="Comma 147 3" xfId="2084" xr:uid="{3787E201-EDAB-4586-ACA6-B4A61D6518F0}"/>
    <cellStyle name="Comma 148" xfId="446" xr:uid="{A0AF0260-9AE6-4F6F-B248-F7FECA0540B6}"/>
    <cellStyle name="Comma 148 2" xfId="1986" xr:uid="{D254CC9F-871C-4686-B33D-E6B2EDE6E15C}"/>
    <cellStyle name="Comma 148 3" xfId="2085" xr:uid="{4D243738-E0B7-4804-B767-825EFE746082}"/>
    <cellStyle name="Comma 149" xfId="447" xr:uid="{7E86ECCB-557A-4771-A968-17099B976B51}"/>
    <cellStyle name="Comma 149 2" xfId="1988" xr:uid="{EB754AA7-277B-4581-B2A6-C7CC1921D4CF}"/>
    <cellStyle name="Comma 149 3" xfId="2086" xr:uid="{65366554-D414-4141-83E6-CC9C540A248B}"/>
    <cellStyle name="Comma 15" xfId="47" xr:uid="{F69D4A18-8C3B-4392-BDC7-61F93F6C69B4}"/>
    <cellStyle name="Comma 15 10" xfId="2271" xr:uid="{2E8E5B57-7C24-43D6-855B-FBCDE70AC59F}"/>
    <cellStyle name="Comma 15 11" xfId="2301" xr:uid="{6EF5C06D-3B3A-4394-AD43-D4626370DF5F}"/>
    <cellStyle name="Comma 15 12" xfId="2324" xr:uid="{003A3A24-5DB8-4AF8-B48A-E0CF7ADF4C3D}"/>
    <cellStyle name="Comma 15 13" xfId="2328" xr:uid="{D53D8FDF-2746-4DEC-B578-5E625D2EC82C}"/>
    <cellStyle name="Comma 15 14" xfId="2367" xr:uid="{99A731AF-CAD2-40E3-94F7-BB0272C781AA}"/>
    <cellStyle name="Comma 15 15" xfId="2405" xr:uid="{F5E58FAE-3AD4-40B7-BC02-01CA2A1998D2}"/>
    <cellStyle name="Comma 15 16" xfId="2414" xr:uid="{7619560E-E5DA-49BF-88A4-B575B7268C8F}"/>
    <cellStyle name="Comma 15 17" xfId="2419" xr:uid="{48E7E409-545F-496A-BD82-94C31BEE91AF}"/>
    <cellStyle name="Comma 15 18" xfId="2423" xr:uid="{96565AF0-118B-4DA5-B514-4682ED279C75}"/>
    <cellStyle name="Comma 15 19" xfId="270" xr:uid="{48426C78-3AC2-424F-BBAB-ADA76293347C}"/>
    <cellStyle name="Comma 15 2" xfId="448" xr:uid="{79C549E5-C73A-4F75-A7A8-CD5EB11E7B0C}"/>
    <cellStyle name="Comma 15 3" xfId="1819" xr:uid="{DEBE1DDF-0778-45E8-80FB-FD054FB2FFB7}"/>
    <cellStyle name="Comma 15 4" xfId="1882" xr:uid="{D66AEF89-0D52-4096-8EE5-025A16C6C005}"/>
    <cellStyle name="Comma 15 5" xfId="2203" xr:uid="{C3184329-738B-4E2E-A58F-0ED8EFDC1343}"/>
    <cellStyle name="Comma 15 6" xfId="2236" xr:uid="{54511DC3-D641-4632-8D39-9F8D7F5F12B5}"/>
    <cellStyle name="Comma 15 7" xfId="2253" xr:uid="{6F6E1A65-AFD4-4DD5-9347-67A65B7B6CFA}"/>
    <cellStyle name="Comma 15 8" xfId="2262" xr:uid="{EFC1BC3D-DF74-4DA4-9CA5-F786EC327B91}"/>
    <cellStyle name="Comma 15 9" xfId="2267" xr:uid="{8ED16643-5D38-48B6-BFFC-6711939354DD}"/>
    <cellStyle name="Comma 150" xfId="449" xr:uid="{5181FD64-F34C-4D26-9BC1-D032854140A0}"/>
    <cellStyle name="Comma 151" xfId="450" xr:uid="{203CC251-3252-4A69-AFB5-241B32F5378E}"/>
    <cellStyle name="Comma 152" xfId="451" xr:uid="{0685E741-F573-4963-8BEB-1DACDD6A2B42}"/>
    <cellStyle name="Comma 153" xfId="452" xr:uid="{89186F46-3732-412B-BAA3-994C1C27B39C}"/>
    <cellStyle name="Comma 154" xfId="453" xr:uid="{5EBBBBE8-8B94-42E3-ADA6-28F3ACB7E54D}"/>
    <cellStyle name="Comma 155" xfId="454" xr:uid="{C501454D-4F81-48CD-8435-54DFE91F4578}"/>
    <cellStyle name="Comma 156" xfId="455" xr:uid="{0F48D648-7315-452D-89E1-AAC2F4248C30}"/>
    <cellStyle name="Comma 157" xfId="456" xr:uid="{2CD65091-C949-43E5-8B11-5AF3ED07E825}"/>
    <cellStyle name="Comma 158" xfId="457" xr:uid="{338E4338-A6A2-4B30-86E2-63958166C464}"/>
    <cellStyle name="Comma 159" xfId="458" xr:uid="{5A2C5B98-2391-4A77-B80C-FF0E081AA1BA}"/>
    <cellStyle name="Comma 16" xfId="114" xr:uid="{D310B22D-66C4-4F36-A94E-344454845AE2}"/>
    <cellStyle name="Comma 16 10" xfId="2172" xr:uid="{7AE64070-E3FA-41F9-B6A7-DE54FA3C67C8}"/>
    <cellStyle name="Comma 16 11" xfId="2309" xr:uid="{9A3F3893-126F-4F3D-8787-540B149B9EDE}"/>
    <cellStyle name="Comma 16 12" xfId="2315" xr:uid="{09EF4A5D-D665-4269-9EA8-D54ACE143DFE}"/>
    <cellStyle name="Comma 16 13" xfId="2285" xr:uid="{0C0CE68C-4731-45D3-ABBF-FE0D9F417DEA}"/>
    <cellStyle name="Comma 16 14" xfId="2382" xr:uid="{791076D4-D3CF-41FB-8B51-44C540161B48}"/>
    <cellStyle name="Comma 16 15" xfId="2391" xr:uid="{71BE9AB0-5804-4CDB-8DDD-421AF4FD0A62}"/>
    <cellStyle name="Comma 16 16" xfId="2346" xr:uid="{BAA7ED06-6C50-416A-852E-BB0D33D9EF65}"/>
    <cellStyle name="Comma 16 17" xfId="2383" xr:uid="{D402A40F-227F-4A33-B450-565318FAC728}"/>
    <cellStyle name="Comma 16 18" xfId="2390" xr:uid="{E18510F5-0CF5-4D74-A54D-B6BBD89E4861}"/>
    <cellStyle name="Comma 16 19" xfId="271" xr:uid="{F20C6D14-A4DA-4C93-B59A-28B9797CB33B}"/>
    <cellStyle name="Comma 16 2" xfId="459" xr:uid="{7B80B57C-765A-44B2-B5B2-8864A7964BF0}"/>
    <cellStyle name="Comma 16 3" xfId="1821" xr:uid="{F1B62EFA-1DB3-45CE-A030-F89033A25435}"/>
    <cellStyle name="Comma 16 4" xfId="1879" xr:uid="{9F93D7D8-4C70-4CBA-9E7B-35BDA7110E03}"/>
    <cellStyle name="Comma 16 5" xfId="2215" xr:uid="{49534B0A-35E2-40BB-A2F9-144A6EA573B6}"/>
    <cellStyle name="Comma 16 6" xfId="2223" xr:uid="{8EE0D026-CA78-4B18-A243-589C05F8F6E4}"/>
    <cellStyle name="Comma 16 7" xfId="2189" xr:uid="{DD06A00A-7A29-4C37-8E60-901B9C8304D4}"/>
    <cellStyle name="Comma 16 8" xfId="2216" xr:uid="{80913660-0F1B-441A-8BF0-13B2C1E2D4B5}"/>
    <cellStyle name="Comma 16 9" xfId="2187" xr:uid="{241ACE58-86CD-4AAC-98FC-A65D0A418A9D}"/>
    <cellStyle name="Comma 160" xfId="460" xr:uid="{3D412C67-4DBE-46E5-9199-C024561FD4B1}"/>
    <cellStyle name="Comma 161" xfId="461" xr:uid="{E9768ECA-F0E5-43DB-8108-7F27CAB70C6E}"/>
    <cellStyle name="Comma 162" xfId="462" xr:uid="{9167D935-16B9-4C19-91C5-B7E2AC11F7D5}"/>
    <cellStyle name="Comma 163" xfId="463" xr:uid="{44951068-7215-4E65-827D-0CB1ADD0A1CF}"/>
    <cellStyle name="Comma 164" xfId="464" xr:uid="{8C85CDD3-1DBD-4624-9493-532F96D6181D}"/>
    <cellStyle name="Comma 165" xfId="1765" xr:uid="{1A1FEA56-A426-450C-B5D4-14996D29B8AD}"/>
    <cellStyle name="Comma 166" xfId="1766" xr:uid="{5DDD2D01-CBDE-43BF-A9BD-56038D20597D}"/>
    <cellStyle name="Comma 167" xfId="465" xr:uid="{7C66B4EC-04C6-45BA-BECD-A2BC419B905D}"/>
    <cellStyle name="Comma 168" xfId="466" xr:uid="{D90CB07E-428C-4DBE-A059-49BAF5A35C6C}"/>
    <cellStyle name="Comma 169" xfId="467" xr:uid="{5B8C7857-B72F-43A1-A300-4D5D8BD80B52}"/>
    <cellStyle name="Comma 17" xfId="99" xr:uid="{6069E601-B039-4AC7-8B0B-123428865AAD}"/>
    <cellStyle name="Comma 17 10" xfId="2297" xr:uid="{8507FE31-1890-41C7-89CD-0D23FB34C4C1}"/>
    <cellStyle name="Comma 17 11" xfId="2378" xr:uid="{1582B35A-8068-4EC2-9E9A-E1DB55C18F54}"/>
    <cellStyle name="Comma 17 12" xfId="2339" xr:uid="{21742E6B-2355-4AA4-AD6F-D27B9C9A611D}"/>
    <cellStyle name="Comma 17 13" xfId="2363" xr:uid="{4DA54DF1-8D21-4D1B-BDDC-419940664C89}"/>
    <cellStyle name="Comma 17 14" xfId="2403" xr:uid="{6F1A9F8C-EAA5-44DE-952E-579087B3C2D9}"/>
    <cellStyle name="Comma 17 15" xfId="2412" xr:uid="{A96BF571-479B-4EAC-8262-03FBF110F8BA}"/>
    <cellStyle name="Comma 17 16" xfId="468" xr:uid="{02DEF235-B3FD-4AFA-ABE3-6BD3CC92484A}"/>
    <cellStyle name="Comma 17 2" xfId="2214" xr:uid="{8CC85190-2174-459A-9CC1-9343B40B86EF}"/>
    <cellStyle name="Comma 17 3" xfId="2212" xr:uid="{7483EF8F-1308-43BC-A193-5AFEBF613A3A}"/>
    <cellStyle name="Comma 17 4" xfId="2199" xr:uid="{9834B8E6-4570-482B-906F-95248D38133A}"/>
    <cellStyle name="Comma 17 5" xfId="2164" xr:uid="{10E43E99-EC8E-4875-AB3E-8C2B65F3DE89}"/>
    <cellStyle name="Comma 17 6" xfId="2251" xr:uid="{E8306BB4-C348-4F88-AF4D-00CC218F5799}"/>
    <cellStyle name="Comma 17 7" xfId="2260" xr:uid="{B0435643-9B71-4C66-8DD8-4C5957E78B5B}"/>
    <cellStyle name="Comma 17 8" xfId="2307" xr:uid="{B5B63836-6754-4515-86A1-406C466AD123}"/>
    <cellStyle name="Comma 17 9" xfId="2280" xr:uid="{0BC3E646-CA31-48C4-AFC4-CCCE2B9518C6}"/>
    <cellStyle name="Comma 170" xfId="469" xr:uid="{62D8BD56-B299-4D15-914B-8344D6957092}"/>
    <cellStyle name="Comma 171" xfId="470" xr:uid="{C31FA86E-B1D2-4290-BA39-ADEBCF293327}"/>
    <cellStyle name="Comma 172" xfId="471" xr:uid="{EDDBD992-623C-4197-8255-AF0D7DC6885E}"/>
    <cellStyle name="Comma 173" xfId="472" xr:uid="{F09C588C-5E54-4504-922B-FC4395D47959}"/>
    <cellStyle name="Comma 174" xfId="473" xr:uid="{88D459A3-D54D-42A2-AE97-42390DDB4BE6}"/>
    <cellStyle name="Comma 175" xfId="474" xr:uid="{309FE3DA-88D4-4AD4-8407-7846E2966B86}"/>
    <cellStyle name="Comma 176" xfId="475" xr:uid="{8885CE3C-94F0-46F7-967C-9F5845427619}"/>
    <cellStyle name="Comma 177" xfId="476" xr:uid="{9DA7E39C-DFDC-4C3E-A8FE-50D9616640E3}"/>
    <cellStyle name="Comma 178" xfId="477" xr:uid="{83524FF4-660A-487A-89C1-FBC786DAF10F}"/>
    <cellStyle name="Comma 179" xfId="478" xr:uid="{9299C008-6A57-4B32-B4EA-7C9B9BF6A942}"/>
    <cellStyle name="Comma 18" xfId="174" xr:uid="{2B5E047E-76A0-4051-8B0E-A765BB288B26}"/>
    <cellStyle name="Comma 180" xfId="2427" xr:uid="{7FDA5700-CD40-4641-A45D-2FC9E3ACB770}"/>
    <cellStyle name="Comma 181" xfId="2428" xr:uid="{25A0FF26-740D-457E-B337-159CB6B420BF}"/>
    <cellStyle name="Comma 182" xfId="2429" xr:uid="{80C99B33-0A42-4FFE-A6CF-2ACC2E3B6B50}"/>
    <cellStyle name="Comma 183" xfId="2430" xr:uid="{4ADBE930-80DF-45DB-A5F7-847287C876B0}"/>
    <cellStyle name="Comma 184" xfId="2431" xr:uid="{9A796598-5460-46FB-A42A-543D1B427EAE}"/>
    <cellStyle name="Comma 185" xfId="2432" xr:uid="{0969623B-26E9-42AE-94E1-A760D1CC473F}"/>
    <cellStyle name="Comma 186" xfId="2433" xr:uid="{E4AF2AC2-30C9-462A-A4AA-8C6461DB19A9}"/>
    <cellStyle name="Comma 187" xfId="2434" xr:uid="{363E61F6-7C74-42FF-8216-E121CDD425F9}"/>
    <cellStyle name="Comma 188" xfId="2435" xr:uid="{27B45603-85B6-475B-90F4-0344EA0E92C0}"/>
    <cellStyle name="Comma 189" xfId="2436" xr:uid="{46D97D10-B9F2-4C3C-B5B8-3055FC022F39}"/>
    <cellStyle name="Comma 19" xfId="479" xr:uid="{E99A4F62-5699-419C-BEDE-B494FF8A1CF6}"/>
    <cellStyle name="Comma 190" xfId="2437" xr:uid="{7DC20E99-6837-40FF-AAF5-71E983126EB7}"/>
    <cellStyle name="Comma 191" xfId="2438" xr:uid="{8AB2504F-32BC-4CF0-84D2-7594CFBEAF82}"/>
    <cellStyle name="Comma 192" xfId="2439" xr:uid="{8A909F78-4960-4A47-89D9-ED720ADD4A54}"/>
    <cellStyle name="Comma 193" xfId="2440" xr:uid="{A3E377E7-C349-474E-A970-FEEA040586D1}"/>
    <cellStyle name="Comma 194" xfId="2090" xr:uid="{0B483508-631F-4B3F-911B-83CB7232F2D4}"/>
    <cellStyle name="Comma 195" xfId="2089" xr:uid="{0DE2F7FF-4CA7-4EEF-AF37-9EF22840A365}"/>
    <cellStyle name="Comma 196" xfId="2441" xr:uid="{B71E3FAF-E347-4083-B9F1-5E6989B0D0C2}"/>
    <cellStyle name="Comma 197" xfId="2442" xr:uid="{C69334C9-24B0-4CC0-B6AF-6771DD2FAFEC}"/>
    <cellStyle name="Comma 198" xfId="2443" xr:uid="{29F3AB11-6B1A-4971-B42D-8505B872D878}"/>
    <cellStyle name="Comma 199" xfId="2444" xr:uid="{C2569450-2B87-4850-817D-A8976D157E8D}"/>
    <cellStyle name="Comma 2" xfId="170" xr:uid="{2FEFDA91-FC5A-4263-B2FB-6D644D6594E5}"/>
    <cellStyle name="Comma 2 10" xfId="480" xr:uid="{CC58D2B1-05B4-4604-9B50-95E90C4D2C0B}"/>
    <cellStyle name="Comma 2 11" xfId="481" xr:uid="{F17AF6B0-E128-429B-951C-1A936C32475E}"/>
    <cellStyle name="Comma 2 12" xfId="482" xr:uid="{DAE021ED-D7F3-4820-B58C-B28E9F200C65}"/>
    <cellStyle name="Comma 2 13" xfId="483" xr:uid="{BBBA8D95-18DB-4BA4-B1E6-BCE4544AFCAA}"/>
    <cellStyle name="Comma 2 14" xfId="484" xr:uid="{7DE02913-871C-41AA-B061-C98B957E4DD7}"/>
    <cellStyle name="Comma 2 15" xfId="485" xr:uid="{06373A60-6F56-4B0A-B2E3-475A64AE0639}"/>
    <cellStyle name="Comma 2 16" xfId="486" xr:uid="{1BFF30A6-6E16-4C70-A473-DCC4DDC3649B}"/>
    <cellStyle name="Comma 2 17" xfId="487" xr:uid="{3ECDAE9C-66A9-4BB7-997C-6A5447D01DE9}"/>
    <cellStyle name="Comma 2 18" xfId="488" xr:uid="{C0A57073-9F11-44D7-9CEF-F26A571F86BF}"/>
    <cellStyle name="Comma 2 19" xfId="489" xr:uid="{E0C75005-98BD-4826-93DD-B68E1923FE87}"/>
    <cellStyle name="Comma 2 2" xfId="169" xr:uid="{99BF637E-3F93-4BFE-956E-F60BC4D50884}"/>
    <cellStyle name="Comma 2 2 10" xfId="491" xr:uid="{030F54E0-FA78-4CCC-9DEB-D9E75B060253}"/>
    <cellStyle name="Comma 2 2 11" xfId="492" xr:uid="{24326570-FA2E-47C7-93FA-9067FE500CB0}"/>
    <cellStyle name="Comma 2 2 11 2" xfId="17330" xr:uid="{DE38F829-1454-44F5-8D0D-10880739A33D}"/>
    <cellStyle name="Comma 2 2 12" xfId="493" xr:uid="{81A91C4E-6B8F-49A4-A40B-32B314046536}"/>
    <cellStyle name="Comma 2 2 13" xfId="494" xr:uid="{2E04F501-EB7D-4768-90FD-9194159D4820}"/>
    <cellStyle name="Comma 2 2 14" xfId="495" xr:uid="{306796A7-13B0-43F7-96C7-D9C9C8F556C4}"/>
    <cellStyle name="Comma 2 2 15" xfId="496" xr:uid="{75576D87-70CD-4B39-9A35-83F343332876}"/>
    <cellStyle name="Comma 2 2 16" xfId="497" xr:uid="{86BBC9AC-50D5-400B-A573-8C283202F6ED}"/>
    <cellStyle name="Comma 2 2 17" xfId="498" xr:uid="{853AB572-F784-496D-A6D2-BF312AE4B9F2}"/>
    <cellStyle name="Comma 2 2 18" xfId="499" xr:uid="{289E3964-0F36-4C13-ACBA-F6F34224127D}"/>
    <cellStyle name="Comma 2 2 19" xfId="500" xr:uid="{C3106235-66AF-4FD7-B21D-F3621CA2B438}"/>
    <cellStyle name="Comma 2 2 2" xfId="200" xr:uid="{FEDD0596-66AF-4C0D-BEB9-4C718FC45311}"/>
    <cellStyle name="Comma 2 2 2 10" xfId="502" xr:uid="{33978B03-CF3C-40C5-BE16-E13E4DFA84B8}"/>
    <cellStyle name="Comma 2 2 2 11" xfId="503" xr:uid="{1FD75BE7-0BEA-468B-AFE4-AFEAD6EA200B}"/>
    <cellStyle name="Comma 2 2 2 12" xfId="504" xr:uid="{ABC94797-BFA5-486A-96BC-498194183249}"/>
    <cellStyle name="Comma 2 2 2 13" xfId="505" xr:uid="{EB7B1DC9-50A3-47AB-8578-1848D2DD7415}"/>
    <cellStyle name="Comma 2 2 2 14" xfId="506" xr:uid="{D3436336-7388-4C47-9DB0-18340E6EAD65}"/>
    <cellStyle name="Comma 2 2 2 15" xfId="507" xr:uid="{A02FBD94-FDDD-48B4-B848-84FCBC76397C}"/>
    <cellStyle name="Comma 2 2 2 16" xfId="508" xr:uid="{24F625E3-0420-42D3-93CC-06459A513567}"/>
    <cellStyle name="Comma 2 2 2 17" xfId="509" xr:uid="{7E4FB945-2AA6-457E-9A96-C42503BA164F}"/>
    <cellStyle name="Comma 2 2 2 18" xfId="510" xr:uid="{801F156E-120E-4EF4-A586-2A551B7EF979}"/>
    <cellStyle name="Comma 2 2 2 19" xfId="511" xr:uid="{2E29F8CA-64E7-4152-ADEA-22AF9FF9E3B2}"/>
    <cellStyle name="Comma 2 2 2 2" xfId="501" xr:uid="{C9C1CC2C-7D17-4485-83BE-50B8946AC864}"/>
    <cellStyle name="Comma 2 2 2 2 10" xfId="513" xr:uid="{B5083583-5AA0-4BEB-8AE2-CDA00CD35EAC}"/>
    <cellStyle name="Comma 2 2 2 2 11" xfId="514" xr:uid="{AA71CD6B-B08D-46DB-868F-890A5E5F3791}"/>
    <cellStyle name="Comma 2 2 2 2 12" xfId="515" xr:uid="{3269F3FF-C20E-4C81-B15F-EDF658B0B737}"/>
    <cellStyle name="Comma 2 2 2 2 13" xfId="516" xr:uid="{8D64602D-8EB7-4F1B-A1F4-19B8F9940959}"/>
    <cellStyle name="Comma 2 2 2 2 14" xfId="517" xr:uid="{912937F6-8005-4D70-92B0-9F524B893BF8}"/>
    <cellStyle name="Comma 2 2 2 2 15" xfId="518" xr:uid="{AE8E9D60-04DE-4346-B96E-85CBB288838D}"/>
    <cellStyle name="Comma 2 2 2 2 16" xfId="519" xr:uid="{0A0F1984-7182-4AF4-9EE0-B14071152413}"/>
    <cellStyle name="Comma 2 2 2 2 17" xfId="520" xr:uid="{5FABBC4B-92E4-415D-8C60-2E99A898F7EB}"/>
    <cellStyle name="Comma 2 2 2 2 18" xfId="521" xr:uid="{E5B89AC2-21CC-4245-84B5-13396881DE59}"/>
    <cellStyle name="Comma 2 2 2 2 19" xfId="522" xr:uid="{1AE24E28-5DB7-4026-A848-41C04FDDE898}"/>
    <cellStyle name="Comma 2 2 2 2 2" xfId="512" xr:uid="{94150F47-A5BB-4310-8A7D-16310A3486A0}"/>
    <cellStyle name="Comma 2 2 2 2 2 10" xfId="524" xr:uid="{8A139196-A858-40C0-925B-5317A555293C}"/>
    <cellStyle name="Comma 2 2 2 2 2 11" xfId="525" xr:uid="{19A19944-ECA4-4D60-8A0D-CC86F045FB7C}"/>
    <cellStyle name="Comma 2 2 2 2 2 12" xfId="526" xr:uid="{716001FC-C09A-49EC-8E77-E4B6F127206C}"/>
    <cellStyle name="Comma 2 2 2 2 2 13" xfId="527" xr:uid="{79EC1F15-116E-48EC-A2FB-BA393172EAEA}"/>
    <cellStyle name="Comma 2 2 2 2 2 14" xfId="528" xr:uid="{9751BF5D-474E-474A-9EF1-8DD169BCCBD7}"/>
    <cellStyle name="Comma 2 2 2 2 2 15" xfId="529" xr:uid="{C964EB2D-A2F7-4AEA-99D9-969998FBAFAE}"/>
    <cellStyle name="Comma 2 2 2 2 2 16" xfId="530" xr:uid="{47710F3C-620E-44DD-A664-5C37B4F83159}"/>
    <cellStyle name="Comma 2 2 2 2 2 17" xfId="531" xr:uid="{B720418A-FC23-4E80-BDCD-C066C1D83B1F}"/>
    <cellStyle name="Comma 2 2 2 2 2 18" xfId="532" xr:uid="{6CF3A615-ACF1-41AF-BC77-2BF0425D6919}"/>
    <cellStyle name="Comma 2 2 2 2 2 19" xfId="533" xr:uid="{03D64530-2885-44BA-8CEE-509527715038}"/>
    <cellStyle name="Comma 2 2 2 2 2 2" xfId="523" xr:uid="{ADBDCA93-919A-4BCC-BCFF-055CED7CE030}"/>
    <cellStyle name="Comma 2 2 2 2 2 2 10" xfId="535" xr:uid="{E9F8FADC-5EB2-4C50-8E80-041F531529D1}"/>
    <cellStyle name="Comma 2 2 2 2 2 2 11" xfId="536" xr:uid="{27506DA6-F6A2-40EC-84E0-645B7024F21A}"/>
    <cellStyle name="Comma 2 2 2 2 2 2 12" xfId="537" xr:uid="{D22CC708-A047-4FA6-8134-D13B2DE5ADE3}"/>
    <cellStyle name="Comma 2 2 2 2 2 2 13" xfId="538" xr:uid="{E14C0518-6D27-498C-8E2E-CF0385C57A6C}"/>
    <cellStyle name="Comma 2 2 2 2 2 2 14" xfId="539" xr:uid="{19948662-2B67-45E5-8C00-3AE3FF454306}"/>
    <cellStyle name="Comma 2 2 2 2 2 2 14 2" xfId="540" xr:uid="{6D0AE59E-288F-46E1-A66E-39DF6ABF1CE5}"/>
    <cellStyle name="Comma 2 2 2 2 2 2 14 3" xfId="541" xr:uid="{8A2D4FD2-568E-4707-9B4E-769502EFF84A}"/>
    <cellStyle name="Comma 2 2 2 2 2 2 15" xfId="542" xr:uid="{0BB56B8C-0398-43D0-89D0-71E2FFDA40F3}"/>
    <cellStyle name="Comma 2 2 2 2 2 2 16" xfId="543" xr:uid="{314D0693-1D9F-419D-8488-5FA8A74F921B}"/>
    <cellStyle name="Comma 2 2 2 2 2 2 17" xfId="544" xr:uid="{AAC9B9E3-E174-4C2A-AE93-9298AC828DAA}"/>
    <cellStyle name="Comma 2 2 2 2 2 2 18" xfId="545" xr:uid="{4C116559-21FF-481B-9DC9-4B3655CFD360}"/>
    <cellStyle name="Comma 2 2 2 2 2 2 19" xfId="546" xr:uid="{2886ED9E-07EE-46F6-B0E2-16C35669F322}"/>
    <cellStyle name="Comma 2 2 2 2 2 2 2" xfId="534" xr:uid="{54C45C16-80EC-41B1-B588-366249914EA9}"/>
    <cellStyle name="Comma 2 2 2 2 2 2 2 10" xfId="548" xr:uid="{04144F57-ED21-4AD2-884A-9725569343DA}"/>
    <cellStyle name="Comma 2 2 2 2 2 2 2 11" xfId="549" xr:uid="{6E3C93D7-D28E-4738-A95A-3CC8C4D44B27}"/>
    <cellStyle name="Comma 2 2 2 2 2 2 2 12" xfId="550" xr:uid="{5CEF903C-0ABA-4801-87D3-A4BFC3A90131}"/>
    <cellStyle name="Comma 2 2 2 2 2 2 2 13" xfId="551" xr:uid="{B9E63196-93D3-44EC-A37A-B417E77EF1D3}"/>
    <cellStyle name="Comma 2 2 2 2 2 2 2 14" xfId="552" xr:uid="{708716C9-9D34-4C86-B58E-C6B7B1EB3024}"/>
    <cellStyle name="Comma 2 2 2 2 2 2 2 14 2" xfId="553" xr:uid="{39B266BB-0B12-4B5D-9887-15B1FD793B24}"/>
    <cellStyle name="Comma 2 2 2 2 2 2 2 14 3" xfId="554" xr:uid="{F088F492-7553-477F-8F1F-E353F9C4A178}"/>
    <cellStyle name="Comma 2 2 2 2 2 2 2 15" xfId="555" xr:uid="{008AAE95-8206-4CEB-A7D1-488223E54CF9}"/>
    <cellStyle name="Comma 2 2 2 2 2 2 2 16" xfId="556" xr:uid="{8F3FA993-519A-46F9-95BD-67370F63FCC4}"/>
    <cellStyle name="Comma 2 2 2 2 2 2 2 17" xfId="557" xr:uid="{F2C2ADF8-E6A4-4919-9A86-1B002B570424}"/>
    <cellStyle name="Comma 2 2 2 2 2 2 2 18" xfId="558" xr:uid="{0D33960D-2D49-4860-A7B4-13A0894216BC}"/>
    <cellStyle name="Comma 2 2 2 2 2 2 2 19" xfId="559" xr:uid="{3BD862E1-8987-463D-A587-6C12747F7AA3}"/>
    <cellStyle name="Comma 2 2 2 2 2 2 2 2" xfId="547" xr:uid="{AD600135-7988-41DE-8B9E-C96A2767A6C5}"/>
    <cellStyle name="Comma 2 2 2 2 2 2 2 2 10" xfId="561" xr:uid="{20AB5245-E56B-4B7E-B6F2-648B1EAE83A6}"/>
    <cellStyle name="Comma 2 2 2 2 2 2 2 2 11" xfId="562" xr:uid="{7DA3093D-5CF6-41D1-9C9A-64DC2AF6D3AB}"/>
    <cellStyle name="Comma 2 2 2 2 2 2 2 2 12" xfId="563" xr:uid="{B1716260-CB64-40D6-8FB3-6315FFA9DF20}"/>
    <cellStyle name="Comma 2 2 2 2 2 2 2 2 12 2" xfId="564" xr:uid="{B698BDC6-9292-401A-9AB6-E11186AC6857}"/>
    <cellStyle name="Comma 2 2 2 2 2 2 2 2 12 3" xfId="565" xr:uid="{04554866-EDCE-4624-A47C-1B195558AF9E}"/>
    <cellStyle name="Comma 2 2 2 2 2 2 2 2 13" xfId="566" xr:uid="{A920F98F-17B4-467C-84A8-A28C5BED6EF2}"/>
    <cellStyle name="Comma 2 2 2 2 2 2 2 2 14" xfId="567" xr:uid="{83F5E338-D49E-403C-BA2B-63161343C8BB}"/>
    <cellStyle name="Comma 2 2 2 2 2 2 2 2 15" xfId="568" xr:uid="{CD2D3A1A-EB5F-4202-A908-2F63B9E8DD59}"/>
    <cellStyle name="Comma 2 2 2 2 2 2 2 2 16" xfId="569" xr:uid="{BEF075A8-7BAD-4B42-87F0-94BF8AA816AB}"/>
    <cellStyle name="Comma 2 2 2 2 2 2 2 2 17" xfId="570" xr:uid="{60909FE3-9D34-4FD0-ADA1-23E02EAACC24}"/>
    <cellStyle name="Comma 2 2 2 2 2 2 2 2 18" xfId="571" xr:uid="{C48BF66D-7EE8-4CF8-9291-F47A83F213B8}"/>
    <cellStyle name="Comma 2 2 2 2 2 2 2 2 19" xfId="1781" xr:uid="{5F59E034-24FB-4AE7-881F-B9345B554627}"/>
    <cellStyle name="Comma 2 2 2 2 2 2 2 2 2" xfId="560" xr:uid="{47356C27-F442-488D-8887-B9E63E4CF4BA}"/>
    <cellStyle name="Comma 2 2 2 2 2 2 2 2 2 10" xfId="573" xr:uid="{27993A67-5C25-409B-A60C-105481E82F9A}"/>
    <cellStyle name="Comma 2 2 2 2 2 2 2 2 2 11" xfId="574" xr:uid="{3A525516-95D3-4D10-B404-E0F350284E86}"/>
    <cellStyle name="Comma 2 2 2 2 2 2 2 2 2 12" xfId="575" xr:uid="{804E1A59-1FAA-4BD6-A377-AC52EC1A304C}"/>
    <cellStyle name="Comma 2 2 2 2 2 2 2 2 2 12 2" xfId="576" xr:uid="{A0B6D231-857D-4C7C-9E9A-01181B8A75F8}"/>
    <cellStyle name="Comma 2 2 2 2 2 2 2 2 2 12 3" xfId="577" xr:uid="{A7D71A19-FC00-4E2F-93DF-5BE45608A8FD}"/>
    <cellStyle name="Comma 2 2 2 2 2 2 2 2 2 13" xfId="578" xr:uid="{5227C122-D7EF-49A8-9F07-B6030715CB76}"/>
    <cellStyle name="Comma 2 2 2 2 2 2 2 2 2 14" xfId="579" xr:uid="{3C154A68-ED76-44A3-A7A8-A48B192C241D}"/>
    <cellStyle name="Comma 2 2 2 2 2 2 2 2 2 15" xfId="580" xr:uid="{FFF1BCB9-9F66-42E2-9454-651743F7E908}"/>
    <cellStyle name="Comma 2 2 2 2 2 2 2 2 2 16" xfId="581" xr:uid="{6AE31AAA-3EE1-47CC-B71D-517F54D43F1F}"/>
    <cellStyle name="Comma 2 2 2 2 2 2 2 2 2 17" xfId="582" xr:uid="{108206E3-2A27-49C3-9486-F9C6C85ECDFC}"/>
    <cellStyle name="Comma 2 2 2 2 2 2 2 2 2 18" xfId="583" xr:uid="{FC0EA68A-E158-49AA-8EBD-F99B8471485C}"/>
    <cellStyle name="Comma 2 2 2 2 2 2 2 2 2 19" xfId="1782" xr:uid="{D0930226-25C6-40C7-A96D-6203FB91FD47}"/>
    <cellStyle name="Comma 2 2 2 2 2 2 2 2 2 2" xfId="572" xr:uid="{F17FD25E-815D-4474-A9AA-E49D8B117809}"/>
    <cellStyle name="Comma 2 2 2 2 2 2 2 2 2 2 10" xfId="585" xr:uid="{CC338544-2036-46F8-9A08-8D36D4397DB2}"/>
    <cellStyle name="Comma 2 2 2 2 2 2 2 2 2 2 10 2" xfId="586" xr:uid="{D28EEFE9-3F13-4DE3-9D0F-422274170B89}"/>
    <cellStyle name="Comma 2 2 2 2 2 2 2 2 2 2 10 3" xfId="587" xr:uid="{481608B4-4CF9-4D04-96A2-FB48DE4F6933}"/>
    <cellStyle name="Comma 2 2 2 2 2 2 2 2 2 2 11" xfId="588" xr:uid="{4A8F39AF-36B1-40D3-A100-90CD0B80B6FB}"/>
    <cellStyle name="Comma 2 2 2 2 2 2 2 2 2 2 12" xfId="589" xr:uid="{8EA63ED7-4B06-474E-9127-F3E31BB77817}"/>
    <cellStyle name="Comma 2 2 2 2 2 2 2 2 2 2 13" xfId="590" xr:uid="{355FE173-29C4-4ED8-98F6-1E0F9ED6660C}"/>
    <cellStyle name="Comma 2 2 2 2 2 2 2 2 2 2 14" xfId="591" xr:uid="{3B63627B-8D17-4CD8-A62C-6EEF22876B78}"/>
    <cellStyle name="Comma 2 2 2 2 2 2 2 2 2 2 15" xfId="592" xr:uid="{0E1DDCCE-720C-4BE3-A996-C39DCEE29342}"/>
    <cellStyle name="Comma 2 2 2 2 2 2 2 2 2 2 16" xfId="593" xr:uid="{A62DEEF6-EDFA-45D5-9CF0-B3F6C133CFBE}"/>
    <cellStyle name="Comma 2 2 2 2 2 2 2 2 2 2 17" xfId="1783" xr:uid="{299D740C-EB34-45D0-A20A-8CA017744F6B}"/>
    <cellStyle name="Comma 2 2 2 2 2 2 2 2 2 2 2" xfId="584" xr:uid="{486B93C8-08E7-452B-B8BA-B307F990E7CC}"/>
    <cellStyle name="Comma 2 2 2 2 2 2 2 2 2 2 2 10" xfId="595" xr:uid="{257E3CCD-3BF2-475F-A77C-1E09250611C1}"/>
    <cellStyle name="Comma 2 2 2 2 2 2 2 2 2 2 2 10 2" xfId="596" xr:uid="{1E4CB26E-5CE7-4EB0-9672-871401E5AAA7}"/>
    <cellStyle name="Comma 2 2 2 2 2 2 2 2 2 2 2 10 3" xfId="597" xr:uid="{6603C2E0-78E8-4884-A7E3-7FC0647D278A}"/>
    <cellStyle name="Comma 2 2 2 2 2 2 2 2 2 2 2 11" xfId="598" xr:uid="{FA6435C6-4A2D-4337-BA76-7F4FF6C8C4D2}"/>
    <cellStyle name="Comma 2 2 2 2 2 2 2 2 2 2 2 12" xfId="599" xr:uid="{53F6897B-4CF9-4934-A643-21FE818B4CE1}"/>
    <cellStyle name="Comma 2 2 2 2 2 2 2 2 2 2 2 13" xfId="600" xr:uid="{6CB020E3-348D-41AA-A567-FEA28FD19828}"/>
    <cellStyle name="Comma 2 2 2 2 2 2 2 2 2 2 2 14" xfId="601" xr:uid="{4BC24C3F-B785-48B2-AC9A-0BE98B8E9F27}"/>
    <cellStyle name="Comma 2 2 2 2 2 2 2 2 2 2 2 15" xfId="602" xr:uid="{FF9DF4E1-0AD2-4262-9E2C-1751CC8DDC29}"/>
    <cellStyle name="Comma 2 2 2 2 2 2 2 2 2 2 2 16" xfId="603" xr:uid="{B8328E6F-A8CD-44A6-B941-AF843F3D4D88}"/>
    <cellStyle name="Comma 2 2 2 2 2 2 2 2 2 2 2 17" xfId="1784" xr:uid="{4F9ECEA8-08AA-4490-99B8-30E8CBE30259}"/>
    <cellStyle name="Comma 2 2 2 2 2 2 2 2 2 2 2 2" xfId="594" xr:uid="{3F26ACB8-2D08-498A-BB85-903AD2E13F4A}"/>
    <cellStyle name="Comma 2 2 2 2 2 2 2 2 2 2 2 2 10" xfId="605" xr:uid="{6D36348C-7125-4979-B2CA-8519782D8E89}"/>
    <cellStyle name="Comma 2 2 2 2 2 2 2 2 2 2 2 2 11" xfId="606" xr:uid="{FBDA30B6-D80D-4D06-B0EB-CE314B3D5F36}"/>
    <cellStyle name="Comma 2 2 2 2 2 2 2 2 2 2 2 2 12" xfId="607" xr:uid="{F2D3DFED-DDDB-4F5D-89DD-F99BF44FB3C2}"/>
    <cellStyle name="Comma 2 2 2 2 2 2 2 2 2 2 2 2 13" xfId="608" xr:uid="{C93FDDF4-680C-4710-BF94-25278A58ACF5}"/>
    <cellStyle name="Comma 2 2 2 2 2 2 2 2 2 2 2 2 14" xfId="609" xr:uid="{391D43C8-2A74-4B34-A5E3-167EB27840F4}"/>
    <cellStyle name="Comma 2 2 2 2 2 2 2 2 2 2 2 2 15" xfId="1785" xr:uid="{DBF001A1-1DAF-4076-B1E4-46F095E4D699}"/>
    <cellStyle name="Comma 2 2 2 2 2 2 2 2 2 2 2 2 2" xfId="604" xr:uid="{B1CC3915-94D5-475A-B209-A6AC08A81D2C}"/>
    <cellStyle name="Comma 2 2 2 2 2 2 2 2 2 2 2 2 2 10" xfId="611" xr:uid="{881388DE-B642-4725-B0BD-937F225B6AB8}"/>
    <cellStyle name="Comma 2 2 2 2 2 2 2 2 2 2 2 2 2 11" xfId="612" xr:uid="{12DC89E4-D7A1-46A6-AFC0-E1A19358A3B8}"/>
    <cellStyle name="Comma 2 2 2 2 2 2 2 2 2 2 2 2 2 12" xfId="613" xr:uid="{8CD23A2B-8A35-410A-BCAC-26D8DF12F1A0}"/>
    <cellStyle name="Comma 2 2 2 2 2 2 2 2 2 2 2 2 2 13" xfId="614" xr:uid="{2DE0AE1B-4427-4CD2-A7A7-6DF193866392}"/>
    <cellStyle name="Comma 2 2 2 2 2 2 2 2 2 2 2 2 2 14" xfId="615" xr:uid="{5C974D7A-1A54-4157-9157-46DCF202338D}"/>
    <cellStyle name="Comma 2 2 2 2 2 2 2 2 2 2 2 2 2 15" xfId="1786" xr:uid="{7056DF7B-B3B1-419D-9F6D-02CA97112EE9}"/>
    <cellStyle name="Comma 2 2 2 2 2 2 2 2 2 2 2 2 2 2" xfId="610" xr:uid="{CE22F82C-FDE1-4095-AB79-36CCDE49A383}"/>
    <cellStyle name="Comma 2 2 2 2 2 2 2 2 2 2 2 2 2 2 10" xfId="617" xr:uid="{3FDC4642-C5CA-43DB-A055-DB05914C213E}"/>
    <cellStyle name="Comma 2 2 2 2 2 2 2 2 2 2 2 2 2 2 11" xfId="618" xr:uid="{F130C9F6-B919-4DFD-9D6F-A17E8916EC90}"/>
    <cellStyle name="Comma 2 2 2 2 2 2 2 2 2 2 2 2 2 2 12" xfId="619" xr:uid="{9864E002-FCE6-40A8-B669-95496FD90300}"/>
    <cellStyle name="Comma 2 2 2 2 2 2 2 2 2 2 2 2 2 2 13" xfId="1787" xr:uid="{1C6BE644-0041-4381-88CC-F3FD20EDB582}"/>
    <cellStyle name="Comma 2 2 2 2 2 2 2 2 2 2 2 2 2 2 2" xfId="616" xr:uid="{13911081-1BCC-41C1-8AC0-6B70B62689AA}"/>
    <cellStyle name="Comma 2 2 2 2 2 2 2 2 2 2 2 2 2 2 2 10" xfId="621" xr:uid="{1D0BB081-37A9-47D7-92B2-E02D0C29FD0D}"/>
    <cellStyle name="Comma 2 2 2 2 2 2 2 2 2 2 2 2 2 2 2 11" xfId="622" xr:uid="{49B90E18-E5CF-4BB7-A285-C4988603CD32}"/>
    <cellStyle name="Comma 2 2 2 2 2 2 2 2 2 2 2 2 2 2 2 12" xfId="623" xr:uid="{F1D8382B-89CB-4068-8E85-61BE643918E5}"/>
    <cellStyle name="Comma 2 2 2 2 2 2 2 2 2 2 2 2 2 2 2 13" xfId="1788" xr:uid="{BB705DDA-0C50-439E-B2CD-F106108BE14F}"/>
    <cellStyle name="Comma 2 2 2 2 2 2 2 2 2 2 2 2 2 2 2 2" xfId="620" xr:uid="{F4F89AC4-4267-406D-B6ED-9A1DA9CFFCAF}"/>
    <cellStyle name="Comma 2 2 2 2 2 2 2 2 2 2 2 2 2 2 2 2 10" xfId="625" xr:uid="{843C6F82-BDA9-461D-B75E-13935BAC7691}"/>
    <cellStyle name="Comma 2 2 2 2 2 2 2 2 2 2 2 2 2 2 2 2 11" xfId="1789" xr:uid="{97F039F2-E3CE-4B3C-A35B-0DDCB200C87F}"/>
    <cellStyle name="Comma 2 2 2 2 2 2 2 2 2 2 2 2 2 2 2 2 2" xfId="624" xr:uid="{876B30A7-782C-48D2-AB2F-2143CAA694F8}"/>
    <cellStyle name="Comma 2 2 2 2 2 2 2 2 2 2 2 2 2 2 2 2 2 10" xfId="627" xr:uid="{B1D7C14C-9071-4C3A-A87D-44EAB68342D2}"/>
    <cellStyle name="Comma 2 2 2 2 2 2 2 2 2 2 2 2 2 2 2 2 2 11" xfId="1790" xr:uid="{78D27E10-F280-410B-B21D-764E8F51B6F1}"/>
    <cellStyle name="Comma 2 2 2 2 2 2 2 2 2 2 2 2 2 2 2 2 2 2" xfId="626" xr:uid="{B118B374-AB5F-4C69-8A3A-6DD2DBFC2E25}"/>
    <cellStyle name="Comma 2 2 2 2 2 2 2 2 2 2 2 2 2 2 2 2 2 2 10" xfId="1791" xr:uid="{A572C54D-579D-4191-A901-A4EE395D88DE}"/>
    <cellStyle name="Comma 2 2 2 2 2 2 2 2 2 2 2 2 2 2 2 2 2 2 2" xfId="628" xr:uid="{5A884884-1759-4FEA-92DE-9F6A64ABA1F4}"/>
    <cellStyle name="Comma 2 2 2 2 2 2 2 2 2 2 2 2 2 2 2 2 2 2 2 2" xfId="629" xr:uid="{28F5958A-D54D-4562-BB1D-5B5C97736D2A}"/>
    <cellStyle name="Comma 2 2 2 2 2 2 2 2 2 2 2 2 2 2 2 2 2 2 2 3" xfId="1792" xr:uid="{D78491C0-23EC-41B7-82AF-42B945D53A7C}"/>
    <cellStyle name="Comma 2 2 2 2 2 2 2 2 2 2 2 2 2 2 2 2 2 2 3" xfId="630" xr:uid="{71503DD6-78DB-4BE9-B5FB-CC86C6AB5409}"/>
    <cellStyle name="Comma 2 2 2 2 2 2 2 2 2 2 2 2 2 2 2 2 2 2 3 2" xfId="631" xr:uid="{BC7BA43D-C83B-423E-BB45-99B010E51FCD}"/>
    <cellStyle name="Comma 2 2 2 2 2 2 2 2 2 2 2 2 2 2 2 2 2 2 3 3" xfId="632" xr:uid="{E741C6EC-E55A-455F-A4F7-E25BC44190E5}"/>
    <cellStyle name="Comma 2 2 2 2 2 2 2 2 2 2 2 2 2 2 2 2 2 2 4" xfId="633" xr:uid="{33BE8226-A08F-46D4-9D7D-E37BAE619324}"/>
    <cellStyle name="Comma 2 2 2 2 2 2 2 2 2 2 2 2 2 2 2 2 2 2 5" xfId="634" xr:uid="{CEBB2BDF-0D00-4021-AA51-C878609CB478}"/>
    <cellStyle name="Comma 2 2 2 2 2 2 2 2 2 2 2 2 2 2 2 2 2 2 6" xfId="635" xr:uid="{EA8A1748-9532-4195-BE99-331FD664FFD1}"/>
    <cellStyle name="Comma 2 2 2 2 2 2 2 2 2 2 2 2 2 2 2 2 2 2 7" xfId="636" xr:uid="{FD8DB40B-E094-4B57-93EE-0D6830DC845D}"/>
    <cellStyle name="Comma 2 2 2 2 2 2 2 2 2 2 2 2 2 2 2 2 2 2 8" xfId="637" xr:uid="{532B637F-AACA-42C9-90D1-8CD6D69AE811}"/>
    <cellStyle name="Comma 2 2 2 2 2 2 2 2 2 2 2 2 2 2 2 2 2 2 9" xfId="638" xr:uid="{9EBC3821-F831-4465-858E-0DF91D8F52CD}"/>
    <cellStyle name="Comma 2 2 2 2 2 2 2 2 2 2 2 2 2 2 2 2 2 3" xfId="639" xr:uid="{E6E5FF94-4C06-4ABB-A7EC-971BAD054911}"/>
    <cellStyle name="Comma 2 2 2 2 2 2 2 2 2 2 2 2 2 2 2 2 2 4" xfId="640" xr:uid="{B5E43AF3-72B9-4080-8D9A-92A8DF56592F}"/>
    <cellStyle name="Comma 2 2 2 2 2 2 2 2 2 2 2 2 2 2 2 2 2 4 2" xfId="641" xr:uid="{179E76AB-A857-4DCC-9B69-A3CD26F39D61}"/>
    <cellStyle name="Comma 2 2 2 2 2 2 2 2 2 2 2 2 2 2 2 2 2 4 3" xfId="642" xr:uid="{628C61CE-E191-42F7-BE27-881515D57CAB}"/>
    <cellStyle name="Comma 2 2 2 2 2 2 2 2 2 2 2 2 2 2 2 2 2 5" xfId="643" xr:uid="{F6B704A0-1A08-47F4-BCDA-612B36B5F962}"/>
    <cellStyle name="Comma 2 2 2 2 2 2 2 2 2 2 2 2 2 2 2 2 2 6" xfId="644" xr:uid="{0C96344F-3EF0-45B9-B5E8-88D5BE8937F4}"/>
    <cellStyle name="Comma 2 2 2 2 2 2 2 2 2 2 2 2 2 2 2 2 2 7" xfId="645" xr:uid="{3F638F21-69AB-47AD-92B2-393DBBD7F3D9}"/>
    <cellStyle name="Comma 2 2 2 2 2 2 2 2 2 2 2 2 2 2 2 2 2 8" xfId="646" xr:uid="{CD859F4B-9CAC-4DA9-A675-88C947588CDF}"/>
    <cellStyle name="Comma 2 2 2 2 2 2 2 2 2 2 2 2 2 2 2 2 2 9" xfId="647" xr:uid="{F5FFBA04-19C1-4076-9367-5C363DEED1DA}"/>
    <cellStyle name="Comma 2 2 2 2 2 2 2 2 2 2 2 2 2 2 2 2 3" xfId="648" xr:uid="{E5921FDF-7F62-4DA9-A039-A1309DC666C4}"/>
    <cellStyle name="Comma 2 2 2 2 2 2 2 2 2 2 2 2 2 2 2 2 4" xfId="649" xr:uid="{243E25E9-5EA0-4BA3-8CC9-037878DF91A7}"/>
    <cellStyle name="Comma 2 2 2 2 2 2 2 2 2 2 2 2 2 2 2 2 4 2" xfId="650" xr:uid="{1C28DCA2-C641-48CC-9A49-5D897E371590}"/>
    <cellStyle name="Comma 2 2 2 2 2 2 2 2 2 2 2 2 2 2 2 2 4 3" xfId="651" xr:uid="{D17EFEDB-899B-47B8-8626-B2DEA41EB556}"/>
    <cellStyle name="Comma 2 2 2 2 2 2 2 2 2 2 2 2 2 2 2 2 5" xfId="652" xr:uid="{E10C859B-2495-4330-AEB6-B2D11715C4F4}"/>
    <cellStyle name="Comma 2 2 2 2 2 2 2 2 2 2 2 2 2 2 2 2 6" xfId="653" xr:uid="{A637B046-7417-4431-9CC6-A339A489AF2D}"/>
    <cellStyle name="Comma 2 2 2 2 2 2 2 2 2 2 2 2 2 2 2 2 7" xfId="654" xr:uid="{9F771F96-B9B5-43A4-91B5-420F4FDD4016}"/>
    <cellStyle name="Comma 2 2 2 2 2 2 2 2 2 2 2 2 2 2 2 2 8" xfId="655" xr:uid="{F8C79C92-8709-4F9C-8900-E99E2F64B6FB}"/>
    <cellStyle name="Comma 2 2 2 2 2 2 2 2 2 2 2 2 2 2 2 2 9" xfId="656" xr:uid="{A36A8724-DC32-4C1E-84D1-FDB68F2E3CA0}"/>
    <cellStyle name="Comma 2 2 2 2 2 2 2 2 2 2 2 2 2 2 2 3" xfId="657" xr:uid="{F2C5572C-366B-4997-ACD8-F0D9BBE51AF0}"/>
    <cellStyle name="Comma 2 2 2 2 2 2 2 2 2 2 2 2 2 2 2 4" xfId="658" xr:uid="{90B5FA8B-CACB-480F-8941-DB9841CC1D75}"/>
    <cellStyle name="Comma 2 2 2 2 2 2 2 2 2 2 2 2 2 2 2 5" xfId="659" xr:uid="{77DDD78A-8836-471C-9CA7-038E19E2C980}"/>
    <cellStyle name="Comma 2 2 2 2 2 2 2 2 2 2 2 2 2 2 2 6" xfId="660" xr:uid="{D6A3AEA6-257E-4010-A00F-97CB47CCA59C}"/>
    <cellStyle name="Comma 2 2 2 2 2 2 2 2 2 2 2 2 2 2 2 6 2" xfId="661" xr:uid="{E7CC4DF5-2F0C-4365-A172-B3B85F21FCA1}"/>
    <cellStyle name="Comma 2 2 2 2 2 2 2 2 2 2 2 2 2 2 2 6 3" xfId="662" xr:uid="{9FD0924D-2A31-4382-A15F-1456E9926C71}"/>
    <cellStyle name="Comma 2 2 2 2 2 2 2 2 2 2 2 2 2 2 2 7" xfId="663" xr:uid="{8B0F4D3D-54A3-4291-A9A7-58AF8913B774}"/>
    <cellStyle name="Comma 2 2 2 2 2 2 2 2 2 2 2 2 2 2 2 8" xfId="664" xr:uid="{CBA417C3-0B81-44BB-BAF6-F770241993DE}"/>
    <cellStyle name="Comma 2 2 2 2 2 2 2 2 2 2 2 2 2 2 2 9" xfId="665" xr:uid="{A0C8C60F-C6DD-409D-8B23-8E587474BD5A}"/>
    <cellStyle name="Comma 2 2 2 2 2 2 2 2 2 2 2 2 2 2 3" xfId="666" xr:uid="{E88CE7BD-C944-4990-B9AB-78B733A8BFF7}"/>
    <cellStyle name="Comma 2 2 2 2 2 2 2 2 2 2 2 2 2 2 4" xfId="667" xr:uid="{334F911E-CCEC-4B0A-86E5-2DE8BC384B35}"/>
    <cellStyle name="Comma 2 2 2 2 2 2 2 2 2 2 2 2 2 2 5" xfId="668" xr:uid="{E902304B-AA7D-4C6E-B2CD-BEC27A4C0F56}"/>
    <cellStyle name="Comma 2 2 2 2 2 2 2 2 2 2 2 2 2 2 6" xfId="669" xr:uid="{4C9B479C-D6EF-4ADE-BE9F-AA723C198BFC}"/>
    <cellStyle name="Comma 2 2 2 2 2 2 2 2 2 2 2 2 2 2 6 2" xfId="670" xr:uid="{31039137-68A2-44DC-A60F-266AA3C72C8C}"/>
    <cellStyle name="Comma 2 2 2 2 2 2 2 2 2 2 2 2 2 2 6 3" xfId="671" xr:uid="{3E7C6B02-010A-470A-B613-14549091A72B}"/>
    <cellStyle name="Comma 2 2 2 2 2 2 2 2 2 2 2 2 2 2 7" xfId="672" xr:uid="{4F5246CB-A72F-483A-BCD2-778C5318C32C}"/>
    <cellStyle name="Comma 2 2 2 2 2 2 2 2 2 2 2 2 2 2 8" xfId="673" xr:uid="{AFE3FAA1-0B07-4ADA-9524-0EB819131263}"/>
    <cellStyle name="Comma 2 2 2 2 2 2 2 2 2 2 2 2 2 2 9" xfId="674" xr:uid="{609F22A9-AB02-4A9D-ADC4-9355F0513226}"/>
    <cellStyle name="Comma 2 2 2 2 2 2 2 2 2 2 2 2 2 3" xfId="675" xr:uid="{870E3338-2323-4E62-B49E-BCCE57C2C785}"/>
    <cellStyle name="Comma 2 2 2 2 2 2 2 2 2 2 2 2 2 4" xfId="676" xr:uid="{DB481401-2583-4A6B-942F-7ECEDDEF9695}"/>
    <cellStyle name="Comma 2 2 2 2 2 2 2 2 2 2 2 2 2 5" xfId="677" xr:uid="{04278A66-93B1-4A99-AC7A-A6FB0E168AC8}"/>
    <cellStyle name="Comma 2 2 2 2 2 2 2 2 2 2 2 2 2 6" xfId="678" xr:uid="{85A268FF-1A8C-40CB-8C76-A532F2ECFFEA}"/>
    <cellStyle name="Comma 2 2 2 2 2 2 2 2 2 2 2 2 2 7" xfId="679" xr:uid="{D9F69A63-DCF3-4855-9653-FA3CDCD9A783}"/>
    <cellStyle name="Comma 2 2 2 2 2 2 2 2 2 2 2 2 2 8" xfId="680" xr:uid="{4BDC8934-70B9-4E0D-8210-257F89D4806B}"/>
    <cellStyle name="Comma 2 2 2 2 2 2 2 2 2 2 2 2 2 8 2" xfId="681" xr:uid="{0251883D-8DD7-4FA9-99AE-EEFA8BC20372}"/>
    <cellStyle name="Comma 2 2 2 2 2 2 2 2 2 2 2 2 2 8 3" xfId="682" xr:uid="{2466E138-E8E6-451F-B722-4549D45CE4A4}"/>
    <cellStyle name="Comma 2 2 2 2 2 2 2 2 2 2 2 2 2 9" xfId="683" xr:uid="{1EDAAB44-2C74-456B-A3AC-42D7196AF34B}"/>
    <cellStyle name="Comma 2 2 2 2 2 2 2 2 2 2 2 2 3" xfId="684" xr:uid="{D0C395CC-6AD1-4D4D-8C11-E7FF52583C52}"/>
    <cellStyle name="Comma 2 2 2 2 2 2 2 2 2 2 2 2 4" xfId="685" xr:uid="{91B001B1-A61F-42E7-9C4D-4192FBA6090F}"/>
    <cellStyle name="Comma 2 2 2 2 2 2 2 2 2 2 2 2 5" xfId="686" xr:uid="{0C021F32-1090-410C-8830-5D73D5F8B0E0}"/>
    <cellStyle name="Comma 2 2 2 2 2 2 2 2 2 2 2 2 6" xfId="687" xr:uid="{BD9F6ACB-05D7-4AD6-B239-D2561BCB76F0}"/>
    <cellStyle name="Comma 2 2 2 2 2 2 2 2 2 2 2 2 7" xfId="688" xr:uid="{7286728C-AC1D-4316-BFC5-FE9752AEEB0F}"/>
    <cellStyle name="Comma 2 2 2 2 2 2 2 2 2 2 2 2 8" xfId="689" xr:uid="{E13DDAD4-B2E9-4664-A8E6-E4A32821D2C3}"/>
    <cellStyle name="Comma 2 2 2 2 2 2 2 2 2 2 2 2 8 2" xfId="690" xr:uid="{C515AA98-BD00-4BB8-9626-AC3C9D2F62B5}"/>
    <cellStyle name="Comma 2 2 2 2 2 2 2 2 2 2 2 2 8 3" xfId="691" xr:uid="{53AE3775-E19E-4407-AC7C-35EC37293FD6}"/>
    <cellStyle name="Comma 2 2 2 2 2 2 2 2 2 2 2 2 9" xfId="692" xr:uid="{FAF095BE-A208-48F4-AF5B-57516C886897}"/>
    <cellStyle name="Comma 2 2 2 2 2 2 2 2 2 2 2 3" xfId="693" xr:uid="{E8A3114A-2EA3-478F-B075-D9406FEE8D88}"/>
    <cellStyle name="Comma 2 2 2 2 2 2 2 2 2 2 2 4" xfId="694" xr:uid="{E2C2DC7D-68AD-41D4-B273-400B1FE2E315}"/>
    <cellStyle name="Comma 2 2 2 2 2 2 2 2 2 2 2 5" xfId="695" xr:uid="{78B3B0EA-C2C2-4316-B8FE-C29F98F8586B}"/>
    <cellStyle name="Comma 2 2 2 2 2 2 2 2 2 2 2 6" xfId="696" xr:uid="{DAD14408-B7A7-4436-8931-A56E67FD97EA}"/>
    <cellStyle name="Comma 2 2 2 2 2 2 2 2 2 2 2 7" xfId="697" xr:uid="{E9250DEB-DA93-499C-980F-369BD9262349}"/>
    <cellStyle name="Comma 2 2 2 2 2 2 2 2 2 2 2 8" xfId="698" xr:uid="{3681C1B6-4FE5-485E-B87C-33064F28641F}"/>
    <cellStyle name="Comma 2 2 2 2 2 2 2 2 2 2 2 9" xfId="699" xr:uid="{21633FA6-82D8-4D75-8552-0311AA219606}"/>
    <cellStyle name="Comma 2 2 2 2 2 2 2 2 2 2 3" xfId="700" xr:uid="{A3F95481-CFF3-4D5C-99B9-100F99C9D392}"/>
    <cellStyle name="Comma 2 2 2 2 2 2 2 2 2 2 4" xfId="701" xr:uid="{78E664BA-B7E4-4E9C-90D9-4E33864AFB8E}"/>
    <cellStyle name="Comma 2 2 2 2 2 2 2 2 2 2 5" xfId="702" xr:uid="{483F33FE-71AE-4988-97D1-47CEF12CC2C4}"/>
    <cellStyle name="Comma 2 2 2 2 2 2 2 2 2 2 6" xfId="703" xr:uid="{E651E736-B1F0-4181-BB48-6B08E4967460}"/>
    <cellStyle name="Comma 2 2 2 2 2 2 2 2 2 2 7" xfId="704" xr:uid="{4F90FB37-9E3B-4998-B0C9-3A6D30E735D6}"/>
    <cellStyle name="Comma 2 2 2 2 2 2 2 2 2 2 8" xfId="705" xr:uid="{9490EDB9-581B-4E4E-BAE4-DA048790675A}"/>
    <cellStyle name="Comma 2 2 2 2 2 2 2 2 2 2 9" xfId="706" xr:uid="{16CEC8CC-08CE-4294-8EC6-5A2A713BDC6B}"/>
    <cellStyle name="Comma 2 2 2 2 2 2 2 2 2 3" xfId="707" xr:uid="{A3EA57E6-EFE1-47A7-BE4C-229D07E02D75}"/>
    <cellStyle name="Comma 2 2 2 2 2 2 2 2 2 4" xfId="708" xr:uid="{F6DEB14E-380C-46F0-9332-D0DE30F2A38C}"/>
    <cellStyle name="Comma 2 2 2 2 2 2 2 2 2 5" xfId="709" xr:uid="{6D54E569-367D-4E27-9BB7-62D236A33DCA}"/>
    <cellStyle name="Comma 2 2 2 2 2 2 2 2 2 6" xfId="710" xr:uid="{494726F5-2659-41D3-B4C7-E93D0D83662E}"/>
    <cellStyle name="Comma 2 2 2 2 2 2 2 2 2 7" xfId="711" xr:uid="{A1DB3304-D039-4F9A-8ECA-5177B9DDF9B1}"/>
    <cellStyle name="Comma 2 2 2 2 2 2 2 2 2 8" xfId="712" xr:uid="{849D1048-E0B8-48D7-AC78-106616326EB7}"/>
    <cellStyle name="Comma 2 2 2 2 2 2 2 2 2 9" xfId="713" xr:uid="{368B7C58-32D8-48D6-8698-67128C8E805C}"/>
    <cellStyle name="Comma 2 2 2 2 2 2 2 2 3" xfId="714" xr:uid="{9DAC862F-0C17-4DEA-AB4F-5EC0913BF067}"/>
    <cellStyle name="Comma 2 2 2 2 2 2 2 2 4" xfId="715" xr:uid="{B022CB79-435D-441C-8988-3DD2CDFDA45C}"/>
    <cellStyle name="Comma 2 2 2 2 2 2 2 2 5" xfId="716" xr:uid="{1D7AA6D4-9718-4647-A899-420995BFFF44}"/>
    <cellStyle name="Comma 2 2 2 2 2 2 2 2 6" xfId="717" xr:uid="{33104BC7-62D6-4FF5-9810-B87B1987A177}"/>
    <cellStyle name="Comma 2 2 2 2 2 2 2 2 7" xfId="718" xr:uid="{5F7B545F-B59E-4F25-A91A-FAE4B9ED8A57}"/>
    <cellStyle name="Comma 2 2 2 2 2 2 2 2 8" xfId="719" xr:uid="{2A40F09B-2C82-4A3D-8DCC-010829BA035C}"/>
    <cellStyle name="Comma 2 2 2 2 2 2 2 2 9" xfId="720" xr:uid="{0F2DFB1A-8932-4BB9-968E-090D63FD14AD}"/>
    <cellStyle name="Comma 2 2 2 2 2 2 2 20" xfId="721" xr:uid="{26059E4E-5A53-42F8-8906-931793E6474F}"/>
    <cellStyle name="Comma 2 2 2 2 2 2 2 21" xfId="1780" xr:uid="{123BEA51-C98C-4020-A32C-2C30C3814CCB}"/>
    <cellStyle name="Comma 2 2 2 2 2 2 2 3" xfId="722" xr:uid="{41BBCFF9-8EDB-4B38-B12B-A6AE163BE367}"/>
    <cellStyle name="Comma 2 2 2 2 2 2 2 4" xfId="723" xr:uid="{6B4311FF-BD1C-4700-BA4D-F9CA75BA786A}"/>
    <cellStyle name="Comma 2 2 2 2 2 2 2 5" xfId="724" xr:uid="{CA9013CA-737A-43F2-AE8F-9E7E315AF574}"/>
    <cellStyle name="Comma 2 2 2 2 2 2 2 6" xfId="725" xr:uid="{7C2AEBE8-8503-4686-AD47-D284B38542BD}"/>
    <cellStyle name="Comma 2 2 2 2 2 2 2 7" xfId="726" xr:uid="{68F49917-09D5-441E-BF71-F38408ABD448}"/>
    <cellStyle name="Comma 2 2 2 2 2 2 2 8" xfId="727" xr:uid="{FC7B5996-20E6-4E83-B2F8-F1182074E356}"/>
    <cellStyle name="Comma 2 2 2 2 2 2 2 9" xfId="728" xr:uid="{04A52409-11F4-4F32-94C9-D6AB22B4036F}"/>
    <cellStyle name="Comma 2 2 2 2 2 2 20" xfId="729" xr:uid="{12F06759-6511-49F5-983C-62E707FBDCAD}"/>
    <cellStyle name="Comma 2 2 2 2 2 2 21" xfId="1779" xr:uid="{9EF0E18B-D95D-427C-AE91-BF06BF4A33D3}"/>
    <cellStyle name="Comma 2 2 2 2 2 2 3" xfId="730" xr:uid="{E46FA8E6-B99D-4180-8902-AB4588A19729}"/>
    <cellStyle name="Comma 2 2 2 2 2 2 4" xfId="731" xr:uid="{0F6007F9-EB4B-413E-9821-80A013528852}"/>
    <cellStyle name="Comma 2 2 2 2 2 2 5" xfId="732" xr:uid="{7C8B4352-F00B-46EA-8E33-8CB72A97AE0A}"/>
    <cellStyle name="Comma 2 2 2 2 2 2 6" xfId="733" xr:uid="{C1792ABC-6CA6-4F39-8497-74A59619AE6E}"/>
    <cellStyle name="Comma 2 2 2 2 2 2 7" xfId="734" xr:uid="{8DE08768-79CB-408B-9A18-26BCF41681FA}"/>
    <cellStyle name="Comma 2 2 2 2 2 2 8" xfId="735" xr:uid="{19022659-0250-4169-A943-C1314C1D778B}"/>
    <cellStyle name="Comma 2 2 2 2 2 2 9" xfId="736" xr:uid="{CA9EC450-41F9-4DF7-BD47-CA055C4314E5}"/>
    <cellStyle name="Comma 2 2 2 2 2 20" xfId="737" xr:uid="{7F054CC5-632B-4FCE-B0D6-1FCD6A191EF3}"/>
    <cellStyle name="Comma 2 2 2 2 2 21" xfId="738" xr:uid="{DE0F8FED-2E17-4D33-8E40-9DC1A2D31BAC}"/>
    <cellStyle name="Comma 2 2 2 2 2 21 2" xfId="739" xr:uid="{BC94B0A1-4684-42A0-AD03-4A1DBDC47C6E}"/>
    <cellStyle name="Comma 2 2 2 2 2 21 3" xfId="740" xr:uid="{673AAEE7-582D-4E63-AE58-AAE9C4D8C7FA}"/>
    <cellStyle name="Comma 2 2 2 2 2 22" xfId="741" xr:uid="{F85C7BAA-BE33-4DD9-B353-B594639B62F4}"/>
    <cellStyle name="Comma 2 2 2 2 2 23" xfId="742" xr:uid="{ABF9A5ED-20CF-4B14-AA5B-427A15F8DDE5}"/>
    <cellStyle name="Comma 2 2 2 2 2 24" xfId="743" xr:uid="{19BD9B4B-36DD-46A7-A9C3-25FBB7EB6C50}"/>
    <cellStyle name="Comma 2 2 2 2 2 25" xfId="744" xr:uid="{7D14A08F-E18D-4948-8CB0-FA169CA43DD9}"/>
    <cellStyle name="Comma 2 2 2 2 2 26" xfId="745" xr:uid="{B0A6F3EC-7F7F-4A06-BC7D-A519962A1B1F}"/>
    <cellStyle name="Comma 2 2 2 2 2 27" xfId="746" xr:uid="{26A7081E-A456-4623-ADFB-41A12B8EB6FA}"/>
    <cellStyle name="Comma 2 2 2 2 2 28" xfId="1778" xr:uid="{7ACC2E6F-19BA-407C-9915-21860B279119}"/>
    <cellStyle name="Comma 2 2 2 2 2 3" xfId="747" xr:uid="{ED3952CA-0703-4D8B-88D1-BD877770B0A6}"/>
    <cellStyle name="Comma 2 2 2 2 2 4" xfId="748" xr:uid="{B0B412C6-BE03-454E-9BFD-F3C7ECE231BF}"/>
    <cellStyle name="Comma 2 2 2 2 2 5" xfId="749" xr:uid="{495FD706-08D0-45B6-AED8-0558195DBE1B}"/>
    <cellStyle name="Comma 2 2 2 2 2 6" xfId="750" xr:uid="{57FADDC7-0D02-46CF-B179-61CFB1990CDC}"/>
    <cellStyle name="Comma 2 2 2 2 2 7" xfId="751" xr:uid="{9C6E53C4-30C7-420A-9335-7F100FA5FDBF}"/>
    <cellStyle name="Comma 2 2 2 2 2 8" xfId="752" xr:uid="{748670D2-59ED-46BE-B511-6858D3D3F568}"/>
    <cellStyle name="Comma 2 2 2 2 2 9" xfId="753" xr:uid="{0757384F-168E-4C52-8032-DCA3D2E71EDC}"/>
    <cellStyle name="Comma 2 2 2 2 20" xfId="754" xr:uid="{FA7537E2-DA9D-4CED-86AB-4837D6DD8581}"/>
    <cellStyle name="Comma 2 2 2 2 21" xfId="755" xr:uid="{002ED354-B904-41A9-B4FA-A4EB841202ED}"/>
    <cellStyle name="Comma 2 2 2 2 22" xfId="756" xr:uid="{2EEECABE-DBCD-4EBD-9EA3-0CC1FBCD76DD}"/>
    <cellStyle name="Comma 2 2 2 2 23" xfId="757" xr:uid="{F13000EA-5D21-4A03-B5C6-155039270485}"/>
    <cellStyle name="Comma 2 2 2 2 24" xfId="758" xr:uid="{2D6CCC9B-E79D-454E-9FF9-537D5E64B984}"/>
    <cellStyle name="Comma 2 2 2 2 25" xfId="759" xr:uid="{FD02CBF2-7CB9-4954-A115-065DE40095F2}"/>
    <cellStyle name="Comma 2 2 2 2 25 2" xfId="760" xr:uid="{782D1230-774B-47E3-BD39-190227928119}"/>
    <cellStyle name="Comma 2 2 2 2 25 3" xfId="761" xr:uid="{412A0B4C-82C2-48EE-BF03-E3CDC52CFE4E}"/>
    <cellStyle name="Comma 2 2 2 2 26" xfId="762" xr:uid="{AF1137F3-528E-45C9-A1BB-D2E697C2B115}"/>
    <cellStyle name="Comma 2 2 2 2 27" xfId="763" xr:uid="{B9B6CCA8-2FCA-4B89-9EA2-E39900FA0A62}"/>
    <cellStyle name="Comma 2 2 2 2 28" xfId="764" xr:uid="{F664861E-6C56-4E0D-81B1-8DDCBCE66674}"/>
    <cellStyle name="Comma 2 2 2 2 29" xfId="765" xr:uid="{3A3AB683-FBA5-4873-B58B-C5D9C5590C43}"/>
    <cellStyle name="Comma 2 2 2 2 3" xfId="766" xr:uid="{C0EFEC10-6A3F-4D1A-8431-8009F979544B}"/>
    <cellStyle name="Comma 2 2 2 2 30" xfId="767" xr:uid="{3C1C8BBC-1260-4067-A1B2-54A17B71A69C}"/>
    <cellStyle name="Comma 2 2 2 2 31" xfId="768" xr:uid="{C9B4EA77-0F99-416A-AFB6-AEBD50B02B02}"/>
    <cellStyle name="Comma 2 2 2 2 32" xfId="1777" xr:uid="{E7306D54-C63A-4B00-B895-D33DC7DCC651}"/>
    <cellStyle name="Comma 2 2 2 2 33" xfId="17334" xr:uid="{86C9BF2C-367E-4CE9-A696-E6981172EEC9}"/>
    <cellStyle name="Comma 2 2 2 2 4" xfId="769" xr:uid="{931EA3CF-DF29-4D63-9303-4C961EEC06A7}"/>
    <cellStyle name="Comma 2 2 2 2 5" xfId="770" xr:uid="{03F4D431-6376-4F39-A04A-DD88A2A1A99B}"/>
    <cellStyle name="Comma 2 2 2 2 6" xfId="771" xr:uid="{4B12E697-9D9D-429F-932C-67259EFE94BB}"/>
    <cellStyle name="Comma 2 2 2 2 7" xfId="772" xr:uid="{27C0DF77-E849-43B2-B91C-E795200318DA}"/>
    <cellStyle name="Comma 2 2 2 2 8" xfId="773" xr:uid="{508E950B-7083-46F7-A5F6-1A584FA7FF3B}"/>
    <cellStyle name="Comma 2 2 2 2 9" xfId="774" xr:uid="{A2199B12-6FF1-4EE7-BE3B-5CC6DE51279E}"/>
    <cellStyle name="Comma 2 2 2 20" xfId="775" xr:uid="{4976C0BB-0050-418E-A639-3358C69EE14C}"/>
    <cellStyle name="Comma 2 2 2 21" xfId="776" xr:uid="{EA4B04DC-8D14-4F01-B27E-07B2136E87BF}"/>
    <cellStyle name="Comma 2 2 2 22" xfId="777" xr:uid="{ED6C9828-D08D-4239-B855-CD0D21E3FA01}"/>
    <cellStyle name="Comma 2 2 2 23" xfId="778" xr:uid="{B519D793-33E7-4833-8A33-CA9F247176DB}"/>
    <cellStyle name="Comma 2 2 2 24" xfId="779" xr:uid="{DE1540F9-C3FE-4DF2-A507-C2634573E4C7}"/>
    <cellStyle name="Comma 2 2 2 25" xfId="780" xr:uid="{C812838E-45CC-458B-9ACD-6FE3ECE2971C}"/>
    <cellStyle name="Comma 2 2 2 26" xfId="781" xr:uid="{206BAD7C-CB37-4B3A-9728-494298FA8FB6}"/>
    <cellStyle name="Comma 2 2 2 27" xfId="782" xr:uid="{36463D00-1D1B-4734-943E-CAA319FB1750}"/>
    <cellStyle name="Comma 2 2 2 28" xfId="783" xr:uid="{EF86B38A-75FA-4290-88FE-74A51D81E9DB}"/>
    <cellStyle name="Comma 2 2 2 29" xfId="784" xr:uid="{C6FB48B0-9D89-49EB-8B28-384D0E4EE414}"/>
    <cellStyle name="Comma 2 2 2 3" xfId="785" xr:uid="{D8297817-631B-44F0-9656-97B422FC0B1B}"/>
    <cellStyle name="Comma 2 2 2 30" xfId="786" xr:uid="{7A85844D-17F1-46C6-8452-2315C7EA0751}"/>
    <cellStyle name="Comma 2 2 2 31" xfId="787" xr:uid="{C5A03201-FAFD-4075-8C1C-52E34385F4E3}"/>
    <cellStyle name="Comma 2 2 2 32" xfId="788" xr:uid="{24C4D67B-201A-4086-AF4F-CA08AFD315A2}"/>
    <cellStyle name="Comma 2 2 2 33" xfId="789" xr:uid="{95667879-DB7E-4560-8F44-855341C469F3}"/>
    <cellStyle name="Comma 2 2 2 34" xfId="790" xr:uid="{426DF265-61FD-458C-A8B4-508E5B677958}"/>
    <cellStyle name="Comma 2 2 2 35" xfId="791" xr:uid="{E28C2B65-6B4D-4C5B-AEE0-F10C762B7631}"/>
    <cellStyle name="Comma 2 2 2 36" xfId="792" xr:uid="{9F746495-3D20-4C9C-922E-BF6C40ABEBA1}"/>
    <cellStyle name="Comma 2 2 2 37" xfId="793" xr:uid="{2A877515-22CF-4270-9ADA-0C9FE9043C2A}"/>
    <cellStyle name="Comma 2 2 2 38" xfId="794" xr:uid="{63C0540C-A525-4D07-96F5-415FF686BEDE}"/>
    <cellStyle name="Comma 2 2 2 39" xfId="795" xr:uid="{4E56E203-85A5-4BEC-B924-63704CE5E0C1}"/>
    <cellStyle name="Comma 2 2 2 4" xfId="796" xr:uid="{D3E3E8AE-45A4-4FEC-8136-D12EB74F91AB}"/>
    <cellStyle name="Comma 2 2 2 40" xfId="797" xr:uid="{B2D74EC8-083D-4721-95E9-BFCCC469EE52}"/>
    <cellStyle name="Comma 2 2 2 41" xfId="798" xr:uid="{71FB45BF-DB68-4776-B01E-F7866FA10F5E}"/>
    <cellStyle name="Comma 2 2 2 42" xfId="799" xr:uid="{F9705F04-1BA1-4A22-8074-A3FB296F01BC}"/>
    <cellStyle name="Comma 2 2 2 43" xfId="800" xr:uid="{1211CACE-1454-485E-AB4E-89BAEF4B5C2C}"/>
    <cellStyle name="Comma 2 2 2 44" xfId="801" xr:uid="{A6EF93D6-F04D-4A38-9406-65F1AA20AAA0}"/>
    <cellStyle name="Comma 2 2 2 45" xfId="802" xr:uid="{4683EEB9-C718-4904-ACB8-6845D7B5AF8B}"/>
    <cellStyle name="Comma 2 2 2 46" xfId="803" xr:uid="{AEE52C06-07DD-42CB-8B02-78522FAFAB3C}"/>
    <cellStyle name="Comma 2 2 2 47" xfId="804" xr:uid="{C0E6639B-0D2D-46EF-BA08-69752DB5D085}"/>
    <cellStyle name="Comma 2 2 2 48" xfId="805" xr:uid="{BB4757F4-CC7E-4E40-9208-CABE6DADA1FA}"/>
    <cellStyle name="Comma 2 2 2 49" xfId="806" xr:uid="{2C6DE77D-CEA8-4F56-83FB-DE3F9094E590}"/>
    <cellStyle name="Comma 2 2 2 49 2" xfId="807" xr:uid="{BC6162C0-98F6-4742-A5C2-B7F0F8ACA074}"/>
    <cellStyle name="Comma 2 2 2 49 3" xfId="808" xr:uid="{9B717917-ED22-41D1-8EB9-A9117B1CBD88}"/>
    <cellStyle name="Comma 2 2 2 5" xfId="809" xr:uid="{0E4345A5-F000-43FD-9113-A9850D78B55B}"/>
    <cellStyle name="Comma 2 2 2 50" xfId="810" xr:uid="{BFDB46CA-266B-4E27-B3DE-9F4D2C278420}"/>
    <cellStyle name="Comma 2 2 2 51" xfId="811" xr:uid="{931EC609-5139-470E-B124-780EB914FB48}"/>
    <cellStyle name="Comma 2 2 2 52" xfId="812" xr:uid="{3E7B7AB1-1791-488B-9E0A-FC5DB902CEB8}"/>
    <cellStyle name="Comma 2 2 2 53" xfId="813" xr:uid="{37FB7EAF-178B-446B-9108-624FCCDE9A37}"/>
    <cellStyle name="Comma 2 2 2 54" xfId="814" xr:uid="{C1CEE778-D7ED-4AA0-945C-AFFD7C32C44D}"/>
    <cellStyle name="Comma 2 2 2 55" xfId="815" xr:uid="{193628CB-57D9-41BA-9DAC-E94C6FE0DD3C}"/>
    <cellStyle name="Comma 2 2 2 56" xfId="1776" xr:uid="{C7371D6B-58AB-4D0C-8E20-B1421FF00E2A}"/>
    <cellStyle name="Comma 2 2 2 57" xfId="490" xr:uid="{7B5F2B02-3B85-4022-8D07-243963C3A001}"/>
    <cellStyle name="Comma 2 2 2 58" xfId="17333" xr:uid="{C676EDE5-BCBF-4458-97DD-1D62F3CCD63C}"/>
    <cellStyle name="Comma 2 2 2 6" xfId="816" xr:uid="{A2AF69F3-0772-4FCD-A709-1E6919995F31}"/>
    <cellStyle name="Comma 2 2 2 6 2" xfId="817" xr:uid="{A82AB5E5-421A-4877-BC79-C5296BF57801}"/>
    <cellStyle name="Comma 2 2 2 6 3" xfId="818" xr:uid="{E3F89E95-3160-4A64-A1CC-B2450D12B92D}"/>
    <cellStyle name="Comma 2 2 2 6 4" xfId="819" xr:uid="{53AC9AAA-9459-4144-8A32-D51CF8ED9DA3}"/>
    <cellStyle name="Comma 2 2 2 6 5" xfId="820" xr:uid="{ACC542DA-5277-4E75-A1C8-C4F491D23C77}"/>
    <cellStyle name="Comma 2 2 2 6 6" xfId="821" xr:uid="{86E57347-8399-491D-874D-B0B70C78C08E}"/>
    <cellStyle name="Comma 2 2 2 6 7" xfId="822" xr:uid="{65A6067A-1B3B-47EC-99B2-DE790DC486B7}"/>
    <cellStyle name="Comma 2 2 2 6 8" xfId="823" xr:uid="{5A4CD40A-3DAF-4E57-B5BD-8F317954281E}"/>
    <cellStyle name="Comma 2 2 2 7" xfId="824" xr:uid="{8210ED33-6BC3-40EA-B8C4-4E1C6EDCCD0A}"/>
    <cellStyle name="Comma 2 2 2 8" xfId="825" xr:uid="{8D3C83F5-E3CB-4F6F-8BD4-76CAAA155A54}"/>
    <cellStyle name="Comma 2 2 2 9" xfId="826" xr:uid="{DF62CC61-4C55-4FCD-879D-0409A2F11811}"/>
    <cellStyle name="Comma 2 2 20" xfId="827" xr:uid="{38435152-48CA-4ABE-97CD-0535B9CF5019}"/>
    <cellStyle name="Comma 2 2 21" xfId="828" xr:uid="{FBE43237-AAD9-4C27-B7D4-CB2EA1DC2D31}"/>
    <cellStyle name="Comma 2 2 22" xfId="829" xr:uid="{BD2A9064-1A42-46C0-BF1A-D8B6A0A1EC4F}"/>
    <cellStyle name="Comma 2 2 23" xfId="830" xr:uid="{BBC428CF-4D74-46F4-996D-908FAD4A7C5A}"/>
    <cellStyle name="Comma 2 2 24" xfId="831" xr:uid="{9410D0A9-AD5D-4278-A0E1-018289E129EE}"/>
    <cellStyle name="Comma 2 2 25" xfId="832" xr:uid="{16BBCF75-BE45-43CE-BC8A-828EAE3F04D7}"/>
    <cellStyle name="Comma 2 2 26" xfId="833" xr:uid="{652F1664-22C1-4BFB-B04B-0059CC06B7A2}"/>
    <cellStyle name="Comma 2 2 27" xfId="834" xr:uid="{BADC3E64-45F7-4760-A737-7ABF19EB04B5}"/>
    <cellStyle name="Comma 2 2 28" xfId="835" xr:uid="{37884D8D-FF95-49E7-A653-C6E234F0FF91}"/>
    <cellStyle name="Comma 2 2 29" xfId="836" xr:uid="{19CD819D-3720-4467-A366-662CCFBC0061}"/>
    <cellStyle name="Comma 2 2 3" xfId="176" xr:uid="{E186CBEF-74D0-40E9-9AAF-AFF3168994BD}"/>
    <cellStyle name="Comma 2 2 3 2" xfId="838" xr:uid="{112CCE35-4D17-4FB3-ACDD-7C380D85984C}"/>
    <cellStyle name="Comma 2 2 3 3" xfId="839" xr:uid="{21D1AE1D-7B45-44EB-8B52-30F2AEF842C5}"/>
    <cellStyle name="Comma 2 2 3 4" xfId="837" xr:uid="{DC06CE31-9C43-4CA9-95A0-07BB54719AC2}"/>
    <cellStyle name="Comma 2 2 3 5" xfId="16945" xr:uid="{D1FCBE0A-90B4-4307-8559-8990E81DB98E}"/>
    <cellStyle name="Comma 2 2 30" xfId="840" xr:uid="{EC763A1D-6D13-4092-9CB7-5925815C08DC}"/>
    <cellStyle name="Comma 2 2 30 2" xfId="841" xr:uid="{C986015B-882A-4D3D-8A92-A761D9CA1C53}"/>
    <cellStyle name="Comma 2 2 30 2 2" xfId="842" xr:uid="{43F619EC-6F98-4B5B-BC0B-A2887F794DDF}"/>
    <cellStyle name="Comma 2 2 30 3" xfId="843" xr:uid="{F8CA73CE-8EA1-4950-8447-7D3D81176717}"/>
    <cellStyle name="Comma 2 2 30 4" xfId="844" xr:uid="{C30BAC5F-6D84-47AF-AC91-5201C6D26BB2}"/>
    <cellStyle name="Comma 2 2 31" xfId="845" xr:uid="{73120573-A113-487F-893F-510CD4D6408A}"/>
    <cellStyle name="Comma 2 2 32" xfId="846" xr:uid="{93F8A1CC-1263-428C-8A1F-DAD6B12227FF}"/>
    <cellStyle name="Comma 2 2 33" xfId="847" xr:uid="{EF7EAC41-7964-4ABA-8494-CD740B374965}"/>
    <cellStyle name="Comma 2 2 34" xfId="848" xr:uid="{26299A4E-B42E-4827-BB5F-AECD9BCD72D8}"/>
    <cellStyle name="Comma 2 2 35" xfId="849" xr:uid="{CBCB4346-73D6-416C-A441-AAA3A8F04073}"/>
    <cellStyle name="Comma 2 2 36" xfId="850" xr:uid="{0A98A5DC-C0B7-40DB-A4B2-50FC22A7870F}"/>
    <cellStyle name="Comma 2 2 37" xfId="851" xr:uid="{8FECDB81-0EB2-4281-AD1D-188EBB05F2C8}"/>
    <cellStyle name="Comma 2 2 38" xfId="852" xr:uid="{2455420B-9B2B-4D33-AFDC-116D5AB6BE1F}"/>
    <cellStyle name="Comma 2 2 38 2" xfId="853" xr:uid="{B22F8439-DCE4-4901-AC72-445137B4CEAE}"/>
    <cellStyle name="Comma 2 2 38 2 2" xfId="854" xr:uid="{61DDE55D-3487-4EFF-BA87-D40F453F51F1}"/>
    <cellStyle name="Comma 2 2 38 2 3" xfId="855" xr:uid="{9F3B66F5-5BB1-4067-AEC8-DAF9E0AF7A7D}"/>
    <cellStyle name="Comma 2 2 38 3" xfId="856" xr:uid="{16F9D02B-B2B5-4142-80F9-31BFFE9E9CB0}"/>
    <cellStyle name="Comma 2 2 38 3 2" xfId="857" xr:uid="{DF9B7DDB-F196-4BAB-BFE9-D3B275AF50C0}"/>
    <cellStyle name="Comma 2 2 38 3 3" xfId="858" xr:uid="{BED59A52-F1DF-4367-B8D4-FD7605770975}"/>
    <cellStyle name="Comma 2 2 38 4" xfId="859" xr:uid="{3C7C9286-EF1C-463F-9756-232FD55EA18A}"/>
    <cellStyle name="Comma 2 2 38 5" xfId="860" xr:uid="{D83F78A1-0034-4BC2-81FC-8455530BB46A}"/>
    <cellStyle name="Comma 2 2 38 6" xfId="861" xr:uid="{87772428-45C5-459C-AFBD-6D7764CC239C}"/>
    <cellStyle name="Comma 2 2 39" xfId="862" xr:uid="{1D304FD3-E486-468A-A513-005AEEDA784E}"/>
    <cellStyle name="Comma 2 2 4" xfId="863" xr:uid="{6C55D8CE-54EC-4EAB-BBEE-E8665A8DBD06}"/>
    <cellStyle name="Comma 2 2 4 2" xfId="864" xr:uid="{9361EC63-1D95-437E-AFB7-D56FD7B9EC50}"/>
    <cellStyle name="Comma 2 2 4 3" xfId="865" xr:uid="{5F7C0C81-C079-46C7-B86C-07CF69761598}"/>
    <cellStyle name="Comma 2 2 40" xfId="866" xr:uid="{0F664F33-299A-408C-8A10-6D0647C93F3B}"/>
    <cellStyle name="Comma 2 2 41" xfId="867" xr:uid="{ECD83A26-A78E-42BB-BC03-489D0951EAAA}"/>
    <cellStyle name="Comma 2 2 42" xfId="868" xr:uid="{9CBD83CE-99C9-4A36-B5B8-B8A8A622180A}"/>
    <cellStyle name="Comma 2 2 43" xfId="869" xr:uid="{5EB17D2D-5BAE-48B9-A282-8E4787D160BF}"/>
    <cellStyle name="Comma 2 2 44" xfId="870" xr:uid="{4C07F54C-1955-4DDE-A37C-525A3B79EDFC}"/>
    <cellStyle name="Comma 2 2 45" xfId="871" xr:uid="{294D127C-3266-4B76-A4BA-3EF07CDB5D60}"/>
    <cellStyle name="Comma 2 2 46" xfId="872" xr:uid="{793A3590-F471-47C0-AB14-8193FB921C0C}"/>
    <cellStyle name="Comma 2 2 47" xfId="873" xr:uid="{BC6F4985-5E66-4F7B-B105-2AC5CAE5DE4C}"/>
    <cellStyle name="Comma 2 2 48" xfId="874" xr:uid="{DA00876D-3A6C-4712-9F46-E3D85486708E}"/>
    <cellStyle name="Comma 2 2 49" xfId="875" xr:uid="{F1EB69A0-3201-47C2-AA15-F1DDF570C4BB}"/>
    <cellStyle name="Comma 2 2 5" xfId="876" xr:uid="{6A732501-C589-4920-ABC7-BBCBF95E8D89}"/>
    <cellStyle name="Comma 2 2 5 2" xfId="877" xr:uid="{523CDD01-9513-414C-A104-43CA1CD4A9D5}"/>
    <cellStyle name="Comma 2 2 5 3" xfId="878" xr:uid="{A2E75652-269D-43FA-8A93-14C5114B870F}"/>
    <cellStyle name="Comma 2 2 50" xfId="879" xr:uid="{AC184E07-C081-45BF-8CF5-24D4331DFFCD}"/>
    <cellStyle name="Comma 2 2 51" xfId="880" xr:uid="{38C6A580-4215-4C2C-A4C9-B8F2AC77A1D7}"/>
    <cellStyle name="Comma 2 2 52" xfId="881" xr:uid="{0A66288C-D2C2-4E92-BC8A-D2250B4EBD28}"/>
    <cellStyle name="Comma 2 2 53" xfId="882" xr:uid="{BB67A617-5195-4B66-9705-9FB36B0F4D80}"/>
    <cellStyle name="Comma 2 2 54" xfId="883" xr:uid="{630721AC-BC94-415E-B97D-FDBAB739D6B6}"/>
    <cellStyle name="Comma 2 2 55" xfId="884" xr:uid="{10161D84-BA4A-4A46-ADE9-A0C30E21F96D}"/>
    <cellStyle name="Comma 2 2 56" xfId="885" xr:uid="{51B90590-D919-483C-A9E1-2F8B3BC0B81B}"/>
    <cellStyle name="Comma 2 2 57" xfId="886" xr:uid="{F413D195-E5E6-43C5-B8E3-35327C6F4235}"/>
    <cellStyle name="Comma 2 2 58" xfId="887" xr:uid="{FD097B55-CDC2-477F-821E-E64D6AD72755}"/>
    <cellStyle name="Comma 2 2 59" xfId="888" xr:uid="{1A74A516-D48D-45A4-A013-C8AB65A48561}"/>
    <cellStyle name="Comma 2 2 6" xfId="889" xr:uid="{CB841DAA-5CFA-4D7E-8680-CA2D9A850CB9}"/>
    <cellStyle name="Comma 2 2 6 2" xfId="890" xr:uid="{9B09FAC4-BB72-45EF-8D1B-B495FA884B6B}"/>
    <cellStyle name="Comma 2 2 6 3" xfId="891" xr:uid="{715D308C-D65F-4F5D-A4CC-873FF709209C}"/>
    <cellStyle name="Comma 2 2 6 4" xfId="892" xr:uid="{909A46A1-13F3-46FC-B50B-56EF76DCA402}"/>
    <cellStyle name="Comma 2 2 6 5" xfId="893" xr:uid="{AC877CB3-279E-4019-8A22-A0F099A45288}"/>
    <cellStyle name="Comma 2 2 6 6" xfId="894" xr:uid="{4900927B-A64C-4E61-8434-BDAAA788A342}"/>
    <cellStyle name="Comma 2 2 6 7" xfId="895" xr:uid="{A179DAD1-4784-4373-949C-E7CFAC20BAB9}"/>
    <cellStyle name="Comma 2 2 6 8" xfId="896" xr:uid="{0B0CC755-B6A5-42F2-BEDB-30527AA996B2}"/>
    <cellStyle name="Comma 2 2 60" xfId="897" xr:uid="{0F3FCC86-3E4F-4D82-86BA-8827BDEBB287}"/>
    <cellStyle name="Comma 2 2 61" xfId="898" xr:uid="{456B8C55-1630-4D72-B003-C4706849DD4C}"/>
    <cellStyle name="Comma 2 2 61 2" xfId="899" xr:uid="{10717621-8F29-4200-A072-DA739E2991D8}"/>
    <cellStyle name="Comma 2 2 61 3" xfId="900" xr:uid="{1E288A6E-C802-464C-88C9-91E99FDD5C5F}"/>
    <cellStyle name="Comma 2 2 62" xfId="901" xr:uid="{E41F520C-43F9-479D-9706-2A222ADDC44C}"/>
    <cellStyle name="Comma 2 2 63" xfId="902" xr:uid="{C10646ED-22A6-4E51-BF24-F23D7A602A28}"/>
    <cellStyle name="Comma 2 2 64" xfId="903" xr:uid="{94FFE638-D1B2-4A6D-81E7-A434D55C83FE}"/>
    <cellStyle name="Comma 2 2 65" xfId="904" xr:uid="{F07BF998-0AA9-4EDC-A273-5812A59106DE}"/>
    <cellStyle name="Comma 2 2 66" xfId="905" xr:uid="{045637A3-7100-4CF4-8904-B1798D211659}"/>
    <cellStyle name="Comma 2 2 67" xfId="906" xr:uid="{50C5BE80-697F-4FA9-A15D-85765A49AB77}"/>
    <cellStyle name="Comma 2 2 68" xfId="1775" xr:uid="{085E6613-F85C-4B7E-8352-A5A3E037E99E}"/>
    <cellStyle name="Comma 2 2 69" xfId="17332" xr:uid="{1C4A33F8-DCD3-462A-8C21-734267B51EED}"/>
    <cellStyle name="Comma 2 2 7" xfId="907" xr:uid="{CD489F89-3D96-4D1E-8C97-10A0BA00FD0D}"/>
    <cellStyle name="Comma 2 2 8" xfId="908" xr:uid="{91718D05-567F-4E79-A464-D55ECAEAC7B5}"/>
    <cellStyle name="Comma 2 2 9" xfId="909" xr:uid="{E5938E12-7CDF-470C-A45B-A73A972636D3}"/>
    <cellStyle name="Comma 2 20" xfId="910" xr:uid="{67E70506-FA03-40DB-97AA-37451D116371}"/>
    <cellStyle name="Comma 2 21" xfId="911" xr:uid="{95C32E09-F980-48FA-BB22-B0644602B99A}"/>
    <cellStyle name="Comma 2 22" xfId="912" xr:uid="{07958D6B-7BC3-4B98-88D1-146B472EF56A}"/>
    <cellStyle name="Comma 2 23" xfId="913" xr:uid="{FA45CFDC-6802-4F27-A8F4-A71C7D55173D}"/>
    <cellStyle name="Comma 2 24" xfId="914" xr:uid="{B2A49A6D-1F02-4255-98E8-2D62E8679896}"/>
    <cellStyle name="Comma 2 25" xfId="915" xr:uid="{CEB96F46-B37C-4E74-B606-271386155C28}"/>
    <cellStyle name="Comma 2 26" xfId="916" xr:uid="{76BCAB9F-8CC0-4B84-9D82-19617A0E5EEA}"/>
    <cellStyle name="Comma 2 26 2" xfId="917" xr:uid="{5EFADB90-1CC8-432D-B35A-E4BCA4BBA676}"/>
    <cellStyle name="Comma 2 26 3" xfId="918" xr:uid="{2E749884-665E-4A98-9E40-0F0E72582575}"/>
    <cellStyle name="Comma 2 27" xfId="919" xr:uid="{457E1B58-B66B-4A7B-85BE-18D830969D88}"/>
    <cellStyle name="Comma 2 28" xfId="920" xr:uid="{C6020E5F-1CBA-4FDE-97FF-33FA94A74426}"/>
    <cellStyle name="Comma 2 29" xfId="921" xr:uid="{43B87436-F59E-4863-A91D-B05F3E9ECF61}"/>
    <cellStyle name="Comma 2 3" xfId="177" xr:uid="{6823E8B4-70ED-46D3-A866-F4FCD2D1E197}"/>
    <cellStyle name="Comma 2 3 2" xfId="922" xr:uid="{C7E058C0-1CA4-4C77-AD73-98B50A1E8BAB}"/>
    <cellStyle name="Comma 2 3 3" xfId="1793" xr:uid="{A0CC6595-2AC5-4B24-B352-1353F90BC202}"/>
    <cellStyle name="Comma 2 3 4" xfId="259" xr:uid="{037F5797-1827-42B0-BB2A-87B3199071B1}"/>
    <cellStyle name="Comma 2 30" xfId="1716" xr:uid="{2CB907AF-0280-4190-A5F5-5E5965AF1F9D}"/>
    <cellStyle name="Comma 2 30 2" xfId="1803" xr:uid="{C79408C7-D4ED-4FDA-886F-208C49D2429C}"/>
    <cellStyle name="Comma 2 31" xfId="1916" xr:uid="{98AC6923-4507-4A13-ABDE-661C687142CC}"/>
    <cellStyle name="Comma 2 32" xfId="252" xr:uid="{6DA86C94-340B-48E8-9495-DFBA7F1A43FD}"/>
    <cellStyle name="Comma 2 33" xfId="17331" xr:uid="{E5683F32-571F-4E96-986B-688AC64083E2}"/>
    <cellStyle name="Comma 2 4" xfId="923" xr:uid="{F16007ED-F263-43CC-9584-F75B06636074}"/>
    <cellStyle name="Comma 2 5" xfId="924" xr:uid="{2A13387B-69A5-4807-8CCA-276E11958026}"/>
    <cellStyle name="Comma 2 6" xfId="925" xr:uid="{0143A7EC-84C5-49D9-84E9-6B577A451B76}"/>
    <cellStyle name="Comma 2 7" xfId="926" xr:uid="{B3ADCEE1-4648-46ED-ACA8-E6CBE3881F69}"/>
    <cellStyle name="Comma 2 8" xfId="927" xr:uid="{A0FEBE5D-1851-4F5A-9AD8-FEAD926E2F96}"/>
    <cellStyle name="Comma 2 9" xfId="928" xr:uid="{01101A62-7DE0-4B2A-8785-24ABDF76E3AE}"/>
    <cellStyle name="Comma 20" xfId="81" xr:uid="{709959FE-9E52-4053-A409-78F4B813DFC8}"/>
    <cellStyle name="Comma 20 10" xfId="2306" xr:uid="{0ACA155B-7C61-404B-878D-DED1B1F4CCFF}"/>
    <cellStyle name="Comma 20 11" xfId="2369" xr:uid="{3616CB6E-56B8-48EC-8D31-C4964DFD45AC}"/>
    <cellStyle name="Comma 20 12" xfId="2380" xr:uid="{273378FA-7261-4E47-BBAE-64FC98BACE2F}"/>
    <cellStyle name="Comma 20 13" xfId="2375" xr:uid="{EB21C5E6-3C68-4C70-A467-8E1B47908F42}"/>
    <cellStyle name="Comma 20 14" xfId="2397" xr:uid="{BCDC3B56-784F-4012-BAD0-37DE5B7EE2E6}"/>
    <cellStyle name="Comma 20 15" xfId="2334" xr:uid="{3CC50CFE-DFC8-4F3C-B3F6-15A6C0320023}"/>
    <cellStyle name="Comma 20 16" xfId="929" xr:uid="{34AF99E5-3628-47C0-84F1-B7906617B743}"/>
    <cellStyle name="Comma 20 2" xfId="2206" xr:uid="{8B5EBC90-041A-4627-8736-DA5BC434F403}"/>
    <cellStyle name="Comma 20 3" xfId="2166" xr:uid="{E9AE891C-2ED6-4DB6-9D92-24ED7990817C}"/>
    <cellStyle name="Comma 20 4" xfId="2226" xr:uid="{95D5C53C-D2AE-4174-BBBE-B8C3BB198DD1}"/>
    <cellStyle name="Comma 20 5" xfId="2231" xr:uid="{638ACB50-C975-4A24-BC07-F3A8B0E4FAB4}"/>
    <cellStyle name="Comma 20 6" xfId="2245" xr:uid="{80206C0E-C0C4-47E8-A306-10D3C7166922}"/>
    <cellStyle name="Comma 20 7" xfId="2219" xr:uid="{9FABEEE5-38AE-4D0C-B1D6-9D8AD1C05921}"/>
    <cellStyle name="Comma 20 8" xfId="2303" xr:uid="{7A320E2E-7FE4-4EC2-B020-05AD7401AB0C}"/>
    <cellStyle name="Comma 20 9" xfId="2308" xr:uid="{AC1ADF75-59C3-4BF1-AB81-5184A14B422E}"/>
    <cellStyle name="Comma 200" xfId="2445" xr:uid="{A96D0495-0DE1-423A-B483-90B13CD320AE}"/>
    <cellStyle name="Comma 201" xfId="2446" xr:uid="{C3E3D6BA-D676-4204-8FB9-6EFC2EAD764B}"/>
    <cellStyle name="Comma 202" xfId="2447" xr:uid="{81B66467-7085-46E9-B51B-6BEF097A9C3C}"/>
    <cellStyle name="Comma 203" xfId="2241" xr:uid="{760A36B9-A578-4200-AF34-C3C84032A2AE}"/>
    <cellStyle name="Comma 204" xfId="2448" xr:uid="{CB323460-2E09-41CF-8A7D-F4C22BB116D1}"/>
    <cellStyle name="Comma 205" xfId="2449" xr:uid="{587C18D2-5A1B-4A44-AE10-9A3035825DB7}"/>
    <cellStyle name="Comma 206" xfId="2450" xr:uid="{340CC09B-9571-4E60-AF17-D41698A7FC45}"/>
    <cellStyle name="Comma 207" xfId="2451" xr:uid="{0BA8EAA0-CD72-4F99-BC2B-CD47F58C5CDE}"/>
    <cellStyle name="Comma 208" xfId="2453" xr:uid="{37B018A2-9FD4-4CB3-867F-6382AC1CE857}"/>
    <cellStyle name="Comma 209" xfId="2454" xr:uid="{109FFA4D-15A2-4467-978E-067DCB8BBDBC}"/>
    <cellStyle name="Comma 21" xfId="164" xr:uid="{94A717F0-70FA-43F3-8BAA-2F34AC7349F4}"/>
    <cellStyle name="Comma 21 10" xfId="2330" xr:uid="{9BD38A7B-7320-45B8-808F-93CCFEFB0076}"/>
    <cellStyle name="Comma 21 11" xfId="2399" xr:uid="{7722A920-4FC1-462D-A53A-D8EF84AC7D86}"/>
    <cellStyle name="Comma 21 12" xfId="2408" xr:uid="{3B85AAB3-DAD9-4487-869B-F7DA7D9FA79E}"/>
    <cellStyle name="Comma 21 13" xfId="2417" xr:uid="{F86B91F6-0002-4FCC-BA30-35504FF1B884}"/>
    <cellStyle name="Comma 21 14" xfId="2421" xr:uid="{D57BCDCC-0B13-4571-840B-1FDBFB4A305C}"/>
    <cellStyle name="Comma 21 15" xfId="2425" xr:uid="{4DA73941-BCBB-448D-A734-C650434D6100}"/>
    <cellStyle name="Comma 21 16" xfId="930" xr:uid="{C2F9BD53-9BC3-4F61-BCD9-6BA0BC990A80}"/>
    <cellStyle name="Comma 21 2" xfId="2239" xr:uid="{E2BA1D9A-392A-45C0-B69E-5157C9752BB6}"/>
    <cellStyle name="Comma 21 3" xfId="2247" xr:uid="{19975AD2-2DFB-4C4D-8500-219C2E839546}"/>
    <cellStyle name="Comma 21 4" xfId="2256" xr:uid="{77E4F1F2-0D6A-487E-A421-FFF2FADEA04E}"/>
    <cellStyle name="Comma 21 5" xfId="2265" xr:uid="{72B90E96-19B6-4D04-AD4C-14D9E08B9FA7}"/>
    <cellStyle name="Comma 21 6" xfId="2269" xr:uid="{85141D2B-D16E-4F11-88C3-AEE28F9F3761}"/>
    <cellStyle name="Comma 21 7" xfId="2273" xr:uid="{917CE0A1-07EF-4E06-9568-FAC13AFBE79C}"/>
    <cellStyle name="Comma 21 8" xfId="2322" xr:uid="{C8B2EF45-A313-4525-9B40-15EA7881200F}"/>
    <cellStyle name="Comma 21 9" xfId="2326" xr:uid="{E723D336-3828-458D-919B-62F7EC28DA41}"/>
    <cellStyle name="Comma 210" xfId="2455" xr:uid="{C3769EB1-DF2B-4CEE-A72D-50538C2C934B}"/>
    <cellStyle name="Comma 211" xfId="2456" xr:uid="{66F452B4-5B68-405A-A83C-946347D21FA6}"/>
    <cellStyle name="Comma 212" xfId="2457" xr:uid="{0F59A622-DA28-42BE-95A7-FBD9EC99B1D6}"/>
    <cellStyle name="Comma 213" xfId="2243" xr:uid="{585E8B59-46CD-4F44-A857-9E702DF8C3BD}"/>
    <cellStyle name="Comma 214" xfId="2458" xr:uid="{03E4C493-4F51-4031-B2C2-1F2A0DD963D4}"/>
    <cellStyle name="Comma 215" xfId="2459" xr:uid="{3F4233EE-7239-4DDA-BE8C-3AB8C847FCDC}"/>
    <cellStyle name="Comma 216" xfId="2460" xr:uid="{45723B1A-36A5-4BE7-902B-3E363F67A4B1}"/>
    <cellStyle name="Comma 217" xfId="2461" xr:uid="{8CEB8031-96EC-4351-BF1F-73A967EFEE4C}"/>
    <cellStyle name="Comma 218" xfId="135" xr:uid="{5F4CB32E-4DB6-4312-BAA1-24C3CC95018E}"/>
    <cellStyle name="Comma 219" xfId="2462" xr:uid="{B9FEA3D6-31E5-4EBB-8148-0006C18BCD52}"/>
    <cellStyle name="Comma 22" xfId="931" xr:uid="{EEFD7A25-9AEF-4217-B230-BC540F942C1E}"/>
    <cellStyle name="Comma 220" xfId="2463" xr:uid="{BCDB5789-51CA-4342-9EB0-C10E63FD6EA5}"/>
    <cellStyle name="Comma 221" xfId="2464" xr:uid="{CBFFE1F8-0EBD-4DEB-82F4-985A489B6924}"/>
    <cellStyle name="Comma 222" xfId="2465" xr:uid="{28AAD7E5-03CF-433B-BFC2-8A3F00961A3C}"/>
    <cellStyle name="Comma 223" xfId="2466" xr:uid="{B0FE6AD6-4A81-4784-A8B8-F1DA2ABDFED5}"/>
    <cellStyle name="Comma 224" xfId="2467" xr:uid="{06E6FE3E-1EE1-4060-BB14-3B854DAB915D}"/>
    <cellStyle name="Comma 225" xfId="2468" xr:uid="{F2A9D4DD-7C35-414C-9BED-2CDBFC404EBA}"/>
    <cellStyle name="Comma 226" xfId="2469" xr:uid="{6728E852-423E-4FAE-B575-D01C1F6354E3}"/>
    <cellStyle name="Comma 227" xfId="2470" xr:uid="{01E328B5-0F61-45CC-8F98-FAEB51570EFF}"/>
    <cellStyle name="Comma 228" xfId="2471" xr:uid="{AA15DD95-6714-4AFD-9E57-E52E8748B4AC}"/>
    <cellStyle name="Comma 229" xfId="2472" xr:uid="{A1A346A6-8502-43AE-A89B-3354A798E676}"/>
    <cellStyle name="Comma 23" xfId="122" xr:uid="{5ED04990-905A-4EFC-95B6-C75691D547B3}"/>
    <cellStyle name="Comma 23 10" xfId="2304" xr:uid="{DC471849-ADF9-4A15-BADA-18B6E4D5319E}"/>
    <cellStyle name="Comma 23 11" xfId="2386" xr:uid="{68F0F4B5-0B9F-4F9D-A93C-F54CDDE00361}"/>
    <cellStyle name="Comma 23 12" xfId="2388" xr:uid="{1836E266-D6BB-41BB-A08C-A6C5383C579A}"/>
    <cellStyle name="Comma 23 13" xfId="2370" xr:uid="{474D37E3-DCCC-462E-B47C-91DA86BE7DAE}"/>
    <cellStyle name="Comma 23 14" xfId="2379" xr:uid="{84689D7B-BBAB-498D-B5A9-ECB25329CB60}"/>
    <cellStyle name="Comma 23 15" xfId="2376" xr:uid="{7F3362C1-7A60-4A5B-96BD-AC3414B7AA32}"/>
    <cellStyle name="Comma 23 16" xfId="932" xr:uid="{C45E41F1-031B-44AD-99A2-916B70F8954A}"/>
    <cellStyle name="Comma 23 2" xfId="2220" xr:uid="{78E9F630-ADE8-4C62-9E63-014E7D2EC9C7}"/>
    <cellStyle name="Comma 23 3" xfId="2207" xr:uid="{49EC4C71-3ED0-45E1-B565-7DE99BFF24C6}"/>
    <cellStyle name="Comma 23 4" xfId="2174" xr:uid="{D72AD861-1EB3-44AF-872C-70D600D9325D}"/>
    <cellStyle name="Comma 23 5" xfId="2235" xr:uid="{64945150-83CC-4EDA-A8C3-BAF9D76C6BC9}"/>
    <cellStyle name="Comma 23 6" xfId="2186" xr:uid="{5703EA77-6930-4A24-9A85-C92CC4A66F59}"/>
    <cellStyle name="Comma 23 7" xfId="2211" xr:uid="{81FE9A34-CC7D-484E-8D97-D1080E95B883}"/>
    <cellStyle name="Comma 23 8" xfId="2312" xr:uid="{2C0DF5DA-B82C-4EE1-B2B0-9F7A8DEF70D4}"/>
    <cellStyle name="Comma 23 9" xfId="2313" xr:uid="{98D08772-CEDC-4E1F-8680-EFFE46841A8D}"/>
    <cellStyle name="Comma 230" xfId="2473" xr:uid="{2BFD6480-524D-455F-871F-98A198E1EE41}"/>
    <cellStyle name="Comma 231" xfId="2474" xr:uid="{9707BA09-E6AB-43B4-A75D-5EBD68616A3D}"/>
    <cellStyle name="Comma 232" xfId="2475" xr:uid="{6D04A38D-D6A9-4DC1-BA5D-CFA23B3D1B59}"/>
    <cellStyle name="Comma 233" xfId="2476" xr:uid="{1E4A13C9-351E-41E8-83E7-89B243691B5E}"/>
    <cellStyle name="Comma 234" xfId="2477" xr:uid="{750D05F0-724C-422D-8B34-3A42E062FCE3}"/>
    <cellStyle name="Comma 235" xfId="137" xr:uid="{DBDB6B2E-C685-4E01-BA6A-DA590F6395F1}"/>
    <cellStyle name="Comma 236" xfId="2478" xr:uid="{08A1869A-CA23-475B-9D96-10CA93C4DC49}"/>
    <cellStyle name="Comma 237" xfId="2479" xr:uid="{72A52C94-85A2-4D3E-9623-6E1DF02D3F2C}"/>
    <cellStyle name="Comma 238" xfId="2480" xr:uid="{53BE4E65-8CEA-403C-965A-947150E07BF8}"/>
    <cellStyle name="Comma 239" xfId="2481" xr:uid="{4E5A9D2F-7D75-42A6-AAFA-87655F2428A0}"/>
    <cellStyle name="Comma 24" xfId="933" xr:uid="{5A4361C2-E2A5-4389-8D96-BBDB903D77AB}"/>
    <cellStyle name="Comma 240" xfId="139" xr:uid="{2BFC491C-B121-4A50-BC94-F3993B15EE37}"/>
    <cellStyle name="Comma 241" xfId="2482" xr:uid="{CD93E4CC-B658-4FD7-B069-67AF1090F306}"/>
    <cellStyle name="Comma 242" xfId="2483" xr:uid="{3ED4C40B-6041-49F5-B5A9-B1FEA05F0809}"/>
    <cellStyle name="Comma 243" xfId="2484" xr:uid="{A3D1E390-6E29-4711-B589-B4F618C1FF6A}"/>
    <cellStyle name="Comma 244" xfId="2485" xr:uid="{E6BB9E07-2C49-45CF-AA36-0237ED3A1C18}"/>
    <cellStyle name="Comma 245" xfId="2486" xr:uid="{EDDA09BD-2B06-458E-A81C-2B513D284F35}"/>
    <cellStyle name="Comma 246" xfId="106" xr:uid="{ABC726FE-D0DF-43FA-B2AF-B660AB974EEB}"/>
    <cellStyle name="Comma 247" xfId="2487" xr:uid="{23C073BF-D4CA-43CF-A973-D7866CDCD3A3}"/>
    <cellStyle name="Comma 248" xfId="2488" xr:uid="{353FF63F-7D70-4B1D-BF24-0F2998DEFB17}"/>
    <cellStyle name="Comma 249" xfId="2489" xr:uid="{2B24BEBB-FADD-4852-913F-4C4C2927F786}"/>
    <cellStyle name="Comma 25" xfId="934" xr:uid="{D93AAC28-4028-4EB5-AE34-572CD0D0A8C2}"/>
    <cellStyle name="Comma 25 2" xfId="1828" xr:uid="{163BC1A1-D7A3-4646-B501-8F1072EDBABA}"/>
    <cellStyle name="Comma 25 3" xfId="1855" xr:uid="{65B56FE6-5FEA-406C-9D2A-B5CEF1E49346}"/>
    <cellStyle name="Comma 250" xfId="2490" xr:uid="{6612F400-04B3-4CA9-BAC0-58B31B24FFCB}"/>
    <cellStyle name="Comma 251" xfId="2491" xr:uid="{3491123D-0938-4702-BE79-1323BE6C2D46}"/>
    <cellStyle name="Comma 252" xfId="2492" xr:uid="{95D750BD-F129-4D90-ABED-774F932C6AFC}"/>
    <cellStyle name="Comma 253" xfId="2495" xr:uid="{FCB717E6-5E65-4B03-B753-87C479F2DF06}"/>
    <cellStyle name="Comma 254" xfId="2493" xr:uid="{BE9C802B-6ABD-4312-8F2C-B7A21C6FFB86}"/>
    <cellStyle name="Comma 255" xfId="2497" xr:uid="{6253C3B9-6E58-430E-9B3B-A252FA49CA74}"/>
    <cellStyle name="Comma 256" xfId="2499" xr:uid="{04DF7D51-0B81-45DD-8802-9E77109CA1E1}"/>
    <cellStyle name="Comma 257" xfId="2498" xr:uid="{75C8E2F4-4C2F-4BE2-BEE8-5B133B33A0BF}"/>
    <cellStyle name="Comma 258" xfId="2500" xr:uid="{1EE08BE2-D40F-4E76-B875-F727C5B4901D}"/>
    <cellStyle name="Comma 259" xfId="2501" xr:uid="{E3109BB4-0116-4832-8A7F-781DD253F723}"/>
    <cellStyle name="Comma 26" xfId="130" xr:uid="{57488719-751E-4EF6-9B59-2F7DD0F020A7}"/>
    <cellStyle name="Comma 26 10" xfId="2314" xr:uid="{FDB5B620-10A8-41AB-B7CE-0A0DAE757C05}"/>
    <cellStyle name="Comma 26 11" xfId="2275" xr:uid="{45AAF72C-D03B-4223-B52A-94623B6FA2CD}"/>
    <cellStyle name="Comma 26 12" xfId="2302" xr:uid="{D1D065F8-F6A8-453A-B086-DA98089ECCB3}"/>
    <cellStyle name="Comma 26 13" xfId="2389" xr:uid="{05E119CC-5A0E-4002-8FBF-9BE6553443C7}"/>
    <cellStyle name="Comma 26 14" xfId="2332" xr:uid="{13C51FF6-DF0C-4DC9-9C89-F8846B16194E}"/>
    <cellStyle name="Comma 26 15" xfId="2368" xr:uid="{40063789-DAA1-4BE3-94CE-97F3F1627D36}"/>
    <cellStyle name="Comma 26 16" xfId="2381" xr:uid="{E6FA8DE1-03F1-479B-B629-33A700759551}"/>
    <cellStyle name="Comma 26 17" xfId="2374" xr:uid="{09D147B5-7A2E-41FD-8F31-5AEB099982D2}"/>
    <cellStyle name="Comma 26 18" xfId="935" xr:uid="{C2C86EA7-92C3-4E43-A317-183897FAB281}"/>
    <cellStyle name="Comma 26 2" xfId="1830" xr:uid="{00EBA7DC-87E1-4B43-92FB-99F08E191859}"/>
    <cellStyle name="Comma 26 3" xfId="1852" xr:uid="{E93F7248-52A9-456F-9037-4250033B93AF}"/>
    <cellStyle name="Comma 26 4" xfId="2224" xr:uid="{CF1906E6-1FA4-4709-BD23-66728E3D85A6}"/>
    <cellStyle name="Comma 26 5" xfId="2168" xr:uid="{5C729375-2157-4DF8-BF1A-6B02027E2BAC}"/>
    <cellStyle name="Comma 26 6" xfId="2205" xr:uid="{F04E54F0-3CF6-4CC3-AB74-D4A7D8D81D92}"/>
    <cellStyle name="Comma 26 7" xfId="2213" xr:uid="{7091A1E2-5280-4AE8-92D3-58E0E4067FB7}"/>
    <cellStyle name="Comma 26 8" xfId="2225" xr:uid="{2907D1B1-E84E-40C4-98BD-A58CEF16089D}"/>
    <cellStyle name="Comma 26 9" xfId="2232" xr:uid="{5D3ACBBC-9ADF-4B44-8395-1D3022B2D13B}"/>
    <cellStyle name="Comma 260" xfId="2502" xr:uid="{ED9D4F07-17BD-4FCC-AE90-36905287833F}"/>
    <cellStyle name="Comma 261" xfId="2503" xr:uid="{092BC01C-4B3C-4516-98F7-A59A46D108F3}"/>
    <cellStyle name="Comma 262" xfId="2504" xr:uid="{5256E56E-98B5-4DBB-890A-7E275E6FFFE8}"/>
    <cellStyle name="Comma 263" xfId="2505" xr:uid="{589A5AE6-1A93-41A9-9890-90EBCE51D6C7}"/>
    <cellStyle name="Comma 264" xfId="2506" xr:uid="{87933B28-CE60-4C66-8F2F-A6124CC14706}"/>
    <cellStyle name="Comma 265" xfId="2507" xr:uid="{1F042C7F-B0CC-4D05-AD82-66942CDCD075}"/>
    <cellStyle name="Comma 266" xfId="2508" xr:uid="{B68E97B6-AD9B-49CC-AE14-851703DF59F4}"/>
    <cellStyle name="Comma 267" xfId="2509" xr:uid="{7172268A-C659-4440-96CD-EC252EBF4DA0}"/>
    <cellStyle name="Comma 268" xfId="2510" xr:uid="{CC3DFF93-658C-485F-89F0-B7F3CE81CEF1}"/>
    <cellStyle name="Comma 269" xfId="2511" xr:uid="{A59E3246-4F14-4530-8018-F40B61B5A2A6}"/>
    <cellStyle name="Comma 27" xfId="936" xr:uid="{308A157F-06BE-47A6-9361-6DBE98A33C88}"/>
    <cellStyle name="Comma 27 2" xfId="1831" xr:uid="{2D0CECA1-6A12-4536-8EF0-9A22ECD83B6C}"/>
    <cellStyle name="Comma 27 3" xfId="1849" xr:uid="{9D8FB068-F206-4A30-8B05-F9A82A67E7B2}"/>
    <cellStyle name="Comma 270" xfId="2512" xr:uid="{344F03E9-73E5-41A9-A25A-45E2B1FE460E}"/>
    <cellStyle name="Comma 271" xfId="2513" xr:uid="{1D04A1DD-1BC5-4C61-AB9E-20EF337AF640}"/>
    <cellStyle name="Comma 272" xfId="2514" xr:uid="{FA6F72F2-A37F-4AC8-9476-E45ADD58187B}"/>
    <cellStyle name="Comma 273" xfId="2515" xr:uid="{5C5D97AC-C13E-4C0C-B64F-72839D817BA5}"/>
    <cellStyle name="Comma 274" xfId="2516" xr:uid="{B78B9280-FAC7-40A3-B3F9-4A60EAAFC9E0}"/>
    <cellStyle name="Comma 275" xfId="2517" xr:uid="{E80C92EE-3935-4DDD-949B-EE9D3EF633E3}"/>
    <cellStyle name="Comma 276" xfId="2518" xr:uid="{2B9587D0-037B-4194-8E9D-DD4273931871}"/>
    <cellStyle name="Comma 277" xfId="2519" xr:uid="{8CDDCCAB-845C-4A23-B23D-015349585BC8}"/>
    <cellStyle name="Comma 278" xfId="2520" xr:uid="{98A3F56F-EB8B-486D-9D21-4FFA1D998B28}"/>
    <cellStyle name="Comma 279" xfId="2521" xr:uid="{A1A9D560-DC9A-490C-8579-F1CE5EE817BE}"/>
    <cellStyle name="Comma 28" xfId="155" xr:uid="{2494CCA7-6439-4F54-AD85-2FF50FA8F78D}"/>
    <cellStyle name="Comma 28 10" xfId="2320" xr:uid="{9DD66D0C-359C-4EFF-8114-4AAA63DC6D6D}"/>
    <cellStyle name="Comma 28 11" xfId="2277" xr:uid="{9068FA98-C5D4-4D54-A1C9-704A19BF9854}"/>
    <cellStyle name="Comma 28 12" xfId="2311" xr:uid="{B9BFC3AC-6B86-4FCF-8985-393D1D365E17}"/>
    <cellStyle name="Comma 28 13" xfId="2396" xr:uid="{86494F86-391B-4E3F-AADA-B8230F53D3F9}"/>
    <cellStyle name="Comma 28 14" xfId="2335" xr:uid="{3382B159-FA0E-45D2-A92D-AB70566DD7D9}"/>
    <cellStyle name="Comma 28 15" xfId="2385" xr:uid="{2241352E-C8BF-4303-AD1F-F92E2618428B}"/>
    <cellStyle name="Comma 28 16" xfId="2372" xr:uid="{B2364C1F-B55D-43D2-A779-82D5E26EA37E}"/>
    <cellStyle name="Comma 28 17" xfId="2377" xr:uid="{0DCA44BD-D8D4-4EFD-8EFB-89D13D25988E}"/>
    <cellStyle name="Comma 28 18" xfId="937" xr:uid="{C359515B-1852-4181-8A2B-CC3C8EF282D1}"/>
    <cellStyle name="Comma 28 2" xfId="1833" xr:uid="{70619ADD-9933-42BA-B3B4-093901829E9C}"/>
    <cellStyle name="Comma 28 3" xfId="1847" xr:uid="{7986C124-6C49-4837-9252-E57AE793E1DB}"/>
    <cellStyle name="Comma 28 4" xfId="2233" xr:uid="{A4BA8197-49AF-4A4D-8BC5-8CE6DBA0A24E}"/>
    <cellStyle name="Comma 28 5" xfId="2244" xr:uid="{7284FE4E-B794-4DDE-878F-584DFE7ED258}"/>
    <cellStyle name="Comma 28 6" xfId="2218" xr:uid="{69ACB9E1-7102-4E2F-A9B9-67C55F91A14F}"/>
    <cellStyle name="Comma 28 7" xfId="2208" xr:uid="{B40A95AD-36C6-4235-96E9-A74D3B93A647}"/>
    <cellStyle name="Comma 28 8" xfId="2190" xr:uid="{2DE7AC56-23FC-4CA3-80C8-FAB06A96D44B}"/>
    <cellStyle name="Comma 28 9" xfId="2210" xr:uid="{2AA9A9C7-C8CA-4FAE-946B-AE8B0BDE5D94}"/>
    <cellStyle name="Comma 280" xfId="2522" xr:uid="{FA7C9229-D3CF-494C-8A69-F5C032A6FCC9}"/>
    <cellStyle name="Comma 281" xfId="2523" xr:uid="{ED8EF34C-B53D-43F9-872E-249C75E71B01}"/>
    <cellStyle name="Comma 282" xfId="2524" xr:uid="{35A97D5E-B0A3-4430-A24B-7942BC1A8551}"/>
    <cellStyle name="Comma 283" xfId="2525" xr:uid="{30A99D4A-8A62-48B7-AFD0-56C49D460F81}"/>
    <cellStyle name="Comma 284" xfId="2526" xr:uid="{2E33554A-B0BE-44E0-99BE-4FD9C44C0983}"/>
    <cellStyle name="Comma 285" xfId="2527" xr:uid="{E7E27CCF-D5ED-4733-945A-93A256840063}"/>
    <cellStyle name="Comma 286" xfId="2528" xr:uid="{7649339E-D7D3-46E2-BA43-6D892913FD72}"/>
    <cellStyle name="Comma 287" xfId="2529" xr:uid="{EBCC600B-17AB-4275-A6CC-D2265BBA279F}"/>
    <cellStyle name="Comma 288" xfId="2530" xr:uid="{B0EC48CB-3D4D-412B-8C65-CD99B5DAF888}"/>
    <cellStyle name="Comma 289" xfId="2531" xr:uid="{A7822B36-B397-4964-AB77-E5AFC861BB05}"/>
    <cellStyle name="Comma 29" xfId="938" xr:uid="{E8115C1A-3EE0-4E67-9970-D65D20C0B907}"/>
    <cellStyle name="Comma 29 2" xfId="1834" xr:uid="{371D6EDE-8FE3-4DF3-9E4B-C341D6727642}"/>
    <cellStyle name="Comma 29 3" xfId="1844" xr:uid="{9E4EECF1-3967-45B5-9B6A-DE611518DA5F}"/>
    <cellStyle name="Comma 290" xfId="2532" xr:uid="{B97B9AE6-B1DF-4CC1-98D8-834B450E6694}"/>
    <cellStyle name="Comma 291" xfId="2533" xr:uid="{66CA5778-4386-4E32-A9A1-838926BD0D84}"/>
    <cellStyle name="Comma 292" xfId="2534" xr:uid="{15950077-1B95-4DD4-B758-E453A967BC14}"/>
    <cellStyle name="Comma 293" xfId="2535" xr:uid="{58A289D6-60E5-459B-9977-28D51E05BC1C}"/>
    <cellStyle name="Comma 294" xfId="2536" xr:uid="{6F321715-718B-48B8-A876-1DD8F4A5577D}"/>
    <cellStyle name="Comma 295" xfId="2537" xr:uid="{6DC9CF37-414D-4E83-9AF4-B2D6631C56D0}"/>
    <cellStyle name="Comma 296" xfId="2538" xr:uid="{E0AC2E3B-CCB7-4CB3-9F68-C381C23A7F10}"/>
    <cellStyle name="Comma 297" xfId="2539" xr:uid="{19EE54E2-26D0-4FF9-9158-95DEA4161D89}"/>
    <cellStyle name="Comma 298" xfId="2540" xr:uid="{5F3444BE-F639-42B6-8514-4F0195C221AD}"/>
    <cellStyle name="Comma 299" xfId="2541" xr:uid="{43F12A6E-0F5C-4C0D-B202-DB9F5DDA6B30}"/>
    <cellStyle name="Comma 3" xfId="171" xr:uid="{695EDFD7-43B0-4C42-AD59-1F86FAC0F8B9}"/>
    <cellStyle name="Comma 3 10" xfId="940" xr:uid="{7D7A6287-9A33-4163-B3A6-68758EEFEAE9}"/>
    <cellStyle name="Comma 3 11" xfId="941" xr:uid="{8A2ADF25-F177-4EF2-9CE0-63364338C843}"/>
    <cellStyle name="Comma 3 12" xfId="942" xr:uid="{A125422D-12F0-4F15-BA8D-93D36B1E68FC}"/>
    <cellStyle name="Comma 3 13" xfId="943" xr:uid="{E1865D29-5E78-4B2D-B098-E4524446D653}"/>
    <cellStyle name="Comma 3 14" xfId="944" xr:uid="{8C8332B7-348A-4CB1-A5CC-7A1DD16F776D}"/>
    <cellStyle name="Comma 3 15" xfId="1710" xr:uid="{20606323-F9BA-45AF-97A7-193144A80248}"/>
    <cellStyle name="Comma 3 15 2" xfId="1804" xr:uid="{D6149D42-35B8-4547-ACEF-A7B4AC5CB935}"/>
    <cellStyle name="Comma 3 16" xfId="1913" xr:uid="{B586FAD8-AEA5-47A3-8E5D-910B1894AC29}"/>
    <cellStyle name="Comma 3 17" xfId="253" xr:uid="{FC067438-8CCB-4531-BB82-2316BFC84AB0}"/>
    <cellStyle name="Comma 3 18" xfId="2452" xr:uid="{93F24F24-1BC2-4DA0-8074-028DFCD96DDA}"/>
    <cellStyle name="Comma 3 2" xfId="178" xr:uid="{8EE801CE-221A-434A-8545-E0ED2BDAED8F}"/>
    <cellStyle name="Comma 3 2 2" xfId="939" xr:uid="{C5F92F47-8598-47C9-8323-C0C0B9053582}"/>
    <cellStyle name="Comma 3 2 2 2" xfId="945" xr:uid="{E4E93E68-204C-44B3-8174-896508704D8A}"/>
    <cellStyle name="Comma 3 2 2 2 2" xfId="946" xr:uid="{4B94A333-E7ED-4D65-9D8B-2C887ACE92CB}"/>
    <cellStyle name="Comma 3 2 2 2 2 2" xfId="947" xr:uid="{F9B91892-D501-4A7E-95AF-7719FD2AD6A6}"/>
    <cellStyle name="Comma 3 2 2 2 2 3" xfId="1797" xr:uid="{78FD160D-2643-4F6E-A7D4-A12A44068AB8}"/>
    <cellStyle name="Comma 3 2 2 2 3" xfId="1796" xr:uid="{3CCADAA0-0248-4B5B-9AE1-538795BA2D7C}"/>
    <cellStyle name="Comma 3 2 2 3" xfId="948" xr:uid="{7BD178D0-8E09-48DA-87E2-0054D79D55B8}"/>
    <cellStyle name="Comma 3 2 2 4" xfId="1795" xr:uid="{EBA3F1C1-940E-4F69-8EC0-B6CE330BDA75}"/>
    <cellStyle name="Comma 3 2 3" xfId="949" xr:uid="{84F11CF1-27F7-47C7-B0CE-9F4D75053010}"/>
    <cellStyle name="Comma 3 2 3 2" xfId="950" xr:uid="{9E8BF412-00E3-4B2B-BFE3-CBA12D51EDAF}"/>
    <cellStyle name="Comma 3 2 3 3" xfId="951" xr:uid="{6B573D5D-6997-41EF-95D3-094227C7D3BE}"/>
    <cellStyle name="Comma 3 2 4" xfId="952" xr:uid="{A4A6B980-2D12-4975-9824-BE8ADFE6034B}"/>
    <cellStyle name="Comma 3 2 5" xfId="953" xr:uid="{1B37CD4C-E904-40F6-92F4-75E1A31F34EC}"/>
    <cellStyle name="Comma 3 2 6" xfId="954" xr:uid="{D67E3123-190C-4BC1-B5C7-6046A690F37E}"/>
    <cellStyle name="Comma 3 2 7" xfId="1794" xr:uid="{E60EB7C5-CD94-4A7C-AD03-E36087A8369B}"/>
    <cellStyle name="Comma 3 2 8" xfId="260" xr:uid="{F62B45CD-04C1-4722-93EC-20A5E8308280}"/>
    <cellStyle name="Comma 3 3" xfId="955" xr:uid="{799470DB-94BC-4ECE-92BE-869457CC7539}"/>
    <cellStyle name="Comma 3 3 2" xfId="956" xr:uid="{36A4C015-CDDE-4255-A32C-808B9F639ECA}"/>
    <cellStyle name="Comma 3 3 2 2" xfId="957" xr:uid="{E60FBCE2-84A1-43E7-A6E7-045413FFB6D6}"/>
    <cellStyle name="Comma 3 3 2 3" xfId="958" xr:uid="{0F5E8F45-417B-4B94-BE32-A5575BEE3E39}"/>
    <cellStyle name="Comma 3 3 3" xfId="959" xr:uid="{3EDB624B-5C20-4F87-8B03-5A457729FAE5}"/>
    <cellStyle name="Comma 3 3 3 2" xfId="960" xr:uid="{64039BEA-2CC8-4E61-BCAD-51F06CB590F8}"/>
    <cellStyle name="Comma 3 3 3 3" xfId="961" xr:uid="{45352291-CE9A-4D78-83CB-2F4ACCBDDF9F}"/>
    <cellStyle name="Comma 3 3 4" xfId="962" xr:uid="{0223BFFA-998B-4D66-9ABA-1DFEAB745E88}"/>
    <cellStyle name="Comma 3 3 5" xfId="963" xr:uid="{48CAD0FF-A1FA-4237-A17B-569F5DCE80E7}"/>
    <cellStyle name="Comma 3 3 6" xfId="964" xr:uid="{BC4CCA3B-4280-45CF-AE90-72992D03FC10}"/>
    <cellStyle name="Comma 3 4" xfId="965" xr:uid="{50CC91EA-0818-452D-A05E-5ADB8489592A}"/>
    <cellStyle name="Comma 3 4 2" xfId="966" xr:uid="{60B9207F-BD13-4DC5-A36E-01C61C37AB2F}"/>
    <cellStyle name="Comma 3 4 2 2" xfId="967" xr:uid="{3995AD58-DF2B-4CE9-80B0-0DE11692E1BB}"/>
    <cellStyle name="Comma 3 4 2 3" xfId="968" xr:uid="{2E9602B3-C348-43BF-9BD1-9DD2CAAFA4ED}"/>
    <cellStyle name="Comma 3 4 3" xfId="969" xr:uid="{E15C3A4E-EAD1-461E-AAF5-EE7322AA302F}"/>
    <cellStyle name="Comma 3 4 3 2" xfId="970" xr:uid="{332E2F0E-5437-4C01-9819-35E14FEFCF0E}"/>
    <cellStyle name="Comma 3 4 3 3" xfId="971" xr:uid="{621277A0-96BB-4C3E-B0B0-5E39CDE2DB89}"/>
    <cellStyle name="Comma 3 4 4" xfId="972" xr:uid="{E42F182E-E3AA-48A3-A25C-982E25F94574}"/>
    <cellStyle name="Comma 3 4 5" xfId="973" xr:uid="{515AEE10-326D-4586-B232-E2D2AFDE305B}"/>
    <cellStyle name="Comma 3 4 6" xfId="974" xr:uid="{48295E32-023B-4E63-B2E1-95E791042471}"/>
    <cellStyle name="Comma 3 5" xfId="975" xr:uid="{A70F344D-01CA-4848-A7C8-61F6EEAEE4B5}"/>
    <cellStyle name="Comma 3 5 2" xfId="976" xr:uid="{CF7C4258-EAF6-4993-BED6-CC3B033BB2F7}"/>
    <cellStyle name="Comma 3 5 2 2" xfId="977" xr:uid="{BE603DC6-BA4B-4631-AD13-59B089214267}"/>
    <cellStyle name="Comma 3 5 2 3" xfId="978" xr:uid="{FB07AA5F-2F05-48DD-B5C6-8FBA6979F41B}"/>
    <cellStyle name="Comma 3 5 3" xfId="979" xr:uid="{D0D52C3D-72A2-447B-B96E-F645D3749A76}"/>
    <cellStyle name="Comma 3 5 3 2" xfId="980" xr:uid="{4C4536E0-49C9-4557-A713-0EC4ED309240}"/>
    <cellStyle name="Comma 3 5 3 3" xfId="981" xr:uid="{E81C32C4-AF3E-4290-884B-33388895BC2A}"/>
    <cellStyle name="Comma 3 5 4" xfId="982" xr:uid="{B455A94D-779C-4E78-A6BE-4017D7F16EBF}"/>
    <cellStyle name="Comma 3 5 5" xfId="983" xr:uid="{FE6BCC69-ED16-4BA3-ABD1-79985CD66FDD}"/>
    <cellStyle name="Comma 3 5 6" xfId="984" xr:uid="{E79F896F-496E-4089-8D09-95C22E9587B0}"/>
    <cellStyle name="Comma 3 6" xfId="985" xr:uid="{7EDBE230-5F12-48FC-852B-3314B54DBD11}"/>
    <cellStyle name="Comma 3 7" xfId="986" xr:uid="{3666335A-C4FB-41DF-966E-A0E6DAFD0CC8}"/>
    <cellStyle name="Comma 3 8" xfId="987" xr:uid="{20A0A88B-38B7-420F-9DCD-A44D1382BC28}"/>
    <cellStyle name="Comma 3 9" xfId="988" xr:uid="{ECA9CE3D-3DB2-4EEA-B244-EF6D23054F55}"/>
    <cellStyle name="Comma 30" xfId="989" xr:uid="{31543721-7890-46BD-B096-71923A874566}"/>
    <cellStyle name="Comma 30 2" xfId="1836" xr:uid="{B3C65E7E-1B68-4611-8B54-6CA6F2CE10E0}"/>
    <cellStyle name="Comma 30 3" xfId="1841" xr:uid="{01E7D0CB-4A00-4715-A0D1-314F87EBCFB2}"/>
    <cellStyle name="Comma 300" xfId="2542" xr:uid="{BDAD1009-1EBF-40DC-AAA6-356113D776DF}"/>
    <cellStyle name="Comma 301" xfId="2543" xr:uid="{802EEAC6-5220-4D3C-B6BE-AB62102BBAEE}"/>
    <cellStyle name="Comma 302" xfId="2544" xr:uid="{8A648B60-8569-45F9-BAA2-FFD449533178}"/>
    <cellStyle name="Comma 303" xfId="2545" xr:uid="{CD56028D-7914-43E3-B8C2-DFA0A431FD41}"/>
    <cellStyle name="Comma 304" xfId="2546" xr:uid="{ACD8354B-C788-46DE-AB7F-661470DB0A81}"/>
    <cellStyle name="Comma 305" xfId="2547" xr:uid="{65F214F1-3F3A-4273-B802-2EB958EFD6CE}"/>
    <cellStyle name="Comma 306" xfId="2548" xr:uid="{A1A1AB90-E6EA-43E8-97F5-E2798DFCC31C}"/>
    <cellStyle name="Comma 307" xfId="2549" xr:uid="{75C34FBE-C2DA-4BA0-B9DA-D2EA7437C5C7}"/>
    <cellStyle name="Comma 308" xfId="2550" xr:uid="{C22C37AF-CCEF-4BAD-8A01-8BD5AFE19A99}"/>
    <cellStyle name="Comma 309" xfId="2551" xr:uid="{95DD1CEC-6355-4210-A402-102DBC13E071}"/>
    <cellStyle name="Comma 31" xfId="990" xr:uid="{77EF57D6-CF36-4187-9B66-456174CB0B5C}"/>
    <cellStyle name="Comma 31 2" xfId="1837" xr:uid="{A7791F90-15FF-4FA8-ADF6-3FEF68914D8E}"/>
    <cellStyle name="Comma 31 3" xfId="1838" xr:uid="{AD80AD3D-0901-47D0-9F2F-385CFEBFD9A0}"/>
    <cellStyle name="Comma 310" xfId="2552" xr:uid="{7FC676C1-07F5-49E8-959F-E40E93DF3367}"/>
    <cellStyle name="Comma 311" xfId="2553" xr:uid="{4F1CA3FC-E9A6-4B30-981E-7E98E25396C5}"/>
    <cellStyle name="Comma 312" xfId="2554" xr:uid="{FA7B18F7-225E-4C3D-9A84-1E38A9343BB1}"/>
    <cellStyle name="Comma 313" xfId="2555" xr:uid="{E4C5AD81-1C83-4C34-A3EE-B6A5A6EA956C}"/>
    <cellStyle name="Comma 314" xfId="2556" xr:uid="{A3E05052-1DCF-4DB9-80B1-D96B07919903}"/>
    <cellStyle name="Comma 315" xfId="2557" xr:uid="{5E897D51-BF82-4203-849A-C89D95C96F64}"/>
    <cellStyle name="Comma 316" xfId="2558" xr:uid="{55BCFD2F-6F73-4459-8961-BA907CB9AF86}"/>
    <cellStyle name="Comma 317" xfId="2559" xr:uid="{866870FB-1234-471F-B74D-AE564B40BEB2}"/>
    <cellStyle name="Comma 318" xfId="2560" xr:uid="{ABB62C43-8E3A-4C65-A8E9-EAB2E8C75A41}"/>
    <cellStyle name="Comma 319" xfId="2561" xr:uid="{FB0CCAD3-6A51-45D9-A137-0B36A09752A2}"/>
    <cellStyle name="Comma 32" xfId="991" xr:uid="{5193990E-EE71-491D-8209-6B2FC31A590E}"/>
    <cellStyle name="Comma 32 2" xfId="1839" xr:uid="{8315989B-34EC-4CE5-8343-0DDC2A1DDB3C}"/>
    <cellStyle name="Comma 32 3" xfId="1835" xr:uid="{2DDB0411-37B9-498D-A290-1C624A0235A4}"/>
    <cellStyle name="Comma 320" xfId="2562" xr:uid="{CE74DF57-8448-43F7-8EBD-B4C66C940337}"/>
    <cellStyle name="Comma 321" xfId="2563" xr:uid="{F35EC558-9596-46A2-833C-86B9BE9F5D76}"/>
    <cellStyle name="Comma 322" xfId="2564" xr:uid="{A5B243FC-8B52-4750-831C-0C5392A1717A}"/>
    <cellStyle name="Comma 323" xfId="2565" xr:uid="{8C8C03CB-4C03-481D-851E-2E7965610B73}"/>
    <cellStyle name="Comma 324" xfId="2566" xr:uid="{73AAAF78-25B1-4174-8010-09D1D71E0CBF}"/>
    <cellStyle name="Comma 325" xfId="2567" xr:uid="{38A3707D-2DBE-4600-850C-99B638B99E07}"/>
    <cellStyle name="Comma 326" xfId="2568" xr:uid="{DDB0B521-BE26-44E1-9D54-C9430C0AB5E9}"/>
    <cellStyle name="Comma 327" xfId="2569" xr:uid="{4E658DC5-7101-4CFA-94EB-A5FAFE673B06}"/>
    <cellStyle name="Comma 328" xfId="2570" xr:uid="{C19FC28A-DB89-4118-8A36-B83D33A59F52}"/>
    <cellStyle name="Comma 329" xfId="2571" xr:uid="{A22650A3-77AE-49C8-A99E-286E7D9C6A37}"/>
    <cellStyle name="Comma 33" xfId="992" xr:uid="{2EA5A262-D7B0-493A-9091-EE5BB62FBC64}"/>
    <cellStyle name="Comma 33 2" xfId="1840" xr:uid="{0E2A3C5F-E78B-475A-9630-A6CC12B8E2DC}"/>
    <cellStyle name="Comma 33 3" xfId="1862" xr:uid="{C0E55933-B06D-4B8C-8FB1-B4CB1515BE52}"/>
    <cellStyle name="Comma 330" xfId="2572" xr:uid="{A84DAFF5-FD30-4771-9F62-2B44A2B55778}"/>
    <cellStyle name="Comma 331" xfId="2573" xr:uid="{7B0DA612-C6C5-4FBA-817E-632CE63A55A8}"/>
    <cellStyle name="Comma 332" xfId="2574" xr:uid="{682AC3F5-5935-45C8-A323-7E9E2EE418FC}"/>
    <cellStyle name="Comma 333" xfId="2575" xr:uid="{DE005824-9C3F-4DDA-B05D-C5686BD98D6C}"/>
    <cellStyle name="Comma 334" xfId="2576" xr:uid="{B21C3E20-EA4F-49E5-9266-18F630AC1213}"/>
    <cellStyle name="Comma 335" xfId="2577" xr:uid="{5476C283-2B7B-488C-9490-9635806B6E89}"/>
    <cellStyle name="Comma 336" xfId="2578" xr:uid="{9AA15E65-636E-4816-A2E3-64FC02D06385}"/>
    <cellStyle name="Comma 337" xfId="2579" xr:uid="{A113CCBD-0A72-4F1B-8492-95D988CCBE86}"/>
    <cellStyle name="Comma 338" xfId="2580" xr:uid="{1332CD36-3182-4DAE-8AF2-54BAE5E27C13}"/>
    <cellStyle name="Comma 339" xfId="2581" xr:uid="{C37EDC2E-00A6-4C64-AE1C-69FAB903B2BA}"/>
    <cellStyle name="Comma 34" xfId="993" xr:uid="{FF41F681-B08F-4995-9896-FAD1ED1D5782}"/>
    <cellStyle name="Comma 34 2" xfId="1842" xr:uid="{0C9B5A4F-7658-4125-8071-0E235AA337BD}"/>
    <cellStyle name="Comma 34 3" xfId="1832" xr:uid="{B78CE091-02DA-483B-A748-E7C37E2E9363}"/>
    <cellStyle name="Comma 340" xfId="2582" xr:uid="{E0E755C2-90E3-49D8-B0DA-779DEFE8D9BE}"/>
    <cellStyle name="Comma 341" xfId="2583" xr:uid="{166FF3EE-A9F7-40DD-8BAD-4C2D9262299B}"/>
    <cellStyle name="Comma 342" xfId="2584" xr:uid="{65FFFCC5-7FE8-490B-890B-AC2AFC0AF90F}"/>
    <cellStyle name="Comma 343" xfId="2585" xr:uid="{29F8756C-FE2C-40FC-B5D8-516D00211A6D}"/>
    <cellStyle name="Comma 344" xfId="2586" xr:uid="{C004B76C-75B7-402F-977B-11A0BC192EBF}"/>
    <cellStyle name="Comma 345" xfId="2587" xr:uid="{5DA022BA-97D2-43AA-96AA-9262D52F5419}"/>
    <cellStyle name="Comma 346" xfId="2588" xr:uid="{D3180F2B-6811-44B5-A403-7C1C9B61DBDE}"/>
    <cellStyle name="Comma 347" xfId="2589" xr:uid="{28BCBC7E-11F1-409D-85A4-599F6DBD0918}"/>
    <cellStyle name="Comma 348" xfId="2590" xr:uid="{9CF6CDBE-0519-4331-8215-718E29B1049E}"/>
    <cellStyle name="Comma 349" xfId="2591" xr:uid="{278D2183-B6D2-4D46-9FA9-50C2B1392D78}"/>
    <cellStyle name="Comma 35" xfId="994" xr:uid="{43C5328E-9281-486E-BBDB-A8B3D2F737B6}"/>
    <cellStyle name="Comma 35 2" xfId="1843" xr:uid="{5E9925A8-6474-4861-9407-1D21E2660BE2}"/>
    <cellStyle name="Comma 35 3" xfId="1829" xr:uid="{AA03119D-92EE-4F45-AB95-563C0D2FC2A7}"/>
    <cellStyle name="Comma 350" xfId="2592" xr:uid="{0E8F9F31-5030-4124-BAFE-662B35DEE1B0}"/>
    <cellStyle name="Comma 351" xfId="2593" xr:uid="{75D1E223-8AA3-41FB-92D7-CA15DD8BE287}"/>
    <cellStyle name="Comma 352" xfId="2594" xr:uid="{9A656AC4-EEA0-4AC7-8301-C78A2C40B00C}"/>
    <cellStyle name="Comma 353" xfId="2595" xr:uid="{B45A0342-63C2-422B-96ED-6DFA49DBEE20}"/>
    <cellStyle name="Comma 354" xfId="2596" xr:uid="{6BC67185-0DFC-4D94-9EFE-4F541E7C042A}"/>
    <cellStyle name="Comma 355" xfId="2597" xr:uid="{83585184-0E59-44AD-9263-FD3FF8BD2751}"/>
    <cellStyle name="Comma 356" xfId="2598" xr:uid="{B8C45D5C-493D-4FD5-93FB-1FD406287EC1}"/>
    <cellStyle name="Comma 357" xfId="2599" xr:uid="{07F640FD-EF19-4B08-B7FC-D453A91BBD64}"/>
    <cellStyle name="Comma 358" xfId="2600" xr:uid="{68D501B2-EAC5-4BAC-80BB-7260C606E36A}"/>
    <cellStyle name="Comma 359" xfId="2601" xr:uid="{E5C4537D-5BD6-4F00-8345-2FAA24DF4269}"/>
    <cellStyle name="Comma 36" xfId="995" xr:uid="{99E24688-A7DF-4225-A0E5-3894BFFB29F1}"/>
    <cellStyle name="Comma 36 2" xfId="1845" xr:uid="{DF3A44FC-EFE8-4C04-9A56-E01473A897CC}"/>
    <cellStyle name="Comma 36 3" xfId="1827" xr:uid="{BB3E0314-C847-4AD0-8BD8-0D06F392B851}"/>
    <cellStyle name="Comma 360" xfId="2602" xr:uid="{13300DC2-5A95-495F-8E91-EBAA6814E81F}"/>
    <cellStyle name="Comma 361" xfId="2603" xr:uid="{F383B8B5-7828-4C5A-9F6E-C1743D6D45C9}"/>
    <cellStyle name="Comma 362" xfId="2604" xr:uid="{27223E39-0610-44F9-94B0-A69FE5D7CAD9}"/>
    <cellStyle name="Comma 363" xfId="2605" xr:uid="{7D99EFA3-9A5A-4CCF-A489-F87A664C8BE1}"/>
    <cellStyle name="Comma 364" xfId="2606" xr:uid="{266F4D4C-7555-4D5D-8511-0A3879EE8431}"/>
    <cellStyle name="Comma 365" xfId="2607" xr:uid="{7CB19266-5D37-4BC0-9999-A2668B1A1104}"/>
    <cellStyle name="Comma 366" xfId="2608" xr:uid="{2DDE93BF-8AFD-4CAD-9904-3C5B39BF0E6F}"/>
    <cellStyle name="Comma 367" xfId="2609" xr:uid="{48536AC2-8C08-4B62-A688-B52493DDDFF7}"/>
    <cellStyle name="Comma 368" xfId="2610" xr:uid="{9EC9025D-A4A2-4741-9E5A-0CBDC2007077}"/>
    <cellStyle name="Comma 369" xfId="2611" xr:uid="{5F849FE7-CAC9-4516-A75A-683DEBE45642}"/>
    <cellStyle name="Comma 37" xfId="996" xr:uid="{4ADCE0C4-25C4-43BE-A62B-585D6D4E320B}"/>
    <cellStyle name="Comma 37 2" xfId="1846" xr:uid="{863D392E-E659-4571-AA96-59E6A75FBA84}"/>
    <cellStyle name="Comma 37 3" xfId="1826" xr:uid="{28DB6AE3-99E4-4F5A-A5BB-A1C4483A69BD}"/>
    <cellStyle name="Comma 370" xfId="2612" xr:uid="{AFFCB56B-D276-4E42-B536-DEA31560A2C7}"/>
    <cellStyle name="Comma 371" xfId="2613" xr:uid="{C0DBD0F5-7F1E-4A91-B40A-F6BD6F159842}"/>
    <cellStyle name="Comma 372" xfId="2614" xr:uid="{F1B80385-3F1D-48BF-B78A-86B65888ABA2}"/>
    <cellStyle name="Comma 373" xfId="2615" xr:uid="{0DA7FBDE-5B9A-44DC-8188-D53CC813E847}"/>
    <cellStyle name="Comma 374" xfId="2616" xr:uid="{9AD7EC84-BBFE-476D-8F7D-A370EDF48344}"/>
    <cellStyle name="Comma 375" xfId="2617" xr:uid="{C1B88397-09BD-4A79-A3CA-D8E1A5B0201E}"/>
    <cellStyle name="Comma 376" xfId="2618" xr:uid="{8992F19B-B2F3-4D74-B9E2-0C6BE832930B}"/>
    <cellStyle name="Comma 377" xfId="2619" xr:uid="{6277CB15-A41E-4152-825C-BD901A827431}"/>
    <cellStyle name="Comma 378" xfId="2620" xr:uid="{851C6B4D-4F83-487F-9C85-5B2EAD672B5E}"/>
    <cellStyle name="Comma 379" xfId="2621" xr:uid="{B58D1A56-BB41-41FA-84EE-083DFB74A993}"/>
    <cellStyle name="Comma 38" xfId="997" xr:uid="{4B375194-CF9A-431D-A906-001F17E8C2B0}"/>
    <cellStyle name="Comma 38 2" xfId="1848" xr:uid="{C3DCB6F3-0FA2-4DC4-A7EA-E4165DD45C94}"/>
    <cellStyle name="Comma 38 3" xfId="1824" xr:uid="{D77B13B7-55E6-4665-A299-830FC2394D47}"/>
    <cellStyle name="Comma 380" xfId="2622" xr:uid="{6EF9BFF9-A485-46D0-8023-CE4E45FFEF87}"/>
    <cellStyle name="Comma 381" xfId="2623" xr:uid="{22083644-2553-485F-A42D-BB78CE4D450B}"/>
    <cellStyle name="Comma 382" xfId="2624" xr:uid="{822F417E-27C9-413C-95A8-7D6AFDB2E874}"/>
    <cellStyle name="Comma 383" xfId="2625" xr:uid="{1B2535C8-3D2F-46F3-A3B8-B621738C57A9}"/>
    <cellStyle name="Comma 384" xfId="2626" xr:uid="{A35D82B6-4D38-4039-8288-B8BDEF0E6196}"/>
    <cellStyle name="Comma 385" xfId="2627" xr:uid="{12033899-867A-4CE8-BDF1-767B206D3DE0}"/>
    <cellStyle name="Comma 386" xfId="2628" xr:uid="{F907CDC7-9DDB-42B9-9C91-BBECA9E8E295}"/>
    <cellStyle name="Comma 387" xfId="2629" xr:uid="{5A7EB5B6-0F32-4A4C-A5E4-77CC670F948C}"/>
    <cellStyle name="Comma 388" xfId="2630" xr:uid="{3A905F0B-EE9F-48D9-99B8-2AADFC1ADFB1}"/>
    <cellStyle name="Comma 389" xfId="2631" xr:uid="{4328CE46-1C18-42C5-96EC-6872C8B518AF}"/>
    <cellStyle name="Comma 39" xfId="998" xr:uid="{3C8B1E60-E832-45FB-A1D5-2623BE72F422}"/>
    <cellStyle name="Comma 39 2" xfId="1850" xr:uid="{C8CDE911-1FE9-4D8E-BC3E-815FA7AE6AE5}"/>
    <cellStyle name="Comma 39 3" xfId="1861" xr:uid="{57D15742-7BC5-4B65-84F8-C117AC3DE61D}"/>
    <cellStyle name="Comma 390" xfId="2632" xr:uid="{0F080D58-84CC-48CF-800A-EF392C5535F2}"/>
    <cellStyle name="Comma 391" xfId="2633" xr:uid="{43A5A2CB-9A19-4B72-9F7B-F25559B4B611}"/>
    <cellStyle name="Comma 392" xfId="2634" xr:uid="{A7234E08-D5AD-4EA0-BD82-3121BE9E061F}"/>
    <cellStyle name="Comma 393" xfId="2635" xr:uid="{DD907705-F805-4798-B9DA-F2B83C0E8F58}"/>
    <cellStyle name="Comma 394" xfId="2636" xr:uid="{1645A469-006B-4A76-91FA-F833A5193911}"/>
    <cellStyle name="Comma 395" xfId="2637" xr:uid="{7ED4F585-BEBA-43B3-B91F-51D75D7F0529}"/>
    <cellStyle name="Comma 396" xfId="2638" xr:uid="{EEBF6C56-7DF1-4717-9EFA-773DE7E6A4D5}"/>
    <cellStyle name="Comma 397" xfId="2639" xr:uid="{D56FD02E-021E-424F-80C5-5ECA6E185F79}"/>
    <cellStyle name="Comma 398" xfId="2640" xr:uid="{7BC28003-13D5-439B-8B2B-2B0980AAF597}"/>
    <cellStyle name="Comma 399" xfId="2641" xr:uid="{4484EAD4-659D-4391-A32A-467C692B783B}"/>
    <cellStyle name="Comma 4" xfId="172" xr:uid="{5E54710C-7143-43CF-B046-01019F354DEA}"/>
    <cellStyle name="Comma 4 2" xfId="261" xr:uid="{284A3F10-9AEC-433C-8739-533D913515F3}"/>
    <cellStyle name="Comma 4 2 2" xfId="999" xr:uid="{8F0FC1BF-93B4-4529-914A-E4881BA4D585}"/>
    <cellStyle name="Comma 4 2 2 2" xfId="1000" xr:uid="{691025E2-0554-47BC-87C9-46E7E1DAB25B}"/>
    <cellStyle name="Comma 4 2 2 3" xfId="1799" xr:uid="{7C4C8B3A-3AA6-4D76-8A84-93149417BF14}"/>
    <cellStyle name="Comma 4 2 3" xfId="1798" xr:uid="{B92D60B7-407D-4108-BEBD-26D5F15735DD}"/>
    <cellStyle name="Comma 4 3" xfId="1001" xr:uid="{002D7A07-23F1-4926-BFF8-FE5C195DC54C}"/>
    <cellStyle name="Comma 4 4" xfId="1699" xr:uid="{76344959-16BD-4F87-927F-FE7A88B08B99}"/>
    <cellStyle name="Comma 4 4 2" xfId="1805" xr:uid="{095052E2-9D5E-4FE4-A98A-7C48DDDCCB97}"/>
    <cellStyle name="Comma 4 5" xfId="1910" xr:uid="{9D65BFEB-EA4A-42B8-A20C-58C9D700ADF5}"/>
    <cellStyle name="Comma 4 6" xfId="254" xr:uid="{C4761BEA-3575-447E-9905-31F252742954}"/>
    <cellStyle name="Comma 40" xfId="1002" xr:uid="{C3E61512-A45D-40A1-AC57-F2FCD8EA5D5D}"/>
    <cellStyle name="Comma 40 2" xfId="1851" xr:uid="{CAB00DBA-8BDC-48E4-8FF0-E77626BDBDE7}"/>
    <cellStyle name="Comma 40 3" xfId="1822" xr:uid="{80060C0A-7B40-4258-95B1-0D94920356DB}"/>
    <cellStyle name="Comma 400" xfId="2642" xr:uid="{84D5AAD7-7D6D-4B31-AE38-704981C8BB62}"/>
    <cellStyle name="Comma 401" xfId="2643" xr:uid="{0B351C00-781B-4CA3-AE97-CB966A4DD91C}"/>
    <cellStyle name="Comma 402" xfId="2644" xr:uid="{F8219F5E-6354-41A7-BF4E-327EB24102B6}"/>
    <cellStyle name="Comma 403" xfId="2645" xr:uid="{BD289C6C-45DD-4210-B029-71D21F10C509}"/>
    <cellStyle name="Comma 404" xfId="2646" xr:uid="{E2DB1C0A-1619-44F2-AD23-1222D632C1DD}"/>
    <cellStyle name="Comma 405" xfId="2647" xr:uid="{2A0DDF21-F79D-43BE-8D92-B80E87A6B57A}"/>
    <cellStyle name="Comma 406" xfId="2648" xr:uid="{CE286178-030F-4491-9FA8-2DCE3F2F59FB}"/>
    <cellStyle name="Comma 407" xfId="2649" xr:uid="{0EE5E32E-78A1-46F7-9E2A-9DE9644A04ED}"/>
    <cellStyle name="Comma 408" xfId="2650" xr:uid="{D5891DA5-2FDE-4F64-ABB4-1A9C89608A4E}"/>
    <cellStyle name="Comma 409" xfId="2651" xr:uid="{00682E22-8EA0-4C1F-BE7E-ADCD7A0A662E}"/>
    <cellStyle name="Comma 41" xfId="1003" xr:uid="{52C9CA68-195C-4F77-9142-8A36F57F5AD4}"/>
    <cellStyle name="Comma 41 2" xfId="1853" xr:uid="{6544CA17-ED28-4313-A792-7CD6891DB403}"/>
    <cellStyle name="Comma 41 3" xfId="1820" xr:uid="{1924836D-C3F7-4E3D-9F21-1325B38D98BF}"/>
    <cellStyle name="Comma 410" xfId="2652" xr:uid="{8437499C-7096-42A4-8300-15F06E9502E8}"/>
    <cellStyle name="Comma 411" xfId="2653" xr:uid="{6E13B0C2-E798-40C0-8663-76CC04F58F27}"/>
    <cellStyle name="Comma 412" xfId="2654" xr:uid="{D2268965-E10F-4AB3-BFB9-AEE56E69A729}"/>
    <cellStyle name="Comma 413" xfId="2655" xr:uid="{E0179D09-0BF5-4B27-864B-19E89EB3AD06}"/>
    <cellStyle name="Comma 414" xfId="2656" xr:uid="{464DC354-AF76-4CE7-B025-98DBEB57B45C}"/>
    <cellStyle name="Comma 415" xfId="2657" xr:uid="{9303FD4A-7611-4768-AD1C-597BF40A5C0C}"/>
    <cellStyle name="Comma 416" xfId="2658" xr:uid="{3284AFE4-2115-4E22-8CA9-945BD2770FC7}"/>
    <cellStyle name="Comma 417" xfId="2659" xr:uid="{4E2F24B5-325D-4828-8EBD-B6DD3FE7C89C}"/>
    <cellStyle name="Comma 418" xfId="2660" xr:uid="{B32B6103-600A-4294-8EBF-6691E8431E34}"/>
    <cellStyle name="Comma 419" xfId="2661" xr:uid="{7327D501-78B9-47AF-8A0C-C1687CB39463}"/>
    <cellStyle name="Comma 42" xfId="1004" xr:uid="{40D3967A-275C-421D-BAAB-1E78B6C51920}"/>
    <cellStyle name="Comma 42 2" xfId="1854" xr:uid="{6E5464FA-DEA9-40B7-B146-E076D0EE9B9C}"/>
    <cellStyle name="Comma 42 3" xfId="1817" xr:uid="{988A9589-CEA8-4D88-B4F2-1CCB2C750C16}"/>
    <cellStyle name="Comma 420" xfId="2662" xr:uid="{21B3B61D-1323-4FB1-8DF5-EB40BB6FCBED}"/>
    <cellStyle name="Comma 421" xfId="2663" xr:uid="{7FE48355-F6EA-4ACD-A7CD-F1CB76B99A8A}"/>
    <cellStyle name="Comma 422" xfId="2664" xr:uid="{9B64D12B-54D4-427E-BB40-385458A6C72F}"/>
    <cellStyle name="Comma 423" xfId="2665" xr:uid="{F42E5A61-274C-42D5-9037-7CF2FB773AFB}"/>
    <cellStyle name="Comma 424" xfId="2666" xr:uid="{11AB4021-9CED-49A5-9472-2E7F8D6F7C1E}"/>
    <cellStyle name="Comma 425" xfId="2667" xr:uid="{5CF89FB5-BEED-4E80-BE46-D1BA73CBC410}"/>
    <cellStyle name="Comma 426" xfId="2668" xr:uid="{2CF14343-21A7-4B18-B69B-1CFCE9ECA426}"/>
    <cellStyle name="Comma 427" xfId="2669" xr:uid="{5B59BE82-E965-4F2A-9ADB-9676CA1ACDC6}"/>
    <cellStyle name="Comma 428" xfId="2670" xr:uid="{852AD511-8554-4400-964A-EE5A88A309B3}"/>
    <cellStyle name="Comma 429" xfId="2671" xr:uid="{C2C442ED-0061-4B88-984D-E356F8D6997D}"/>
    <cellStyle name="Comma 43" xfId="1005" xr:uid="{8C5227E5-2E9D-49FA-9A93-287C04C57159}"/>
    <cellStyle name="Comma 43 2" xfId="1856" xr:uid="{35330948-8B05-4933-920C-1BB6466C5DE7}"/>
    <cellStyle name="Comma 43 3" xfId="1964" xr:uid="{ADB0BFB9-9759-45B0-9558-76F038BB5553}"/>
    <cellStyle name="Comma 430" xfId="2672" xr:uid="{34240FFE-46D6-4509-84E9-3470C1E2F0D9}"/>
    <cellStyle name="Comma 431" xfId="2673" xr:uid="{F5AB04CD-2C48-44CB-B529-2E43C603EAAE}"/>
    <cellStyle name="Comma 432" xfId="2674" xr:uid="{C9D03A0B-D413-445A-B4C4-EDC5DA4171A2}"/>
    <cellStyle name="Comma 433" xfId="2675" xr:uid="{E501C57C-3F3A-409B-9DB1-E4C208C0D021}"/>
    <cellStyle name="Comma 434" xfId="2676" xr:uid="{11ADAE63-168F-40F8-831F-920BD7E5F8AE}"/>
    <cellStyle name="Comma 435" xfId="2677" xr:uid="{F3E1B68B-2ABD-4FB8-8485-D2E646785C10}"/>
    <cellStyle name="Comma 436" xfId="2678" xr:uid="{7CCA1330-AA53-465A-B503-F9367D7F5BD9}"/>
    <cellStyle name="Comma 437" xfId="2679" xr:uid="{F430AA4D-E52F-42A9-83A6-E8E1F0DB807E}"/>
    <cellStyle name="Comma 438" xfId="2680" xr:uid="{014D6726-34F6-4203-B601-019CF0303254}"/>
    <cellStyle name="Comma 439" xfId="2681" xr:uid="{0892E7FF-21BE-4D14-B338-4FF3DCCEF4F8}"/>
    <cellStyle name="Comma 44" xfId="1006" xr:uid="{E6C676D8-DC94-4E1E-BF1D-B531C6E6E083}"/>
    <cellStyle name="Comma 44 2" xfId="1857" xr:uid="{664E18A8-553A-46EB-89C7-E32AF8FE3033}"/>
    <cellStyle name="Comma 44 3" xfId="1813" xr:uid="{B2CFC3F1-F8E5-47B8-BBBD-12E788C7AA6D}"/>
    <cellStyle name="Comma 440" xfId="2682" xr:uid="{BFF0B947-47FB-412E-8B34-F1DA731FE63F}"/>
    <cellStyle name="Comma 441" xfId="2683" xr:uid="{88196F5A-4B21-4713-89F6-2AAAAD57A6F1}"/>
    <cellStyle name="Comma 442" xfId="2684" xr:uid="{9687609C-9108-4C0F-A84F-92A5A4FC3C76}"/>
    <cellStyle name="Comma 443" xfId="2685" xr:uid="{1DB4F4FD-8930-4446-9212-855486C1DAEB}"/>
    <cellStyle name="Comma 444" xfId="2686" xr:uid="{69ACF804-2F77-4582-9497-69E623D06DBF}"/>
    <cellStyle name="Comma 445" xfId="2687" xr:uid="{F2C74B82-C9ED-4163-A6FC-14C311220D60}"/>
    <cellStyle name="Comma 446" xfId="2688" xr:uid="{E3C71B29-039B-4EF6-906A-C517D1D9BF00}"/>
    <cellStyle name="Comma 447" xfId="2689" xr:uid="{E85A3EF5-C627-4C90-9245-03B64ABECA40}"/>
    <cellStyle name="Comma 448" xfId="2690" xr:uid="{C1F29316-9E7F-4BC0-9279-102DAC5C2E5A}"/>
    <cellStyle name="Comma 449" xfId="2691" xr:uid="{C4E039D5-6B32-408D-9EB3-A5B1B3E4A4D9}"/>
    <cellStyle name="Comma 45" xfId="1007" xr:uid="{12ED9E2C-2B3C-44B1-9A87-61EAD6DFC337}"/>
    <cellStyle name="Comma 45 2" xfId="1858" xr:uid="{70DB24EF-80C9-40BA-88E3-549B20AD8E7B}"/>
    <cellStyle name="Comma 45 3" xfId="1810" xr:uid="{6D8C846E-FE84-4BDA-A7CB-3B3B10FF315D}"/>
    <cellStyle name="Comma 450" xfId="2692" xr:uid="{B4F6D450-054D-419A-A3D9-7A094963B19B}"/>
    <cellStyle name="Comma 451" xfId="2693" xr:uid="{42D72747-E4BC-433B-BB67-9180CDED226A}"/>
    <cellStyle name="Comma 452" xfId="2694" xr:uid="{FA1FDB2A-9985-4D02-829D-67FF88543111}"/>
    <cellStyle name="Comma 453" xfId="2695" xr:uid="{BDEA8C8F-4993-4FF4-9FA3-A52A2F4EE49D}"/>
    <cellStyle name="Comma 454" xfId="2696" xr:uid="{B7C02FCA-0CE4-4CC5-8DFB-059BB124F1BE}"/>
    <cellStyle name="Comma 455" xfId="2697" xr:uid="{7930F15E-E94A-4CF0-81EE-0E2EEA47023D}"/>
    <cellStyle name="Comma 456" xfId="2698" xr:uid="{FFEB435D-4E08-4BE2-BD8E-E1AF861CF135}"/>
    <cellStyle name="Comma 457" xfId="2699" xr:uid="{C0C20A61-E4F8-45E7-9AEF-27906DC37E57}"/>
    <cellStyle name="Comma 458" xfId="2700" xr:uid="{7F840751-2E0C-437B-B237-1081B7FF8488}"/>
    <cellStyle name="Comma 459" xfId="2701" xr:uid="{FBAC1E10-93CB-41BF-8463-D4FA7838DFDF}"/>
    <cellStyle name="Comma 46" xfId="1008" xr:uid="{DE0498C2-3D82-4781-B06B-7F526DE82C28}"/>
    <cellStyle name="Comma 46 2" xfId="1859" xr:uid="{315278FC-6A65-4FE1-B275-43E2E0D69602}"/>
    <cellStyle name="Comma 46 3" xfId="1888" xr:uid="{9E3CEF61-28F4-4226-9DCD-306C54FB695B}"/>
    <cellStyle name="Comma 460" xfId="2702" xr:uid="{1D989603-D5BB-4434-B796-FE07ABC85C41}"/>
    <cellStyle name="Comma 461" xfId="2703" xr:uid="{91834342-AD34-4548-A177-99EEF52D8C02}"/>
    <cellStyle name="Comma 462" xfId="2704" xr:uid="{DB31D2D4-1F71-4DF3-8E17-B843ED1966F0}"/>
    <cellStyle name="Comma 463" xfId="2705" xr:uid="{8CDDA8F0-43C4-47FB-B794-AB6E0FDEF005}"/>
    <cellStyle name="Comma 464" xfId="2706" xr:uid="{44DF3A58-A221-47EE-9281-2ECFEBC7FB05}"/>
    <cellStyle name="Comma 465" xfId="2707" xr:uid="{DCE117DB-2185-47B7-88F2-37E34C92E8BA}"/>
    <cellStyle name="Comma 466" xfId="2708" xr:uid="{53F65C82-FE1E-4A4E-A171-8DF0D390D0D1}"/>
    <cellStyle name="Comma 467" xfId="2709" xr:uid="{B61980DD-F1B3-4AD0-9469-7C1FA928304A}"/>
    <cellStyle name="Comma 468" xfId="2710" xr:uid="{59765EF4-1C85-4EDD-BD1C-63FA79838A0F}"/>
    <cellStyle name="Comma 469" xfId="2711" xr:uid="{421DE5B2-DD36-4964-837E-FFA5700E6E96}"/>
    <cellStyle name="Comma 47" xfId="1009" xr:uid="{D9BEA071-963D-436B-A5ED-7E3DD92892F1}"/>
    <cellStyle name="Comma 47 2" xfId="1860" xr:uid="{6B8FB349-4C78-47AD-B070-9E218DA15854}"/>
    <cellStyle name="Comma 47 3" xfId="1886" xr:uid="{6D29A42F-DE08-4A6B-9F6B-2F23A0F7CDC1}"/>
    <cellStyle name="Comma 470" xfId="2712" xr:uid="{E5968F5C-FD87-4BD7-B599-B27FF8A72AFB}"/>
    <cellStyle name="Comma 471" xfId="2713" xr:uid="{D096DB9A-DAC3-45D5-9E2D-D1D6B5EE452E}"/>
    <cellStyle name="Comma 472" xfId="2714" xr:uid="{496DE194-49B7-4091-ACE3-E504A2C987CF}"/>
    <cellStyle name="Comma 473" xfId="2715" xr:uid="{8AC8D965-2898-431F-9942-B7DFB9027E12}"/>
    <cellStyle name="Comma 474" xfId="2716" xr:uid="{47EBC6A8-F70D-4589-9FBE-FE05B2D50F2F}"/>
    <cellStyle name="Comma 475" xfId="2717" xr:uid="{B2F170A4-9C11-42C3-A63F-95B5445F696E}"/>
    <cellStyle name="Comma 476" xfId="2718" xr:uid="{FF14BA3E-352C-48B5-A5FD-73D402004CBF}"/>
    <cellStyle name="Comma 477" xfId="2719" xr:uid="{C04ACA56-5D5E-4962-8F16-CCD22627BFDB}"/>
    <cellStyle name="Comma 478" xfId="2720" xr:uid="{3816185F-C0C1-4457-81C0-DD5AAA003145}"/>
    <cellStyle name="Comma 479" xfId="2721" xr:uid="{839AEB6C-41FC-4454-8887-447E6735BEAB}"/>
    <cellStyle name="Comma 48" xfId="1010" xr:uid="{9BDB8A69-37AA-43CC-9507-7E3B97B7527F}"/>
    <cellStyle name="Comma 48 2" xfId="1864" xr:uid="{FD4A5F08-1DDC-43D8-8DD6-384E7614C7B7}"/>
    <cellStyle name="Comma 48 3" xfId="1825" xr:uid="{DCF1511A-41C1-4298-A6EF-9F0B11E76FC3}"/>
    <cellStyle name="Comma 480" xfId="2722" xr:uid="{B468A021-DC00-401D-B120-3D15F64F0DB9}"/>
    <cellStyle name="Comma 481" xfId="2723" xr:uid="{31EF63D2-510A-4187-A457-E81D84602EE6}"/>
    <cellStyle name="Comma 482" xfId="2724" xr:uid="{9CAB8A72-ECE1-4462-96ED-B75F3C042061}"/>
    <cellStyle name="Comma 483" xfId="2725" xr:uid="{FFB1AAD0-11E4-4E4C-8BDC-8E9F5E126618}"/>
    <cellStyle name="Comma 484" xfId="2726" xr:uid="{599A028A-71FB-424F-9E99-FFC23C27DB8B}"/>
    <cellStyle name="Comma 485" xfId="2727" xr:uid="{11880776-71BE-4882-AB0A-5A0E980E38BD}"/>
    <cellStyle name="Comma 486" xfId="2728" xr:uid="{EA5C7661-B2FD-4745-A5CE-FDCB87C72BDE}"/>
    <cellStyle name="Comma 487" xfId="2729" xr:uid="{BB32129A-E53F-469A-81E4-2CE64C53C32A}"/>
    <cellStyle name="Comma 488" xfId="2730" xr:uid="{9D86A720-15D9-4EE7-8B05-2DE53F68B1ED}"/>
    <cellStyle name="Comma 489" xfId="2731" xr:uid="{A3FAA70B-BA2A-4C79-B7FB-184709C6FF0B}"/>
    <cellStyle name="Comma 49" xfId="1011" xr:uid="{199D4462-A136-458E-8B96-32C956A4A253}"/>
    <cellStyle name="Comma 49 2" xfId="1865" xr:uid="{685D7785-5371-41CB-A5FA-6AC296E5ED5E}"/>
    <cellStyle name="Comma 49 3" xfId="1863" xr:uid="{959C424D-1790-4DCF-88BE-39D850E73D33}"/>
    <cellStyle name="Comma 490" xfId="2732" xr:uid="{0B6D15D0-A145-4B90-98F5-116E1B129393}"/>
    <cellStyle name="Comma 491" xfId="2733" xr:uid="{239DB25A-6FC1-49F0-BC86-64817423ECC1}"/>
    <cellStyle name="Comma 492" xfId="2734" xr:uid="{63FD740B-0852-4A65-8337-487D03515489}"/>
    <cellStyle name="Comma 493" xfId="2735" xr:uid="{66BFA690-492D-412A-832F-6895A83CE624}"/>
    <cellStyle name="Comma 494" xfId="2736" xr:uid="{E32697CA-2CFC-47CC-8DEC-4ABADD9D55A5}"/>
    <cellStyle name="Comma 495" xfId="2737" xr:uid="{8BBF6968-E22B-447D-B6F6-1FA08988486B}"/>
    <cellStyle name="Comma 496" xfId="2738" xr:uid="{0F43DACA-E8F1-46A2-8F0C-61F688C147BB}"/>
    <cellStyle name="Comma 497" xfId="2739" xr:uid="{04DDA796-439A-413A-BAAE-879AB24EDDBD}"/>
    <cellStyle name="Comma 498" xfId="2740" xr:uid="{FE5DAC87-2D10-48E3-BB92-E39CE6E16DAD}"/>
    <cellStyle name="Comma 499" xfId="2741" xr:uid="{B5DD4CB6-1DDD-4E3F-A8F2-66B46B8B1FAA}"/>
    <cellStyle name="Comma 5" xfId="173" xr:uid="{2731A819-7A1E-4FC8-ACA4-2F7CEBFD2B17}"/>
    <cellStyle name="Comma 5 2" xfId="255" xr:uid="{EE2F99A4-F13C-487C-8AF7-A8E0D6B16B8C}"/>
    <cellStyle name="Comma 50" xfId="1012" xr:uid="{91066735-4D41-472D-9254-458010926B19}"/>
    <cellStyle name="Comma 50 2" xfId="1866" xr:uid="{F5D28CC2-CB7D-4D70-8064-773E6A496658}"/>
    <cellStyle name="Comma 50 3" xfId="1823" xr:uid="{E49C73BD-C412-42C7-A8C0-1AD7BEA96D8E}"/>
    <cellStyle name="Comma 500" xfId="2742" xr:uid="{2554B44A-389E-405A-A83E-E3BEC12D2871}"/>
    <cellStyle name="Comma 501" xfId="2743" xr:uid="{CC29908A-EEA1-47D0-90A1-E89AC7E4D4FA}"/>
    <cellStyle name="Comma 502" xfId="2744" xr:uid="{0078413D-EAFC-4102-BD8B-5685B506F1F4}"/>
    <cellStyle name="Comma 503" xfId="2745" xr:uid="{9376CBDC-74DE-4350-BA9A-385D1A0426D7}"/>
    <cellStyle name="Comma 504" xfId="2746" xr:uid="{63CB356A-B273-4197-AFB2-25A396BB4886}"/>
    <cellStyle name="Comma 505" xfId="2747" xr:uid="{E8CFCBAF-B15D-4E4E-B386-17B122D8A95C}"/>
    <cellStyle name="Comma 506" xfId="2748" xr:uid="{53A0F4BE-A592-4792-B540-F8B87C20BBE5}"/>
    <cellStyle name="Comma 507" xfId="2749" xr:uid="{C4EB2EC2-D905-4066-9037-F6931D9DD391}"/>
    <cellStyle name="Comma 508" xfId="2750" xr:uid="{9F1DA529-A2D4-4539-8297-7024909CA3D0}"/>
    <cellStyle name="Comma 509" xfId="2751" xr:uid="{2310C6D2-755D-48FC-84DB-431BEF097376}"/>
    <cellStyle name="Comma 51" xfId="1013" xr:uid="{590A4CE6-5F8D-4246-BEC3-649C5CD254FE}"/>
    <cellStyle name="Comma 51 2" xfId="1867" xr:uid="{84A0E93A-A35D-4836-9F1C-5632C9FBCFA6}"/>
    <cellStyle name="Comma 51 3" xfId="1686" xr:uid="{8616A138-A88B-41DA-AD51-6B5161F7BAE6}"/>
    <cellStyle name="Comma 510" xfId="2752" xr:uid="{2D5C1962-E97A-48A3-B500-9BC2798B87C3}"/>
    <cellStyle name="Comma 511" xfId="2753" xr:uid="{6ED35A24-A090-476C-B10E-6E1E5CFD5AC1}"/>
    <cellStyle name="Comma 512" xfId="2754" xr:uid="{AE73378F-1FB3-416C-878C-4876B2CB8A5F}"/>
    <cellStyle name="Comma 513" xfId="2755" xr:uid="{4C32148D-7139-4EA4-B224-57401D689AD2}"/>
    <cellStyle name="Comma 514" xfId="2756" xr:uid="{8B3AFFF0-B3F9-49B5-8887-DD7474F4EB31}"/>
    <cellStyle name="Comma 515" xfId="2757" xr:uid="{173FE6E3-7EAB-4505-A34B-29AD3B851646}"/>
    <cellStyle name="Comma 516" xfId="2758" xr:uid="{799F4675-3056-42F8-B04B-089BA92C1958}"/>
    <cellStyle name="Comma 517" xfId="2759" xr:uid="{F7C843C6-C0FF-4623-85AB-9358C20A0E9D}"/>
    <cellStyle name="Comma 518" xfId="2760" xr:uid="{DBEB6128-1420-4E2E-A0C9-05A558B684EC}"/>
    <cellStyle name="Comma 519" xfId="2761" xr:uid="{0F79ED09-0C23-41CE-BF21-E79E18088461}"/>
    <cellStyle name="Comma 52" xfId="1014" xr:uid="{E89D4D3E-C342-4BE6-9AE3-AF745D068E67}"/>
    <cellStyle name="Comma 52 2" xfId="1868" xr:uid="{851D17FB-C56D-4E3B-8A13-01F1FE1B149D}"/>
    <cellStyle name="Comma 52 3" xfId="1990" xr:uid="{ED9BFC4E-5889-46B2-BBC2-4E9B21296C7B}"/>
    <cellStyle name="Comma 520" xfId="2762" xr:uid="{81E6FB7B-4F79-4A82-B70A-C2620304C010}"/>
    <cellStyle name="Comma 521" xfId="2763" xr:uid="{C40A5D7D-B4E8-4ABB-A482-0E8219F19C7C}"/>
    <cellStyle name="Comma 522" xfId="2764" xr:uid="{8E824C0F-5FC6-4E2F-960B-913D6012A9A3}"/>
    <cellStyle name="Comma 523" xfId="2765" xr:uid="{7CC30A2B-B5D3-40EB-AAC5-2C95DB5BBEE2}"/>
    <cellStyle name="Comma 524" xfId="2766" xr:uid="{7E11A085-453E-463A-B80A-C25ABDA03FF8}"/>
    <cellStyle name="Comma 525" xfId="2767" xr:uid="{E8C21F9D-AEB6-46DD-8933-18C77EF82865}"/>
    <cellStyle name="Comma 526" xfId="2768" xr:uid="{8C1FB2FE-56C8-4561-A22A-0BBEA31F235A}"/>
    <cellStyle name="Comma 527" xfId="2769" xr:uid="{B078915A-8E4A-4EB8-980A-75BC3B88FE1A}"/>
    <cellStyle name="Comma 528" xfId="2770" xr:uid="{F68C8E3F-2F86-4C81-9471-70EC2EBDF6E3}"/>
    <cellStyle name="Comma 529" xfId="2771" xr:uid="{65E8CE57-4324-4AA4-A7B0-413372044C3A}"/>
    <cellStyle name="Comma 53" xfId="1015" xr:uid="{05E985AD-3E8D-4312-AE24-CCDE9FCC4181}"/>
    <cellStyle name="Comma 53 2" xfId="1869" xr:uid="{9439745D-771F-400F-94F2-653D297F7159}"/>
    <cellStyle name="Comma 53 3" xfId="1991" xr:uid="{13C2888B-7BBF-4192-B162-3C77668C4AF9}"/>
    <cellStyle name="Comma 530" xfId="2772" xr:uid="{B287D127-AD96-4EFA-AC2C-020D0E20E7BA}"/>
    <cellStyle name="Comma 531" xfId="2773" xr:uid="{93CBEDC6-4B35-43D5-81E5-3CD17C74EBF9}"/>
    <cellStyle name="Comma 532" xfId="2774" xr:uid="{ED25264A-AC81-4B09-AC79-99E4DA71CEDD}"/>
    <cellStyle name="Comma 533" xfId="2775" xr:uid="{89AD1669-FCBE-4757-9A77-AD9C0E5445A8}"/>
    <cellStyle name="Comma 534" xfId="2776" xr:uid="{58743012-F1D2-4C78-803F-B60E1315C922}"/>
    <cellStyle name="Comma 535" xfId="2777" xr:uid="{2805CB19-9207-453C-95E0-2FE5D895C2ED}"/>
    <cellStyle name="Comma 536" xfId="2778" xr:uid="{0381EB35-7D0D-490E-B69F-A8AF5A246585}"/>
    <cellStyle name="Comma 537" xfId="2779" xr:uid="{1822A315-4FD3-4B7A-9E52-DC110BD351C4}"/>
    <cellStyle name="Comma 538" xfId="2780" xr:uid="{638B6140-2AF8-46E5-9C68-AD6FFEF0E118}"/>
    <cellStyle name="Comma 539" xfId="2781" xr:uid="{E942739B-FAB1-4F94-A1BA-467D10C3AFC4}"/>
    <cellStyle name="Comma 54" xfId="1016" xr:uid="{D8605128-81F2-4E46-9E6E-DCE2A1CE9BC6}"/>
    <cellStyle name="Comma 54 2" xfId="1870" xr:uid="{870ED909-4C93-4FE4-9427-61D0155BBF05}"/>
    <cellStyle name="Comma 54 3" xfId="1992" xr:uid="{922F0A2C-8EF7-4A5C-8EC9-69E0802DFE3C}"/>
    <cellStyle name="Comma 540" xfId="2782" xr:uid="{1885067B-C9EB-4377-87EA-EFEA5365B426}"/>
    <cellStyle name="Comma 541" xfId="2783" xr:uid="{976B9807-C39B-4FC0-8C4B-7D07ECD31D98}"/>
    <cellStyle name="Comma 542" xfId="2784" xr:uid="{5CE59345-697C-4CDC-8DA4-3DF4E27C2F04}"/>
    <cellStyle name="Comma 543" xfId="2785" xr:uid="{F6093F3D-E1DC-47C8-A989-9B8B6AB94752}"/>
    <cellStyle name="Comma 544" xfId="2786" xr:uid="{5052125A-F23D-47F6-8A13-E9F9649B9159}"/>
    <cellStyle name="Comma 545" xfId="2787" xr:uid="{1536746C-6691-4969-8468-B54CAC4C396C}"/>
    <cellStyle name="Comma 546" xfId="2788" xr:uid="{B2D334E2-B9C4-4083-A478-429F199250F6}"/>
    <cellStyle name="Comma 547" xfId="2789" xr:uid="{7FF6C2B0-D50F-4A54-B8DA-DDEFD771F131}"/>
    <cellStyle name="Comma 548" xfId="2790" xr:uid="{E9F1A81D-D91F-4B59-92D7-8BA3750D7771}"/>
    <cellStyle name="Comma 549" xfId="2791" xr:uid="{7E884C3E-41AB-4480-97AE-9C683246AA28}"/>
    <cellStyle name="Comma 55" xfId="1017" xr:uid="{154B0681-1449-4F27-82FA-E416576E4D20}"/>
    <cellStyle name="Comma 55 2" xfId="1872" xr:uid="{08D71D76-3B1F-4204-B67A-8B37ED419D70}"/>
    <cellStyle name="Comma 55 3" xfId="1994" xr:uid="{377EE962-A03F-4A87-805C-29BF202A1CAB}"/>
    <cellStyle name="Comma 550" xfId="2792" xr:uid="{8F1A1C60-FA03-4C09-943A-DA162E4F7100}"/>
    <cellStyle name="Comma 551" xfId="2793" xr:uid="{BCFFB6D7-5CC2-4463-A9C3-AB585D498105}"/>
    <cellStyle name="Comma 552" xfId="2794" xr:uid="{82FD0E89-22D4-4AFE-BB96-08A92E969E94}"/>
    <cellStyle name="Comma 553" xfId="2795" xr:uid="{4EC1231A-E026-4B98-B46E-6C6D4E955DDC}"/>
    <cellStyle name="Comma 554" xfId="2796" xr:uid="{4F515AD2-2CD4-42C3-898D-FD3D831339B1}"/>
    <cellStyle name="Comma 555" xfId="2797" xr:uid="{09A8F9D5-3E7A-46FA-B2D7-4D81F0C5EE71}"/>
    <cellStyle name="Comma 556" xfId="2798" xr:uid="{16741C11-83A9-407F-B623-79D1AC6B627B}"/>
    <cellStyle name="Comma 557" xfId="2799" xr:uid="{7FC6F9D6-F1BE-4209-B8AC-0D20027A0D8B}"/>
    <cellStyle name="Comma 558" xfId="2800" xr:uid="{5DC2144B-5AD6-4696-A593-92F097C2D8F9}"/>
    <cellStyle name="Comma 559" xfId="2801" xr:uid="{2CD6E5EF-D13E-4AB1-A0A1-81A1519D31B6}"/>
    <cellStyle name="Comma 56" xfId="1018" xr:uid="{7955FB34-0308-46D8-A2B5-F6B2816C7A3F}"/>
    <cellStyle name="Comma 56 2" xfId="1874" xr:uid="{4F3D758F-045A-4490-8E5C-E2EDCB1ECB4A}"/>
    <cellStyle name="Comma 56 3" xfId="1996" xr:uid="{295A9B67-E9B9-4E32-8C19-261D0F1453F3}"/>
    <cellStyle name="Comma 560" xfId="2802" xr:uid="{BEF3FE37-3A21-41E3-B686-E5DF248373E7}"/>
    <cellStyle name="Comma 561" xfId="2803" xr:uid="{32DF74EB-B5B6-494F-A7DB-C99128163725}"/>
    <cellStyle name="Comma 562" xfId="2804" xr:uid="{6FDF289B-D738-49A7-BBFE-ADBE09BA1930}"/>
    <cellStyle name="Comma 563" xfId="2805" xr:uid="{B32DB9D4-A5D3-4E92-B025-BEB84131AD5E}"/>
    <cellStyle name="Comma 564" xfId="2806" xr:uid="{7CE96994-9443-4427-9C5E-2A018D29D485}"/>
    <cellStyle name="Comma 565" xfId="2807" xr:uid="{FE53965A-A3B7-4714-886F-6DF5B6C0E191}"/>
    <cellStyle name="Comma 566" xfId="2808" xr:uid="{4192D332-5EFB-43BC-A151-0F8220372B4F}"/>
    <cellStyle name="Comma 567" xfId="2809" xr:uid="{87466988-C343-4135-960D-B9D2B83859CB}"/>
    <cellStyle name="Comma 568" xfId="2810" xr:uid="{5A1C6810-2FAA-4ACA-94D1-967CE89B2CC2}"/>
    <cellStyle name="Comma 569" xfId="2811" xr:uid="{73EA94E4-6F0E-4AAA-A89B-4E2775643EF2}"/>
    <cellStyle name="Comma 57" xfId="1019" xr:uid="{7941C3DC-F772-49D6-8C0B-B835C2A2FBE4}"/>
    <cellStyle name="Comma 57 2" xfId="1875" xr:uid="{31AA6387-0614-4788-91B3-AC22B2FBB651}"/>
    <cellStyle name="Comma 57 3" xfId="1997" xr:uid="{CE19F7BF-275F-44A4-B37E-D2F346A9B094}"/>
    <cellStyle name="Comma 570" xfId="2812" xr:uid="{DBC1D829-5833-43C2-838E-163F280A84E2}"/>
    <cellStyle name="Comma 571" xfId="2813" xr:uid="{54E641E1-01DB-4988-884A-32C19A733878}"/>
    <cellStyle name="Comma 572" xfId="2814" xr:uid="{95500842-B44C-4F2D-A15B-C14FC780DF7D}"/>
    <cellStyle name="Comma 573" xfId="2815" xr:uid="{66E4478D-10AD-40A5-8C02-507971C870BF}"/>
    <cellStyle name="Comma 574" xfId="2816" xr:uid="{E6C6DA10-45B4-41CD-B63C-BE8DC4D7DDEC}"/>
    <cellStyle name="Comma 575" xfId="2817" xr:uid="{992512A6-7264-45A6-BBC3-C4ADA19C5326}"/>
    <cellStyle name="Comma 576" xfId="2818" xr:uid="{9DA2F199-1F06-4B22-A727-7FCB52F479FF}"/>
    <cellStyle name="Comma 577" xfId="2819" xr:uid="{1C047241-DDCE-470F-A516-39AE6D95F1E9}"/>
    <cellStyle name="Comma 578" xfId="2820" xr:uid="{2E59DBB1-79B3-483C-BE64-5BA5A09680AC}"/>
    <cellStyle name="Comma 579" xfId="2821" xr:uid="{ECF414F0-58F4-4B4E-A5FB-485F8FA1D843}"/>
    <cellStyle name="Comma 58" xfId="1020" xr:uid="{4A56F4FD-C067-42D1-8466-90B638D42A6F}"/>
    <cellStyle name="Comma 58 2" xfId="1876" xr:uid="{84E4E9B2-F440-43B5-AFAF-53CFCAF7CA22}"/>
    <cellStyle name="Comma 58 3" xfId="1998" xr:uid="{546286F9-A1E2-46C2-A72A-18880297ABB8}"/>
    <cellStyle name="Comma 580" xfId="2822" xr:uid="{D2620E91-4868-40FC-874E-D025A4C7C675}"/>
    <cellStyle name="Comma 581" xfId="2823" xr:uid="{52B297C7-2A1B-4588-8B59-A22F697D6923}"/>
    <cellStyle name="Comma 582" xfId="2824" xr:uid="{E39533AD-2B89-4B05-99CF-488B09CDADE9}"/>
    <cellStyle name="Comma 583" xfId="2825" xr:uid="{91A9E52F-8FDA-4D31-9028-4626CD4AB622}"/>
    <cellStyle name="Comma 584" xfId="2826" xr:uid="{51590AC8-C4FA-4328-A051-CA0A2B3AB87C}"/>
    <cellStyle name="Comma 585" xfId="2827" xr:uid="{CD9D87E3-8A8F-48B8-ACAF-0741927928B2}"/>
    <cellStyle name="Comma 586" xfId="2828" xr:uid="{CC57EEB2-3D8E-4580-BA46-5E479D2A934F}"/>
    <cellStyle name="Comma 587" xfId="2829" xr:uid="{5FE02AAA-CA90-4C24-9FB8-D640DF588530}"/>
    <cellStyle name="Comma 588" xfId="2830" xr:uid="{FD3D5B03-636C-442B-B46D-E889DFDE3A35}"/>
    <cellStyle name="Comma 589" xfId="2831" xr:uid="{D87862DD-67FA-48FE-B41C-CBCD43CE7234}"/>
    <cellStyle name="Comma 59" xfId="1021" xr:uid="{D4B13EA5-2989-4BD2-9555-B2E7C825C40C}"/>
    <cellStyle name="Comma 59 2" xfId="1877" xr:uid="{8E1EC499-B91C-4B30-8D13-D889C35E8644}"/>
    <cellStyle name="Comma 59 3" xfId="1999" xr:uid="{22C543DE-E728-443B-A8BF-82A10C99298C}"/>
    <cellStyle name="Comma 590" xfId="2832" xr:uid="{81B191E8-D127-425B-9CA8-BE5B3ED50917}"/>
    <cellStyle name="Comma 591" xfId="2833" xr:uid="{DA80C65B-16E3-44A7-8B40-DFE336534B6F}"/>
    <cellStyle name="Comma 592" xfId="2834" xr:uid="{AFE28FEC-ADE9-4856-AA18-D0AE4C38E4FE}"/>
    <cellStyle name="Comma 593" xfId="2835" xr:uid="{F585356B-6886-40AD-B57D-DE8FB6D7FBD5}"/>
    <cellStyle name="Comma 594" xfId="2836" xr:uid="{FB8C3CEC-9DC9-41FA-9CDA-D28A9E521B43}"/>
    <cellStyle name="Comma 595" xfId="2837" xr:uid="{68748CA9-1ED2-4F4F-AF33-739D025C5F5F}"/>
    <cellStyle name="Comma 596" xfId="2838" xr:uid="{35B9D679-49C1-4CF5-83C0-3FD2C97F5536}"/>
    <cellStyle name="Comma 597" xfId="2839" xr:uid="{443B0E40-404B-4133-AF46-1020B2E5366B}"/>
    <cellStyle name="Comma 598" xfId="2840" xr:uid="{5D5FC727-BBD0-42EB-A8BC-AE1C6090173C}"/>
    <cellStyle name="Comma 599" xfId="2841" xr:uid="{804D6D20-B0DB-4849-895A-7548CCA862C4}"/>
    <cellStyle name="Comma 6" xfId="7" xr:uid="{B136FF5B-6DB2-42AE-B9EC-2017243E50AB}"/>
    <cellStyle name="Comma 6 2" xfId="262" xr:uid="{D0A715D9-34C7-49FE-AC49-890520A44CE3}"/>
    <cellStyle name="Comma 6 2 2" xfId="1022" xr:uid="{A71B0A7E-43A0-4937-BAFF-C809CEA8394D}"/>
    <cellStyle name="Comma 6 2 3" xfId="1800" xr:uid="{677B130B-E8BF-4FE8-B469-520BF25D61FF}"/>
    <cellStyle name="Comma 6 3" xfId="1698" xr:uid="{278D5301-41C7-477D-9160-93C5135BB214}"/>
    <cellStyle name="Comma 6 3 2" xfId="1807" xr:uid="{F6AA920D-D1F6-4254-B1DD-98BF55DBF651}"/>
    <cellStyle name="Comma 6 4" xfId="1902" xr:uid="{4A80AB65-6BDE-40E8-9569-B2E28B50C78A}"/>
    <cellStyle name="Comma 6 5" xfId="256" xr:uid="{1FFB8B44-B8A8-4B0C-A197-6E80B912AA6A}"/>
    <cellStyle name="Comma 60" xfId="1023" xr:uid="{D421E570-BC17-4B21-8EF1-8D6EE45E7571}"/>
    <cellStyle name="Comma 60 2" xfId="1878" xr:uid="{E4A21E1C-62CD-4DDB-B9F2-12FB30B7235E}"/>
    <cellStyle name="Comma 60 3" xfId="2000" xr:uid="{B499E0F8-04B9-4070-8A25-82E37D20A494}"/>
    <cellStyle name="Comma 600" xfId="2842" xr:uid="{FD7D16C5-CAC6-457B-A94D-B3EB5E569F6F}"/>
    <cellStyle name="Comma 601" xfId="2843" xr:uid="{A0C949D6-A695-47D9-9748-8B3E81BA3BC0}"/>
    <cellStyle name="Comma 602" xfId="2844" xr:uid="{F8C5A63A-7719-4908-8E11-8184578A3632}"/>
    <cellStyle name="Comma 603" xfId="2845" xr:uid="{5C04CC91-5AE3-463E-8EF4-EE4BA675EC32}"/>
    <cellStyle name="Comma 604" xfId="2846" xr:uid="{AB716B04-BF18-4CCD-A744-0DD2BC88D04D}"/>
    <cellStyle name="Comma 605" xfId="2847" xr:uid="{0F04B689-57A6-4CE5-93D5-B40FB9DD51AD}"/>
    <cellStyle name="Comma 606" xfId="2848" xr:uid="{D5791DF5-3E9B-456B-B60A-B1CA206FD3FC}"/>
    <cellStyle name="Comma 607" xfId="2849" xr:uid="{3515626E-DE41-4F3E-80AF-71EA8945AD9F}"/>
    <cellStyle name="Comma 608" xfId="2850" xr:uid="{03A01772-F279-4502-A91B-6B81DB3242A4}"/>
    <cellStyle name="Comma 609" xfId="2851" xr:uid="{12C8E7CD-5971-4004-9734-A4C3098EBBB1}"/>
    <cellStyle name="Comma 61" xfId="1024" xr:uid="{FFA75E2A-F47E-4042-BC7D-31C7D2FE29E9}"/>
    <cellStyle name="Comma 61 2" xfId="1880" xr:uid="{F00A4016-A622-4BC0-BA36-F5400E76B691}"/>
    <cellStyle name="Comma 61 3" xfId="2001" xr:uid="{D610376E-D5A8-4CD5-A09E-94A2A90D9F91}"/>
    <cellStyle name="Comma 610" xfId="2852" xr:uid="{08BBB839-261D-4087-A3F0-E98E5712837E}"/>
    <cellStyle name="Comma 611" xfId="2853" xr:uid="{0CB569FA-F2C3-4246-97D0-13A252E491E7}"/>
    <cellStyle name="Comma 612" xfId="2854" xr:uid="{B8954B38-80EE-48D6-8266-B0B1A3238564}"/>
    <cellStyle name="Comma 613" xfId="2855" xr:uid="{236300C3-19B8-4557-95FD-0F8F3F09C849}"/>
    <cellStyle name="Comma 614" xfId="2856" xr:uid="{4E444FB9-4D21-4C89-B4FF-CD2FB3E6753A}"/>
    <cellStyle name="Comma 615" xfId="2857" xr:uid="{396745F2-AC76-4C8C-9571-6E38D2C9D356}"/>
    <cellStyle name="Comma 616" xfId="2858" xr:uid="{6941CE98-9E3F-4CE6-8661-1274A9D11F11}"/>
    <cellStyle name="Comma 617" xfId="2859" xr:uid="{76A98D9B-8247-461E-858F-DC51DD68BAA6}"/>
    <cellStyle name="Comma 618" xfId="2860" xr:uid="{DE0E1B79-D485-42F5-A30A-C2284132D783}"/>
    <cellStyle name="Comma 619" xfId="2861" xr:uid="{6B99A1DF-38E1-4657-959D-DEA5DEF3F6B2}"/>
    <cellStyle name="Comma 62" xfId="1025" xr:uid="{8E694D80-83DB-4340-8EFE-BE1E31E7DA21}"/>
    <cellStyle name="Comma 62 2" xfId="1881" xr:uid="{17807C20-9751-41B3-A992-4F523D1BCF9E}"/>
    <cellStyle name="Comma 62 3" xfId="2002" xr:uid="{0EE81B83-44CF-4460-83D1-1CF2D7DA5898}"/>
    <cellStyle name="Comma 620" xfId="2862" xr:uid="{BD9E3D78-057E-4A29-8C77-4CC9656558CD}"/>
    <cellStyle name="Comma 621" xfId="2863" xr:uid="{A6774132-D461-44CB-B630-1137CACC5014}"/>
    <cellStyle name="Comma 622" xfId="2864" xr:uid="{B97AD135-E112-48C4-A272-631AFE2E98A4}"/>
    <cellStyle name="Comma 623" xfId="2865" xr:uid="{75CAE4F3-132A-4900-A273-6FDFFFD09D86}"/>
    <cellStyle name="Comma 624" xfId="2866" xr:uid="{6E322678-B56C-4634-B6F2-2D49A41FCA08}"/>
    <cellStyle name="Comma 625" xfId="2867" xr:uid="{717D4588-76A9-45D1-8095-E6311071974F}"/>
    <cellStyle name="Comma 626" xfId="2868" xr:uid="{00636168-4157-4726-8F20-BB6D054AA6BA}"/>
    <cellStyle name="Comma 627" xfId="2869" xr:uid="{FD4C41E4-2CF0-4BCF-95D8-F14FA2829EE6}"/>
    <cellStyle name="Comma 628" xfId="2870" xr:uid="{D155625B-8CED-4314-ADC6-774035C0B8CA}"/>
    <cellStyle name="Comma 629" xfId="2871" xr:uid="{65AE6349-6179-4DE5-894B-7C295853D543}"/>
    <cellStyle name="Comma 63" xfId="1026" xr:uid="{692BB8A8-8742-4FF3-BD78-3CD9CAD68977}"/>
    <cellStyle name="Comma 63 2" xfId="1883" xr:uid="{C6FD75FF-8218-4755-A794-3670BBDCCE9E}"/>
    <cellStyle name="Comma 63 3" xfId="2003" xr:uid="{E034A0F4-274C-4A14-8A6C-1E306E20D0E5}"/>
    <cellStyle name="Comma 630" xfId="2872" xr:uid="{C3781863-DC1C-4748-86C4-635375AA76AC}"/>
    <cellStyle name="Comma 631" xfId="2873" xr:uid="{4E05BE92-3E37-4EAB-9AE9-394187AE8105}"/>
    <cellStyle name="Comma 632" xfId="2874" xr:uid="{B72E83D3-3BFC-4186-95B1-1B610E43789E}"/>
    <cellStyle name="Comma 633" xfId="2875" xr:uid="{509EE807-611A-4BF8-BA3C-80D63A1FFB9A}"/>
    <cellStyle name="Comma 634" xfId="2876" xr:uid="{14C1D723-0778-4DD0-B5DB-C7BA81620A22}"/>
    <cellStyle name="Comma 635" xfId="2877" xr:uid="{6FA1158D-69FF-4D18-8684-F52777417C47}"/>
    <cellStyle name="Comma 636" xfId="2878" xr:uid="{19DDC6AD-5F86-4DAC-89AC-9D1566D7BB63}"/>
    <cellStyle name="Comma 637" xfId="2879" xr:uid="{EE66DC2F-6079-4BC4-BB8C-8ACD97095B4E}"/>
    <cellStyle name="Comma 638" xfId="2880" xr:uid="{EDE7EC02-AE67-435D-8758-2D3C33D1BF29}"/>
    <cellStyle name="Comma 639" xfId="2881" xr:uid="{7578DC22-33BE-44CE-BADC-C01636FFA573}"/>
    <cellStyle name="Comma 64" xfId="1027" xr:uid="{A3F561D4-CE51-4734-972D-A503292324E5}"/>
    <cellStyle name="Comma 64 2" xfId="1884" xr:uid="{D439173E-2452-4410-A47B-81738CAA26C9}"/>
    <cellStyle name="Comma 64 3" xfId="2004" xr:uid="{81BE3F86-8EA3-4AF2-BC08-3138C9B58081}"/>
    <cellStyle name="Comma 640" xfId="2882" xr:uid="{8F9E17C8-3D28-45FE-B9A6-07D5E1F850EF}"/>
    <cellStyle name="Comma 641" xfId="2883" xr:uid="{FAB7E893-0B66-44DE-BDA0-B69D35106B04}"/>
    <cellStyle name="Comma 642" xfId="2884" xr:uid="{B359EDD5-FFB3-4A21-BAFE-6DDCF45BAC56}"/>
    <cellStyle name="Comma 643" xfId="2885" xr:uid="{EB1E045C-0237-42B2-8843-E50F5AC6A3B0}"/>
    <cellStyle name="Comma 644" xfId="2886" xr:uid="{F295BE75-4D84-4F2B-ABA2-03369937CD6D}"/>
    <cellStyle name="Comma 645" xfId="2887" xr:uid="{7717CA30-3369-40A5-B9D5-B09CF65C1F99}"/>
    <cellStyle name="Comma 646" xfId="2888" xr:uid="{63019F63-5207-4EEE-8E4C-AA0499CBA169}"/>
    <cellStyle name="Comma 647" xfId="2889" xr:uid="{26DC4EBF-12E9-4677-9ACF-69ECDCA3A44B}"/>
    <cellStyle name="Comma 648" xfId="2890" xr:uid="{F310727A-1D65-4309-844A-19750AE7A97E}"/>
    <cellStyle name="Comma 649" xfId="2891" xr:uid="{BE4395B9-049F-4753-B1EB-E2A93CEFC7E6}"/>
    <cellStyle name="Comma 65" xfId="1028" xr:uid="{A552D261-BD90-4961-A286-D384D570FB3B}"/>
    <cellStyle name="Comma 650" xfId="2892" xr:uid="{A933D50E-77A6-411B-8C80-E85652419E08}"/>
    <cellStyle name="Comma 651" xfId="2893" xr:uid="{A057D69C-42F2-41E9-B178-CEE75CC4E227}"/>
    <cellStyle name="Comma 652" xfId="2894" xr:uid="{0BDD7B6F-9B73-4F7D-9BA6-47A856A928EE}"/>
    <cellStyle name="Comma 653" xfId="2895" xr:uid="{6445048D-0BB8-48C6-8885-9AC64B9E3F77}"/>
    <cellStyle name="Comma 654" xfId="2896" xr:uid="{5B2428EC-F16F-4A11-B6B2-4AFC3EB291B5}"/>
    <cellStyle name="Comma 655" xfId="2897" xr:uid="{52CCC665-1DB5-43BC-923C-C03412F947E6}"/>
    <cellStyle name="Comma 656" xfId="2898" xr:uid="{15FC91FC-FB25-4BEF-B778-832AA9C143EF}"/>
    <cellStyle name="Comma 657" xfId="2899" xr:uid="{4370BBEC-EDB9-472C-ABBD-5CA1EB4FF34C}"/>
    <cellStyle name="Comma 658" xfId="2900" xr:uid="{543D1098-7B2E-402A-8937-0BE750D86554}"/>
    <cellStyle name="Comma 659" xfId="2901" xr:uid="{0170D30B-FEF0-49B0-A24E-31573C84787B}"/>
    <cellStyle name="Comma 66" xfId="1029" xr:uid="{E6178889-2587-454B-ADA7-3A8DEE500E6A}"/>
    <cellStyle name="Comma 660" xfId="2902" xr:uid="{78ADB40F-380A-4C84-8512-C1DFE1FEE9BD}"/>
    <cellStyle name="Comma 661" xfId="2903" xr:uid="{E1003269-0CAE-40AB-A4A6-F0A4AF2DC82E}"/>
    <cellStyle name="Comma 662" xfId="2904" xr:uid="{53830FEC-8452-42FB-A825-774CA71F5F65}"/>
    <cellStyle name="Comma 663" xfId="2905" xr:uid="{2E9C3039-A370-4D26-AF5B-60066D2A4C3A}"/>
    <cellStyle name="Comma 664" xfId="2906" xr:uid="{CA2F912A-8937-4A32-8E00-949AF360DCB4}"/>
    <cellStyle name="Comma 665" xfId="2907" xr:uid="{98976A6B-D5CF-4E1B-836C-BD6BDCF98621}"/>
    <cellStyle name="Comma 666" xfId="2908" xr:uid="{0380122E-851E-41FD-BCE1-8D3834A6C17C}"/>
    <cellStyle name="Comma 667" xfId="2909" xr:uid="{94DCDC72-52BE-4C54-899B-5F3FB5848B57}"/>
    <cellStyle name="Comma 668" xfId="2910" xr:uid="{760724EA-3CB0-4619-A858-7F025D708ED3}"/>
    <cellStyle name="Comma 669" xfId="2911" xr:uid="{D30CEF2F-F633-4AD2-87B5-B2C8298BA850}"/>
    <cellStyle name="Comma 67" xfId="1030" xr:uid="{BF17E65A-5E90-42EB-9BB8-B4400ADE0816}"/>
    <cellStyle name="Comma 670" xfId="2912" xr:uid="{0DF1D011-08E3-494F-AD1D-D5B00551E1F9}"/>
    <cellStyle name="Comma 671" xfId="2913" xr:uid="{0BCDBB24-F1E0-4FAC-B87C-FA38E094E75A}"/>
    <cellStyle name="Comma 672" xfId="2914" xr:uid="{4C54F6C4-13AC-4C52-9E76-2117EBAFDBB9}"/>
    <cellStyle name="Comma 673" xfId="2915" xr:uid="{ABFC45BC-3926-4A76-8370-922B22905986}"/>
    <cellStyle name="Comma 674" xfId="2916" xr:uid="{552B3C98-7F8B-4FEC-AEF3-F4395F259A05}"/>
    <cellStyle name="Comma 675" xfId="2917" xr:uid="{AB01ADB9-6D2A-4BFD-96D3-3AE44D7FF204}"/>
    <cellStyle name="Comma 676" xfId="2918" xr:uid="{C3630336-80EA-408B-8EFB-09D470517178}"/>
    <cellStyle name="Comma 677" xfId="2919" xr:uid="{511EF3D4-7F94-46A2-979B-7DED3877D28A}"/>
    <cellStyle name="Comma 678" xfId="2920" xr:uid="{AADA8A77-EFD1-4AA8-8EC3-89C76D02BE54}"/>
    <cellStyle name="Comma 679" xfId="2921" xr:uid="{A7F53016-14D8-42F7-90AC-664E77636E31}"/>
    <cellStyle name="Comma 68" xfId="1031" xr:uid="{0D49F4FB-1107-45BA-9A52-43283F9BEE9D}"/>
    <cellStyle name="Comma 68 2" xfId="1889" xr:uid="{32D986BF-DE0B-420D-BE88-C97D5A82D4AF}"/>
    <cellStyle name="Comma 68 3" xfId="2005" xr:uid="{C9A6F140-8EF9-4358-AA61-F009DBE78AEE}"/>
    <cellStyle name="Comma 680" xfId="2922" xr:uid="{41B6CA5E-CA57-479F-AFDC-68854F1FC493}"/>
    <cellStyle name="Comma 681" xfId="2923" xr:uid="{50B1FEF6-6E08-4B2A-9530-4D5F4D402350}"/>
    <cellStyle name="Comma 682" xfId="2924" xr:uid="{D995EC75-94AE-4582-A2C8-740974019E2D}"/>
    <cellStyle name="Comma 683" xfId="2925" xr:uid="{50D07B24-CA19-46A6-8941-A05DE292F889}"/>
    <cellStyle name="Comma 684" xfId="2926" xr:uid="{B2B6C958-33EE-4809-991C-D78045B5807E}"/>
    <cellStyle name="Comma 685" xfId="2927" xr:uid="{CE6FAF66-325F-4208-B8F3-DA8348070E94}"/>
    <cellStyle name="Comma 686" xfId="2928" xr:uid="{AF159319-7DBC-44C1-AD33-D32833D6EA54}"/>
    <cellStyle name="Comma 687" xfId="2929" xr:uid="{9FCD7ED6-0EE1-434D-BB45-338B2F494148}"/>
    <cellStyle name="Comma 688" xfId="2930" xr:uid="{B93C06C0-EC00-46C1-A6AD-B320B5C84000}"/>
    <cellStyle name="Comma 689" xfId="2931" xr:uid="{B45DB202-29D7-4142-B892-8D3D6CE30EE5}"/>
    <cellStyle name="Comma 69" xfId="1032" xr:uid="{A8FA6614-576B-4941-8587-A0E316B71B75}"/>
    <cellStyle name="Comma 69 2" xfId="1890" xr:uid="{8B66C993-5C87-461B-9333-3DB833A7476D}"/>
    <cellStyle name="Comma 69 3" xfId="2006" xr:uid="{5F5A8A8F-D191-40EB-9403-4790A136D69C}"/>
    <cellStyle name="Comma 690" xfId="2932" xr:uid="{6675A63B-33C2-44F1-8AA5-595BC83F81A0}"/>
    <cellStyle name="Comma 691" xfId="2933" xr:uid="{3D814E15-0975-4D08-8FEC-E1B4E7A5989E}"/>
    <cellStyle name="Comma 692" xfId="2934" xr:uid="{D39DC67B-0CBA-49A9-9B8B-729592930EF1}"/>
    <cellStyle name="Comma 693" xfId="2935" xr:uid="{90729D53-B1EF-4A1B-BF24-007BE299C67B}"/>
    <cellStyle name="Comma 694" xfId="2936" xr:uid="{BE7E4849-6698-4AAF-A6F5-A96D1E258891}"/>
    <cellStyle name="Comma 695" xfId="2937" xr:uid="{8AA81D8B-27DC-410C-A1D9-1A2C01647892}"/>
    <cellStyle name="Comma 696" xfId="2938" xr:uid="{594ACE81-FC70-4178-9457-94BDB140E1E6}"/>
    <cellStyle name="Comma 697" xfId="2939" xr:uid="{A114DF98-4439-4A47-84C6-7E9F0D2F5F67}"/>
    <cellStyle name="Comma 698" xfId="2940" xr:uid="{639A21C2-3DB4-4087-A095-D1F550F34AF3}"/>
    <cellStyle name="Comma 699" xfId="2941" xr:uid="{B960B349-9A25-4A7A-B6E9-FEBF1FFFDD16}"/>
    <cellStyle name="Comma 7" xfId="16" xr:uid="{C39A4E04-0E2F-4444-92B2-625486C62CD9}"/>
    <cellStyle name="Comma 7 2" xfId="263" xr:uid="{86174B7C-D730-4B1E-855A-30CFC125EAB3}"/>
    <cellStyle name="Comma 7 2 2" xfId="1033" xr:uid="{D13F4485-0317-4C0A-86B1-068E9E9CB6AC}"/>
    <cellStyle name="Comma 7 2 2 2" xfId="1034" xr:uid="{3DF4900F-E811-422A-9933-669417E8690C}"/>
    <cellStyle name="Comma 7 2 2 3" xfId="1802" xr:uid="{FD64199B-0B4D-4BF1-AE51-555BB760960D}"/>
    <cellStyle name="Comma 7 2 3" xfId="1801" xr:uid="{529B739E-DD49-4EAE-944D-3B35CE8BF8ED}"/>
    <cellStyle name="Comma 7 3" xfId="1035" xr:uid="{544FC417-5B07-449E-902C-B1589E1D8743}"/>
    <cellStyle name="Comma 7 4" xfId="1697" xr:uid="{D17B106A-E7D8-4E9E-8063-002FF16E5D1D}"/>
    <cellStyle name="Comma 7 4 2" xfId="1808" xr:uid="{6BE2EB0C-2241-473B-A2B2-61A1916BE579}"/>
    <cellStyle name="Comma 7 5" xfId="1905" xr:uid="{2D624E0A-281D-455B-A01B-F5F5989E695A}"/>
    <cellStyle name="Comma 7 6" xfId="250" xr:uid="{57D00707-897F-48D9-826C-E8216F78005E}"/>
    <cellStyle name="Comma 70" xfId="1036" xr:uid="{EC2AAEEC-256D-442A-9863-44CAF03E675E}"/>
    <cellStyle name="Comma 70 2" xfId="1892" xr:uid="{FCB3D775-7700-4724-8D88-AACE006FCA86}"/>
    <cellStyle name="Comma 70 3" xfId="2007" xr:uid="{FD4C1A99-AB39-443D-AAD4-64859A90D2DF}"/>
    <cellStyle name="Comma 700" xfId="2942" xr:uid="{FCEE923D-4956-47FB-A3F9-18EB627B16A6}"/>
    <cellStyle name="Comma 701" xfId="2943" xr:uid="{D7361C32-F57E-4E7A-9ADF-073E6275FA67}"/>
    <cellStyle name="Comma 702" xfId="2944" xr:uid="{40D57192-07C3-4965-90FB-5F462F14D6F1}"/>
    <cellStyle name="Comma 703" xfId="2945" xr:uid="{2F226BDF-B2B9-41B5-9B3B-0692F8ABACF8}"/>
    <cellStyle name="Comma 704" xfId="2946" xr:uid="{CC471038-BDED-431F-8DE7-384824B8B36D}"/>
    <cellStyle name="Comma 705" xfId="2947" xr:uid="{E7EF1ABD-039B-4F9E-8FD8-8453A4D35563}"/>
    <cellStyle name="Comma 706" xfId="2948" xr:uid="{0FA3B816-8C8E-4545-A842-C7FA6B88AD9E}"/>
    <cellStyle name="Comma 707" xfId="2951" xr:uid="{7A60B060-9E2E-49A1-9FAF-9C2B348E9AA8}"/>
    <cellStyle name="Comma 708" xfId="2952" xr:uid="{1A508571-F250-4A4E-8FB9-D1126E040004}"/>
    <cellStyle name="Comma 709" xfId="2953" xr:uid="{6FA4896B-FAF2-439B-A5CE-0D82C1E742A7}"/>
    <cellStyle name="Comma 71" xfId="1037" xr:uid="{D915783A-D2A1-43BD-9A62-D07481607284}"/>
    <cellStyle name="Comma 71 2" xfId="1893" xr:uid="{1166C3E7-B81F-4C4A-8172-DE288A82CE8E}"/>
    <cellStyle name="Comma 71 3" xfId="2008" xr:uid="{C2BB547E-EC13-4D3F-BFC1-F71C3DE63C88}"/>
    <cellStyle name="Comma 710" xfId="2954" xr:uid="{F7BC52ED-9796-4C82-BC38-AB2831806178}"/>
    <cellStyle name="Comma 711" xfId="2955" xr:uid="{C81A3C47-ADEC-40F8-AE72-1F4B85B8AC50}"/>
    <cellStyle name="Comma 712" xfId="2956" xr:uid="{5AB01EA2-D605-4418-A303-2684AA958DA6}"/>
    <cellStyle name="Comma 713" xfId="2957" xr:uid="{9C946C43-0856-4716-91F7-71D43EBEB433}"/>
    <cellStyle name="Comma 714" xfId="2958" xr:uid="{4C43097F-B8CA-4ACB-97D0-74CB77FA526C}"/>
    <cellStyle name="Comma 715" xfId="2959" xr:uid="{40222357-BD3C-42C1-9B52-3295741192AA}"/>
    <cellStyle name="Comma 716" xfId="2960" xr:uid="{2190FB42-6003-41FD-8BBE-CE08DDE812DC}"/>
    <cellStyle name="Comma 717" xfId="2961" xr:uid="{BCB1E3C6-29D9-454E-94BB-2B584FE3BD70}"/>
    <cellStyle name="Comma 718" xfId="2964" xr:uid="{EF3A232B-93DA-4C9D-9EF9-EEB1F208DBC3}"/>
    <cellStyle name="Comma 719" xfId="2983" xr:uid="{39171676-C665-4934-B0CE-DEC8672A604C}"/>
    <cellStyle name="Comma 72" xfId="1038" xr:uid="{874CC5E1-CCCD-444C-A4BB-F4044847526A}"/>
    <cellStyle name="Comma 72 2" xfId="1895" xr:uid="{9CFC08D8-942D-4CF6-AD21-3466D7D25069}"/>
    <cellStyle name="Comma 72 3" xfId="2009" xr:uid="{4AF410C7-504C-434D-9AE2-D94F76ADE2A2}"/>
    <cellStyle name="Comma 720" xfId="2962" xr:uid="{548CE87F-A49E-4A10-995B-0E6EBE8B5C3F}"/>
    <cellStyle name="Comma 721" xfId="3003" xr:uid="{53ECF17A-76FB-437C-A8AD-960B8D46B55C}"/>
    <cellStyle name="Comma 722" xfId="3004" xr:uid="{D0B3483E-FA32-46FB-953B-E99474639D91}"/>
    <cellStyle name="Comma 723" xfId="3005" xr:uid="{D8EA59A4-8B95-46C4-9FE7-5B9617C02F03}"/>
    <cellStyle name="Comma 724" xfId="3390" xr:uid="{85A95870-95A0-4CF2-9BA4-119FB297B800}"/>
    <cellStyle name="Comma 725" xfId="3391" xr:uid="{D87FBDE5-52D9-44EB-B486-1ED3CD2460E9}"/>
    <cellStyle name="Comma 726" xfId="3392" xr:uid="{EBC5F7AB-853D-4240-871A-BEF1AE64134F}"/>
    <cellStyle name="Comma 727" xfId="3393" xr:uid="{8BC17015-C685-4EC2-B0FA-6D4C0508980B}"/>
    <cellStyle name="Comma 728" xfId="4270" xr:uid="{FDFD5E3B-0CD2-492A-9A1C-FD695059AB33}"/>
    <cellStyle name="Comma 729" xfId="4271" xr:uid="{EC7F46F8-F617-4935-B901-387BCC81F1CB}"/>
    <cellStyle name="Comma 73" xfId="1039" xr:uid="{18D991BC-DFD7-46F4-8332-C970E13C20B6}"/>
    <cellStyle name="Comma 73 2" xfId="1896" xr:uid="{6B3959D7-D423-4419-AE5D-127B3287BE0C}"/>
    <cellStyle name="Comma 73 3" xfId="2010" xr:uid="{6B033897-BE72-48CE-BBBA-488249706D6A}"/>
    <cellStyle name="Comma 730" xfId="16939" xr:uid="{51026235-CD9C-4D21-9B9A-4FDE27D44363}"/>
    <cellStyle name="Comma 731" xfId="16940" xr:uid="{A55A929C-401B-452C-A73A-7F5B76B6DB1E}"/>
    <cellStyle name="Comma 732" xfId="16941" xr:uid="{C251D7D0-F38B-4D0C-A2F0-3ACD5FA3F12D}"/>
    <cellStyle name="Comma 733" xfId="16942" xr:uid="{8440097A-56A5-4170-B06E-218139BB1C07}"/>
    <cellStyle name="Comma 734" xfId="16943" xr:uid="{0664DA62-0510-4D28-83C9-B859F080D98D}"/>
    <cellStyle name="Comma 735" xfId="16946" xr:uid="{8A11DB47-C259-4DCA-AB10-FEBDA5C0CCF6}"/>
    <cellStyle name="Comma 736" xfId="16947" xr:uid="{0341E5A4-F76C-42FD-93C5-3011D0B05C3F}"/>
    <cellStyle name="Comma 737" xfId="16955" xr:uid="{29724B1C-E716-4F8C-8509-FFE6B162725B}"/>
    <cellStyle name="Comma 738" xfId="16956" xr:uid="{B795E7EF-2EC0-48D4-93B4-C915DEF83974}"/>
    <cellStyle name="Comma 739" xfId="16957" xr:uid="{91DDFABF-B679-45CE-B714-CE349BC2FF1A}"/>
    <cellStyle name="Comma 74" xfId="1040" xr:uid="{3DF160DA-13C1-4AF4-8785-DF589AFC53EF}"/>
    <cellStyle name="Comma 74 2" xfId="1898" xr:uid="{AA271E96-14AF-4802-BF64-835591B34D19}"/>
    <cellStyle name="Comma 74 3" xfId="2011" xr:uid="{7804BC11-78D4-4793-9588-FEB1986CD9B6}"/>
    <cellStyle name="Comma 740" xfId="16958" xr:uid="{3E9995A2-7EC0-4561-B88D-03B7B6B5EE93}"/>
    <cellStyle name="Comma 741" xfId="16959" xr:uid="{433DD204-F3FC-4AFD-99A4-A97A052D4B54}"/>
    <cellStyle name="Comma 742" xfId="16960" xr:uid="{5F3BBB1B-872C-4F93-B140-278F5BA17E4F}"/>
    <cellStyle name="Comma 743" xfId="16961" xr:uid="{B330C336-751D-4B14-9045-8DFD85B48D8C}"/>
    <cellStyle name="Comma 744" xfId="16963" xr:uid="{31DA72F9-43E8-4B30-BC8E-F74CC0F384A7}"/>
    <cellStyle name="Comma 745" xfId="16964" xr:uid="{25C4114F-D024-4DEB-ADE6-079B42F94917}"/>
    <cellStyle name="Comma 746" xfId="16965" xr:uid="{2D93895C-B8CB-43D9-A8F0-D31A612DBD4B}"/>
    <cellStyle name="Comma 747" xfId="16972" xr:uid="{447CBD54-E380-4E43-A4C9-47B7ECC05286}"/>
    <cellStyle name="Comma 748" xfId="16973" xr:uid="{5370CE02-5BC1-4E54-AEB9-42DBD0B22152}"/>
    <cellStyle name="Comma 749" xfId="16974" xr:uid="{4440424E-32BD-4333-B606-5E1E4AE5303A}"/>
    <cellStyle name="Comma 75" xfId="1041" xr:uid="{D68EA7AD-1F60-4A09-AA09-0A8E8DA522AE}"/>
    <cellStyle name="Comma 75 2" xfId="1899" xr:uid="{FC51AD92-DACF-4616-BF8A-BDA74C0EB537}"/>
    <cellStyle name="Comma 75 3" xfId="2012" xr:uid="{38EEEAAA-0B39-4F47-8F88-6FB55263CEC1}"/>
    <cellStyle name="Comma 750" xfId="16975" xr:uid="{FC510C5A-0A1F-41BE-9226-DF0FAF75CA61}"/>
    <cellStyle name="Comma 751" xfId="16976" xr:uid="{6F90E00B-4D14-410C-B635-EE613BA9A399}"/>
    <cellStyle name="Comma 752" xfId="16978" xr:uid="{7C937878-052B-46D7-9624-C2A09209137A}"/>
    <cellStyle name="Comma 753" xfId="16979" xr:uid="{FBE21634-46B8-450C-80AD-D134BC6CF99A}"/>
    <cellStyle name="Comma 754" xfId="16980" xr:uid="{E67B8942-06B6-4E7C-9517-81A21C2C5A66}"/>
    <cellStyle name="Comma 755" xfId="16981" xr:uid="{BD033FC6-8CEF-481B-9B96-6C97FB6848E5}"/>
    <cellStyle name="Comma 756" xfId="16982" xr:uid="{B96014F4-E5FB-490F-9818-F2E94F6876C2}"/>
    <cellStyle name="Comma 757" xfId="16983" xr:uid="{D1704F12-55EF-4817-9027-616F827463D4}"/>
    <cellStyle name="Comma 758" xfId="16984" xr:uid="{0D45CC44-FB0A-4516-85D8-8474B647BC04}"/>
    <cellStyle name="Comma 759" xfId="16985" xr:uid="{7A9720B6-5966-4BDC-88B2-6D086039BD11}"/>
    <cellStyle name="Comma 76" xfId="1042" xr:uid="{A5AD2026-0E1F-4891-9D70-AE9CF618FE62}"/>
    <cellStyle name="Comma 76 2" xfId="1901" xr:uid="{ECEFAAEC-B47F-4522-A9EB-7F8BC061B419}"/>
    <cellStyle name="Comma 76 3" xfId="2013" xr:uid="{BF07CDB3-2489-4403-A56F-7132B4CA5BC7}"/>
    <cellStyle name="Comma 760" xfId="16986" xr:uid="{594B61A8-BE53-4C23-80C3-2F3BD6626937}"/>
    <cellStyle name="Comma 761" xfId="16987" xr:uid="{8A8C244A-C734-4B46-8C01-C4FAF3341042}"/>
    <cellStyle name="Comma 762" xfId="16988" xr:uid="{42161B59-7C00-494F-940D-13CE843F7C5B}"/>
    <cellStyle name="Comma 763" xfId="16989" xr:uid="{5745A6EA-D5A4-4755-954E-4EC1C2D1B5D4}"/>
    <cellStyle name="Comma 764" xfId="16990" xr:uid="{B0EBCB02-E1B4-499B-8805-531572C2F052}"/>
    <cellStyle name="Comma 765" xfId="16991" xr:uid="{61DA2C03-1C2D-4101-8783-00A35A8C090E}"/>
    <cellStyle name="Comma 766" xfId="16992" xr:uid="{69E48F0E-9424-4B60-A509-05053112B461}"/>
    <cellStyle name="Comma 767" xfId="16993" xr:uid="{C1E59418-96B7-4763-A171-4388E32678EB}"/>
    <cellStyle name="Comma 768" xfId="16994" xr:uid="{6D07C403-33B2-4709-8067-2240DC60D324}"/>
    <cellStyle name="Comma 769" xfId="16995" xr:uid="{15704339-5FE1-4F07-AFB4-4BCD6833DCC8}"/>
    <cellStyle name="Comma 77" xfId="1043" xr:uid="{92FEE585-E187-453D-B3C9-EDFB0DC31A3F}"/>
    <cellStyle name="Comma 77 2" xfId="1904" xr:uid="{D47B3CA1-B85F-4D82-B2DF-486223816EF6}"/>
    <cellStyle name="Comma 77 3" xfId="2015" xr:uid="{FE8E3797-9C25-4216-93D9-D4C389E7BF72}"/>
    <cellStyle name="Comma 770" xfId="16996" xr:uid="{519583A9-D6B7-419F-8D5D-68C5FD90329C}"/>
    <cellStyle name="Comma 771" xfId="16997" xr:uid="{324EC7B5-2173-41DA-9C33-8A895EF9C1F0}"/>
    <cellStyle name="Comma 772" xfId="16998" xr:uid="{564FA064-4E6D-4879-A6B9-C12C5998B8EF}"/>
    <cellStyle name="Comma 773" xfId="16999" xr:uid="{BF667D31-E0FE-4001-A4FF-7CEB08C6CF29}"/>
    <cellStyle name="Comma 774" xfId="17000" xr:uid="{19674225-556C-4929-B4E4-27F3C48DA5FE}"/>
    <cellStyle name="Comma 775" xfId="17001" xr:uid="{826F390C-78E2-490D-8256-6C9962435B45}"/>
    <cellStyle name="Comma 776" xfId="17002" xr:uid="{79BF4D05-63D6-4CA6-A010-E731EE848963}"/>
    <cellStyle name="Comma 777" xfId="17003" xr:uid="{F6A6A58B-96DB-43D5-893F-2D74455F15FB}"/>
    <cellStyle name="Comma 778" xfId="17004" xr:uid="{6E4790C7-7935-494C-8FED-8C591B43022C}"/>
    <cellStyle name="Comma 779" xfId="17005" xr:uid="{E6497576-E5F0-4B8B-B739-F7E4885B4E1E}"/>
    <cellStyle name="Comma 78" xfId="1044" xr:uid="{1C28BE64-680A-48EB-89A9-0ED85A4F9566}"/>
    <cellStyle name="Comma 78 2" xfId="1906" xr:uid="{11FB008F-9363-4C03-8970-0F825C3CE886}"/>
    <cellStyle name="Comma 78 3" xfId="2016" xr:uid="{2DC6853C-8079-4C90-AA7A-B57C273EC454}"/>
    <cellStyle name="Comma 780" xfId="17006" xr:uid="{3B6FFED0-EF50-4784-AB24-5ADD1503E9E4}"/>
    <cellStyle name="Comma 781" xfId="17007" xr:uid="{83EA240B-8108-489E-896B-1D820E5CE2D2}"/>
    <cellStyle name="Comma 782" xfId="17008" xr:uid="{C8BB525C-5C28-4F36-AF27-6DD31F61611E}"/>
    <cellStyle name="Comma 783" xfId="17009" xr:uid="{45F6CD98-3ACE-4E74-B0CA-79AAB904FD94}"/>
    <cellStyle name="Comma 784" xfId="17010" xr:uid="{2D08A6AA-923F-41A8-8F77-486CCAA4A806}"/>
    <cellStyle name="Comma 785" xfId="17011" xr:uid="{D2ACF129-2729-44F7-8049-84A96D192AD1}"/>
    <cellStyle name="Comma 786" xfId="17012" xr:uid="{97D1BFDA-1E7B-43D4-8268-2485837A5BD8}"/>
    <cellStyle name="Comma 787" xfId="17013" xr:uid="{89D935D4-BFAF-4EBA-8B57-BF0032E64A09}"/>
    <cellStyle name="Comma 788" xfId="17014" xr:uid="{F02C1777-9242-471F-9A9E-4E50DBF4A717}"/>
    <cellStyle name="Comma 789" xfId="17015" xr:uid="{41596EB0-277E-4394-94E4-3F99AB16D7C9}"/>
    <cellStyle name="Comma 79" xfId="1045" xr:uid="{C51FBC63-34EC-4830-9FF0-020D8A372A66}"/>
    <cellStyle name="Comma 79 2" xfId="1903" xr:uid="{045AF33C-AA02-40E0-A7D5-4EA210B46121}"/>
    <cellStyle name="Comma 79 3" xfId="2014" xr:uid="{E4F494D9-AF97-464D-BEAE-3A1B84964BB4}"/>
    <cellStyle name="Comma 790" xfId="17016" xr:uid="{C3C9D530-A772-40DB-BA17-E0AC35E26715}"/>
    <cellStyle name="Comma 791" xfId="17017" xr:uid="{A3EDAE5B-95A6-433F-91B9-F5C792F0C5AF}"/>
    <cellStyle name="Comma 792" xfId="17018" xr:uid="{9937AA78-A42C-4489-B5AE-AE4B72130EF0}"/>
    <cellStyle name="Comma 793" xfId="17019" xr:uid="{9E5F7CBB-529D-4CB1-86C5-8B92F165B088}"/>
    <cellStyle name="Comma 794" xfId="17020" xr:uid="{D4AAE23B-3595-4275-B58F-6EFE872885C4}"/>
    <cellStyle name="Comma 795" xfId="17021" xr:uid="{D941C5D2-BACC-4FD5-AB3F-37BF792B3C1A}"/>
    <cellStyle name="Comma 796" xfId="17022" xr:uid="{22A684E0-FB46-453F-ACA3-7DB82A8D8EAF}"/>
    <cellStyle name="Comma 797" xfId="17023" xr:uid="{A79CC3A2-91F3-45BC-8135-B4D98C2971AB}"/>
    <cellStyle name="Comma 798" xfId="17024" xr:uid="{F8F8B055-F38E-4CF8-A969-C52D0F8C539E}"/>
    <cellStyle name="Comma 799" xfId="17025" xr:uid="{098A4BD5-645F-480E-8B55-A605AC23FE7C}"/>
    <cellStyle name="Comma 8" xfId="64" xr:uid="{C9A940E1-2BF1-4118-9F9A-8B0938E443BF}"/>
    <cellStyle name="Comma 8 10" xfId="2101" xr:uid="{21282986-CB1B-4D2D-A965-970A2B50BF01}"/>
    <cellStyle name="Comma 8 11" xfId="2100" xr:uid="{AF75F625-E0FA-4EB2-B1BD-4EA71D6EE3AC}"/>
    <cellStyle name="Comma 8 12" xfId="2103" xr:uid="{B31F5193-B7D1-4106-9DDA-A1F309587FC7}"/>
    <cellStyle name="Comma 8 13" xfId="2106" xr:uid="{ADCC0FA0-63DE-492C-B311-B192C0FAFFB0}"/>
    <cellStyle name="Comma 8 14" xfId="2109" xr:uid="{929C0C0B-B058-4768-B00C-229A0692FCC1}"/>
    <cellStyle name="Comma 8 15" xfId="2112" xr:uid="{77DE2477-29E9-4271-A29A-89F0A32BF45C}"/>
    <cellStyle name="Comma 8 16" xfId="2115" xr:uid="{D0A62EE7-4BD0-43EB-A7DC-C0EE33711DAC}"/>
    <cellStyle name="Comma 8 17" xfId="2123" xr:uid="{64A4A05E-03B3-4DE7-8BB1-6C7C033DB500}"/>
    <cellStyle name="Comma 8 18" xfId="2119" xr:uid="{542A8882-A988-413C-9AF1-A771280C4E2C}"/>
    <cellStyle name="Comma 8 19" xfId="2125" xr:uid="{A8826DF8-2FFB-49EF-81FB-9FF82785E089}"/>
    <cellStyle name="Comma 8 2" xfId="1046" xr:uid="{CB9BE2CC-DA71-44C0-8C55-49F73363EDB6}"/>
    <cellStyle name="Comma 8 20" xfId="2120" xr:uid="{E19E8DA7-8FAE-4793-B79C-2E0D14910C5C}"/>
    <cellStyle name="Comma 8 21" xfId="2122" xr:uid="{252B738B-471C-40F8-8D1C-6A9CAB8C7669}"/>
    <cellStyle name="Comma 8 22" xfId="2141" xr:uid="{DB35CC22-399B-48EE-9896-8E2C8ED3C837}"/>
    <cellStyle name="Comma 8 23" xfId="2139" xr:uid="{CB736CB6-D2A9-45B7-98F3-A64F4B3D4320}"/>
    <cellStyle name="Comma 8 24" xfId="2143" xr:uid="{6E9402FB-9BB6-4E24-B9DA-437A1579671A}"/>
    <cellStyle name="Comma 8 25" xfId="2153" xr:uid="{EB30663E-99CF-4127-98F9-8716DD89A5B1}"/>
    <cellStyle name="Comma 8 26" xfId="2151" xr:uid="{2B56922C-07D7-424F-BBEE-689E4784C9CB}"/>
    <cellStyle name="Comma 8 27" xfId="2183" xr:uid="{AF053EF4-9011-4E9F-B012-404D2814B2B6}"/>
    <cellStyle name="Comma 8 28" xfId="2179" xr:uid="{257F292A-5428-4E92-B433-81755F169F35}"/>
    <cellStyle name="Comma 8 29" xfId="2178" xr:uid="{DF421AA7-8E6C-4230-8886-1E93B021670E}"/>
    <cellStyle name="Comma 8 3" xfId="1809" xr:uid="{5F10BDE8-4A37-4963-B0A0-907D67E1EFFE}"/>
    <cellStyle name="Comma 8 30" xfId="2182" xr:uid="{765A9139-9C89-4881-9E03-1335B0748CB6}"/>
    <cellStyle name="Comma 8 31" xfId="2163" xr:uid="{2278CA1C-D31E-4604-B78D-8045D24E76FE}"/>
    <cellStyle name="Comma 8 32" xfId="2204" xr:uid="{B4CE8037-9F8A-420F-9F7A-BC6188C7C549}"/>
    <cellStyle name="Comma 8 33" xfId="2290" xr:uid="{CB5B70A9-1079-4023-9548-CCAE056A51F1}"/>
    <cellStyle name="Comma 8 34" xfId="2288" xr:uid="{3BF864DC-AD0B-46F2-83BA-0EF10F2F9F9C}"/>
    <cellStyle name="Comma 8 35" xfId="2287" xr:uid="{5F1B6DD1-F077-4C46-A7BE-B11A58924A24}"/>
    <cellStyle name="Comma 8 36" xfId="2354" xr:uid="{E2333FD1-B6E6-4D43-82C1-13D4F0EF8ED9}"/>
    <cellStyle name="Comma 8 37" xfId="2350" xr:uid="{4F0F0C1E-1245-4919-99B3-8F309279BBA3}"/>
    <cellStyle name="Comma 8 38" xfId="2349" xr:uid="{E9857E05-D29A-44B8-8F12-5EE76DCD25CE}"/>
    <cellStyle name="Comma 8 39" xfId="2353" xr:uid="{9980B590-2FFE-411E-B0EF-4C7E7995CC1B}"/>
    <cellStyle name="Comma 8 4" xfId="1900" xr:uid="{6A83D9F8-C2DE-498B-BD0C-884BA4371337}"/>
    <cellStyle name="Comma 8 40" xfId="2337" xr:uid="{E5063ED2-5021-4A09-89F0-24C612219595}"/>
    <cellStyle name="Comma 8 41" xfId="264" xr:uid="{5F4DC623-95C9-497F-824B-4F4EFD9C508E}"/>
    <cellStyle name="Comma 8 5" xfId="2087" xr:uid="{EEEC6C41-EF72-4F57-8017-87349D1B9078}"/>
    <cellStyle name="Comma 8 6" xfId="2097" xr:uid="{D642136C-5DE9-45F0-83C1-2760592B0711}"/>
    <cellStyle name="Comma 8 7" xfId="2093" xr:uid="{F2235C72-F80D-4282-9536-34FD32A4407C}"/>
    <cellStyle name="Comma 8 8" xfId="2096" xr:uid="{EE9B747A-57A6-4612-9156-335B5DD98CFF}"/>
    <cellStyle name="Comma 8 9" xfId="2091" xr:uid="{F6D07BA2-A333-47CD-BA20-17B691759101}"/>
    <cellStyle name="Comma 80" xfId="1047" xr:uid="{A78075C5-D65A-409E-BA0D-33EAF6DDC4DD}"/>
    <cellStyle name="Comma 80 2" xfId="1907" xr:uid="{B5A63A5B-26CD-4591-84E8-2465542440FC}"/>
    <cellStyle name="Comma 80 3" xfId="2017" xr:uid="{ED985646-55A2-433C-88CD-65D38FEF9763}"/>
    <cellStyle name="Comma 800" xfId="17026" xr:uid="{39F53940-C6C5-493B-AEC8-6312D6AE225E}"/>
    <cellStyle name="Comma 801" xfId="17027" xr:uid="{9A9FCD01-4755-493F-81E4-FF1536C0FA30}"/>
    <cellStyle name="Comma 802" xfId="17028" xr:uid="{596577C6-F21C-4178-95FD-C9D120C186DC}"/>
    <cellStyle name="Comma 803" xfId="17029" xr:uid="{2659DBB5-F431-4706-994B-5BA1157DFB13}"/>
    <cellStyle name="Comma 804" xfId="17030" xr:uid="{D4745AE7-871C-46D4-AAA4-604E8E0623F2}"/>
    <cellStyle name="Comma 805" xfId="17031" xr:uid="{901DE9A6-96E6-4B3E-8BED-018FC8C7EEB0}"/>
    <cellStyle name="Comma 806" xfId="17032" xr:uid="{5384B733-6964-4B35-B6F4-E574CA85A519}"/>
    <cellStyle name="Comma 807" xfId="17033" xr:uid="{4486233D-9FA0-418C-8F54-D48394097E8A}"/>
    <cellStyle name="Comma 808" xfId="17034" xr:uid="{08CE6030-567B-4C67-9F9F-6C3411EE8568}"/>
    <cellStyle name="Comma 809" xfId="17035" xr:uid="{EB811123-1B0B-4AC5-B1ED-6499B5368D52}"/>
    <cellStyle name="Comma 81" xfId="1048" xr:uid="{EB4BAF85-275D-4372-BDBA-52A485DB2ABC}"/>
    <cellStyle name="Comma 81 2" xfId="1908" xr:uid="{19FE35D3-F677-4447-B659-428ED1D873F8}"/>
    <cellStyle name="Comma 81 3" xfId="2018" xr:uid="{CDCF39A3-42D7-4619-AD54-E17A20466633}"/>
    <cellStyle name="Comma 810" xfId="17036" xr:uid="{03B309A7-93B7-47E9-A308-FD241D1DC58B}"/>
    <cellStyle name="Comma 811" xfId="17037" xr:uid="{A49403DA-93B6-410D-85B1-8F1F24ED8C93}"/>
    <cellStyle name="Comma 812" xfId="17038" xr:uid="{097DC38F-1C9D-4194-9BC9-F98D34016553}"/>
    <cellStyle name="Comma 813" xfId="17039" xr:uid="{57992CC6-AEDB-433D-85BA-002147EEB112}"/>
    <cellStyle name="Comma 814" xfId="17040" xr:uid="{2330A94D-00E8-4798-98E8-A7454A1DCB3A}"/>
    <cellStyle name="Comma 815" xfId="17041" xr:uid="{30FBC2D4-F8CD-42FC-A8E8-768B4717AB1C}"/>
    <cellStyle name="Comma 816" xfId="17042" xr:uid="{9F95446A-F9F9-4D68-8F7D-D51D8446D1A5}"/>
    <cellStyle name="Comma 817" xfId="17043" xr:uid="{A8F506D4-EA0E-4315-8F52-52758BCF66F5}"/>
    <cellStyle name="Comma 818" xfId="17044" xr:uid="{34AECD73-9D16-46AB-8FA3-C1F004C3E60A}"/>
    <cellStyle name="Comma 819" xfId="17045" xr:uid="{E613CBE9-5211-4639-90E7-A25FC2800B91}"/>
    <cellStyle name="Comma 82" xfId="1049" xr:uid="{BD8F016B-7DE7-440B-A8BF-15F2A96C8EE6}"/>
    <cellStyle name="Comma 82 2" xfId="1909" xr:uid="{8A23925E-049F-4294-BABE-A9B7E26820F4}"/>
    <cellStyle name="Comma 82 3" xfId="2019" xr:uid="{5840D1AD-6863-4990-841D-BEC3575C23C1}"/>
    <cellStyle name="Comma 820" xfId="17046" xr:uid="{A2AAF096-7AAE-467B-8FEA-67CC5CF72A18}"/>
    <cellStyle name="Comma 821" xfId="17047" xr:uid="{EF1D168D-B01E-4BE6-AFD7-219516011DA0}"/>
    <cellStyle name="Comma 822" xfId="17048" xr:uid="{75F3BC63-CDF8-47B2-B579-EE2B419E16A0}"/>
    <cellStyle name="Comma 823" xfId="17049" xr:uid="{B39EB823-B1B0-4AA1-A668-4AE153A8ADAD}"/>
    <cellStyle name="Comma 824" xfId="17050" xr:uid="{7C88D254-E388-4ECC-81F5-5B7C22EF471F}"/>
    <cellStyle name="Comma 825" xfId="17051" xr:uid="{48A26086-08F9-4A3A-8B6D-292BA84AF00E}"/>
    <cellStyle name="Comma 826" xfId="17052" xr:uid="{55451497-9C60-46D2-8CBC-64F74B7D078D}"/>
    <cellStyle name="Comma 827" xfId="17053" xr:uid="{3215EB41-7CC8-4F20-BAB2-C7BD2541D049}"/>
    <cellStyle name="Comma 828" xfId="17054" xr:uid="{61ED88D4-8D4A-472A-927F-F7D9E50205B6}"/>
    <cellStyle name="Comma 829" xfId="17055" xr:uid="{1AB18555-4E37-45D9-A0CA-12E042AA7045}"/>
    <cellStyle name="Comma 83" xfId="1050" xr:uid="{39939CCF-20DC-4031-92C2-48350A43FB8C}"/>
    <cellStyle name="Comma 83 2" xfId="1911" xr:uid="{E90AD0FF-0C4F-46DC-9B5C-D98E0432DB3B}"/>
    <cellStyle name="Comma 83 3" xfId="2020" xr:uid="{09959586-3D0C-4FC0-A30E-D8F8DFD7B475}"/>
    <cellStyle name="Comma 830" xfId="17056" xr:uid="{F56DF5CB-570E-408A-B4C4-F9E2E40BD07F}"/>
    <cellStyle name="Comma 831" xfId="17057" xr:uid="{891CEF4C-243C-4EB1-9C3B-46A8C1B20118}"/>
    <cellStyle name="Comma 832" xfId="17058" xr:uid="{0EDC9D8D-CE7F-4F29-AFDC-947F1C4BCBF8}"/>
    <cellStyle name="Comma 833" xfId="17059" xr:uid="{8FDC0DC8-8D73-4B15-9A91-701CD2C77952}"/>
    <cellStyle name="Comma 834" xfId="17060" xr:uid="{CBADCAA4-A3AF-4A87-8651-9166AC523A1A}"/>
    <cellStyle name="Comma 835" xfId="17061" xr:uid="{5D41057C-34A8-431C-A24E-D7E2023602B0}"/>
    <cellStyle name="Comma 836" xfId="17062" xr:uid="{0748AE69-9B03-42EB-8C67-272EB830E8A9}"/>
    <cellStyle name="Comma 837" xfId="17063" xr:uid="{2AE38C55-2C6F-4313-80AA-B9156B2D3C26}"/>
    <cellStyle name="Comma 838" xfId="17064" xr:uid="{71A44A68-1E1F-4678-A473-D0E0E155241E}"/>
    <cellStyle name="Comma 839" xfId="17065" xr:uid="{D9353D0F-8734-4929-9462-7BD8F360485B}"/>
    <cellStyle name="Comma 84" xfId="1051" xr:uid="{E6970AFB-02B5-444F-B4E5-1411219D7018}"/>
    <cellStyle name="Comma 84 2" xfId="1912" xr:uid="{B4D86AF5-FDC7-4453-862E-0C8B1ECA440A}"/>
    <cellStyle name="Comma 84 3" xfId="2021" xr:uid="{4113826E-2002-406B-A6F0-1A31D13C727E}"/>
    <cellStyle name="Comma 840" xfId="17066" xr:uid="{B0F3656A-7732-40F5-984D-9A575E0ED06C}"/>
    <cellStyle name="Comma 841" xfId="17067" xr:uid="{F6F9EC0A-96E2-443E-90C5-8FAA8EE1BCDF}"/>
    <cellStyle name="Comma 842" xfId="17068" xr:uid="{1D8B2C7C-04F9-440A-B0DC-06E478BB343F}"/>
    <cellStyle name="Comma 843" xfId="17069" xr:uid="{B00883F2-0F5E-4519-958B-3AEAFAC46091}"/>
    <cellStyle name="Comma 844" xfId="17070" xr:uid="{7C22ACFE-9413-45FB-B7BC-22885E290AD1}"/>
    <cellStyle name="Comma 845" xfId="17071" xr:uid="{99E8D39B-78F8-4D33-B826-9771220E3D86}"/>
    <cellStyle name="Comma 846" xfId="17072" xr:uid="{DC0F8870-3092-45E2-B519-397E38E79930}"/>
    <cellStyle name="Comma 847" xfId="17073" xr:uid="{47426490-BF27-4EFA-87C7-24828845B447}"/>
    <cellStyle name="Comma 848" xfId="17074" xr:uid="{C9F1A88F-9B65-4447-BAB7-04EAC5FAC316}"/>
    <cellStyle name="Comma 849" xfId="17075" xr:uid="{68B3EB97-33EA-4DA0-ACDB-0D56C4A837F9}"/>
    <cellStyle name="Comma 85" xfId="1052" xr:uid="{93CFBB76-EAB5-40BA-A480-3DA261F8E6C1}"/>
    <cellStyle name="Comma 85 2" xfId="1914" xr:uid="{DE1EBBDD-0A5E-41F5-8E64-FBEF64A4874C}"/>
    <cellStyle name="Comma 85 3" xfId="2022" xr:uid="{296F5DCA-8099-4251-B0E5-4E0AF580BDA1}"/>
    <cellStyle name="Comma 850" xfId="17076" xr:uid="{1F46EB26-A15D-4130-AD53-86701C28A50C}"/>
    <cellStyle name="Comma 851" xfId="17077" xr:uid="{99ED8953-553C-4DA6-A457-FAB08C968717}"/>
    <cellStyle name="Comma 852" xfId="17078" xr:uid="{D4BC3816-0895-4C81-97BA-525D806DDB81}"/>
    <cellStyle name="Comma 853" xfId="17079" xr:uid="{DED2814B-D53B-4B0B-B96F-D57AB77830A7}"/>
    <cellStyle name="Comma 854" xfId="17080" xr:uid="{24E9E98B-CF69-4D20-B3F1-9F3ED75FE171}"/>
    <cellStyle name="Comma 855" xfId="17081" xr:uid="{4F6410E2-40AE-4782-8B77-094DA4E31C14}"/>
    <cellStyle name="Comma 856" xfId="17082" xr:uid="{3C02A7FC-411F-49A9-BAFF-65D8C9424C1B}"/>
    <cellStyle name="Comma 857" xfId="17083" xr:uid="{89BE276A-DC75-4DBA-AD49-2DE13CCDE3AA}"/>
    <cellStyle name="Comma 858" xfId="17084" xr:uid="{60D6233B-9E6A-4453-9D74-6B88FE56586C}"/>
    <cellStyle name="Comma 859" xfId="17085" xr:uid="{444FEFF2-53BF-4888-9A09-C7C787735679}"/>
    <cellStyle name="Comma 86" xfId="1053" xr:uid="{44BCC8D9-8F98-48F6-B612-1083E1A2B48A}"/>
    <cellStyle name="Comma 86 2" xfId="1915" xr:uid="{B282EA12-F7C5-4CD2-BFBE-76039269646A}"/>
    <cellStyle name="Comma 86 3" xfId="2023" xr:uid="{CFA812C2-2C5D-45D7-A468-A1860F42F88E}"/>
    <cellStyle name="Comma 860" xfId="17086" xr:uid="{44BA6F47-98AE-4C99-A4C1-92ED647A79D0}"/>
    <cellStyle name="Comma 861" xfId="17087" xr:uid="{46CF2DD0-7329-42AD-964E-4403BE78DE46}"/>
    <cellStyle name="Comma 862" xfId="17088" xr:uid="{ED4B921E-CF4D-476B-AF76-746A7837B016}"/>
    <cellStyle name="Comma 863" xfId="17089" xr:uid="{0D94FA2B-C542-4B0D-8B9E-9273901041FF}"/>
    <cellStyle name="Comma 864" xfId="17090" xr:uid="{5B21CE7F-833A-4F88-8149-8A10066B9552}"/>
    <cellStyle name="Comma 865" xfId="17091" xr:uid="{AC0AB869-E071-4231-81B4-DEA0B7362CE7}"/>
    <cellStyle name="Comma 866" xfId="17092" xr:uid="{1EA87C87-13BF-476A-B8B1-EDF12EE94EC1}"/>
    <cellStyle name="Comma 867" xfId="17093" xr:uid="{0F22F62C-C11B-44E9-B597-960574563875}"/>
    <cellStyle name="Comma 868" xfId="17094" xr:uid="{6585C9BE-6ED8-4F39-9835-50DBB163ECA6}"/>
    <cellStyle name="Comma 869" xfId="17095" xr:uid="{FF36235D-F88A-485F-90DF-8D6A3423B1F8}"/>
    <cellStyle name="Comma 87" xfId="1054" xr:uid="{FB116919-0EF0-49DE-9490-B15136D95044}"/>
    <cellStyle name="Comma 87 2" xfId="1917" xr:uid="{1F1A4395-24FE-41AC-913D-1B8E95817E79}"/>
    <cellStyle name="Comma 87 3" xfId="2024" xr:uid="{FFDE5DF8-AA63-4643-A9D0-2CE70CFA1DB0}"/>
    <cellStyle name="Comma 870" xfId="17096" xr:uid="{E3D6F050-378D-4D89-9081-701E481FE209}"/>
    <cellStyle name="Comma 871" xfId="17097" xr:uid="{D5C78C2C-A59D-4FB4-B346-434BDE30AC35}"/>
    <cellStyle name="Comma 872" xfId="17098" xr:uid="{C44141B5-5007-435B-AA45-33481B260D86}"/>
    <cellStyle name="Comma 873" xfId="17099" xr:uid="{DBE15070-6563-44B0-BCFB-9848D8516792}"/>
    <cellStyle name="Comma 874" xfId="17100" xr:uid="{F392F159-77A5-4ED2-B765-E31F5BB23B3C}"/>
    <cellStyle name="Comma 875" xfId="17101" xr:uid="{FA222747-037C-4501-9C55-E759E1E4554D}"/>
    <cellStyle name="Comma 876" xfId="17102" xr:uid="{E146E6A7-D09F-4401-B192-E8988B7B488F}"/>
    <cellStyle name="Comma 877" xfId="17103" xr:uid="{DDB252CD-AB2C-415C-AC6E-D191687BFFA0}"/>
    <cellStyle name="Comma 878" xfId="17104" xr:uid="{BF8D44A7-0837-4DDD-AE2E-76DCC9E33154}"/>
    <cellStyle name="Comma 879" xfId="17105" xr:uid="{68EED85D-D296-497E-8258-A55BEE807831}"/>
    <cellStyle name="Comma 88" xfId="1055" xr:uid="{299F3088-C5DA-4250-BB02-40400EA568F3}"/>
    <cellStyle name="Comma 88 2" xfId="1918" xr:uid="{3F6D009E-3088-44C5-A169-F5F1BD99A030}"/>
    <cellStyle name="Comma 88 3" xfId="2025" xr:uid="{64459378-93CF-49C7-BB70-3BB4912D53D7}"/>
    <cellStyle name="Comma 880" xfId="17106" xr:uid="{21DE18E1-23C8-4082-8455-C5BF40A2B420}"/>
    <cellStyle name="Comma 881" xfId="17107" xr:uid="{196B4A20-7638-4CB8-B5B6-B4E73F846738}"/>
    <cellStyle name="Comma 882" xfId="17108" xr:uid="{6E64D21B-1880-47E2-A42B-BF895F3D24CE}"/>
    <cellStyle name="Comma 883" xfId="17109" xr:uid="{20F6B2BA-25EF-4AAC-9520-541E5C76635B}"/>
    <cellStyle name="Comma 884" xfId="17110" xr:uid="{4C13F0F8-DD4A-48D6-97F3-407011258D63}"/>
    <cellStyle name="Comma 885" xfId="17111" xr:uid="{DD338BDC-0075-4F24-A009-921280297BAB}"/>
    <cellStyle name="Comma 886" xfId="17112" xr:uid="{ED82FFA9-B760-459F-87EF-B41C433B7871}"/>
    <cellStyle name="Comma 887" xfId="17113" xr:uid="{8114DE5D-E961-4D76-BB14-8FC5EF411650}"/>
    <cellStyle name="Comma 888" xfId="17114" xr:uid="{D0405556-A054-4C94-9121-376E0825A754}"/>
    <cellStyle name="Comma 889" xfId="17115" xr:uid="{49FB1F06-2E23-4626-8033-FAB70D9572C7}"/>
    <cellStyle name="Comma 89" xfId="1056" xr:uid="{F81C1465-0736-4F26-8F29-37314DDC4568}"/>
    <cellStyle name="Comma 89 2" xfId="1919" xr:uid="{0E4B66C6-27A5-4DA8-9C2A-B867A373680C}"/>
    <cellStyle name="Comma 89 3" xfId="2026" xr:uid="{A5683C4C-A708-4A9D-A79D-CA5ACC7BA7C7}"/>
    <cellStyle name="Comma 890" xfId="17116" xr:uid="{43255984-CC51-4C12-95D3-13BA2E640D9A}"/>
    <cellStyle name="Comma 891" xfId="17117" xr:uid="{7BCCA6F5-5995-4D6D-AABC-4E3355503B84}"/>
    <cellStyle name="Comma 892" xfId="17118" xr:uid="{D69F7B73-76DE-4DE7-B9D3-52246FB9FC5C}"/>
    <cellStyle name="Comma 893" xfId="17119" xr:uid="{4D89C264-E86D-4D7A-B048-17951C6BBC9D}"/>
    <cellStyle name="Comma 894" xfId="17120" xr:uid="{9D9277D3-5E41-44E9-8BF9-7D718EA7B7A5}"/>
    <cellStyle name="Comma 895" xfId="17121" xr:uid="{C754959E-BCB5-486B-A656-913C8A0D9064}"/>
    <cellStyle name="Comma 896" xfId="17122" xr:uid="{5649D7C6-4C03-4A6E-BB46-0D4C0CFBA1D3}"/>
    <cellStyle name="Comma 897" xfId="17123" xr:uid="{6DD46BC4-2C80-4FA5-9F93-19ADBE5CBD1B}"/>
    <cellStyle name="Comma 898" xfId="17124" xr:uid="{2B7B6154-15BF-46A1-9553-CAB0F09BCF1B}"/>
    <cellStyle name="Comma 899" xfId="17125" xr:uid="{029FE5E4-1CA9-45CA-AF7B-9B673C189443}"/>
    <cellStyle name="Comma 9" xfId="25" xr:uid="{2BF89B14-889A-4F09-976E-95BDED135C8E}"/>
    <cellStyle name="Comma 9 10" xfId="2138" xr:uid="{3B6ED185-C4C1-4C86-8BCC-0EC5C3F8A188}"/>
    <cellStyle name="Comma 9 11" xfId="2146" xr:uid="{B254CD98-9447-48CC-9FB9-0B4FF9EC238A}"/>
    <cellStyle name="Comma 9 12" xfId="2148" xr:uid="{269E4ED0-8682-45F2-8256-78BE9A10DE3A}"/>
    <cellStyle name="Comma 9 13" xfId="2150" xr:uid="{A30D93DA-241D-41FF-82FA-3D437198A664}"/>
    <cellStyle name="Comma 9 14" xfId="2156" xr:uid="{6E18AD2D-9526-4D67-AFD0-3D9319875821}"/>
    <cellStyle name="Comma 9 15" xfId="2158" xr:uid="{B7FA9AB6-134D-4DF0-8FCE-4DFD3E7AE7F5}"/>
    <cellStyle name="Comma 9 16" xfId="2194" xr:uid="{7FF75542-1724-480B-871D-A7E787149C79}"/>
    <cellStyle name="Comma 9 17" xfId="2171" xr:uid="{0BA2EABE-E12B-459A-B246-F070EB11A207}"/>
    <cellStyle name="Comma 9 18" xfId="2228" xr:uid="{65AEE768-9A6A-4BC1-A61D-B298F154BF8F}"/>
    <cellStyle name="Comma 9 19" xfId="2160" xr:uid="{0E307D35-F7C1-4BB4-B6EA-CD3A54BF692C}"/>
    <cellStyle name="Comma 9 2" xfId="1057" xr:uid="{DDBA3E6C-09FD-40B7-8070-F945DAA56DBD}"/>
    <cellStyle name="Comma 9 20" xfId="2252" xr:uid="{B0A556A5-0A71-4068-B9B3-577B0C472B09}"/>
    <cellStyle name="Comma 9 21" xfId="2261" xr:uid="{2E56C36D-0F37-4765-91DF-249756C6882A}"/>
    <cellStyle name="Comma 9 22" xfId="2293" xr:uid="{ECA65F08-2371-4AAE-A7D9-365F25B04DF5}"/>
    <cellStyle name="Comma 9 23" xfId="2283" xr:uid="{3EF0191E-9727-4D18-8ACD-C5B001D106EB}"/>
    <cellStyle name="Comma 9 24" xfId="2317" xr:uid="{19D9FA36-2ADC-423F-9BBF-407C8CDA725A}"/>
    <cellStyle name="Comma 9 25" xfId="2358" xr:uid="{6786ACB9-B69A-4B6D-8E4D-DF9517E65E87}"/>
    <cellStyle name="Comma 9 26" xfId="2344" xr:uid="{CA1F1A46-469F-4417-9503-AE7C5BEAF8B9}"/>
    <cellStyle name="Comma 9 27" xfId="2393" xr:uid="{E4A9ED11-135B-4C07-9D81-E9DA4525E17E}"/>
    <cellStyle name="Comma 9 28" xfId="2404" xr:uid="{9868A235-8DB3-46F6-9B8A-0F715539B184}"/>
    <cellStyle name="Comma 9 29" xfId="2413" xr:uid="{63E34F79-EB03-431F-92A1-947574C5832F}"/>
    <cellStyle name="Comma 9 3" xfId="1811" xr:uid="{B3956FD2-58F4-44AF-950B-CAEFF646023E}"/>
    <cellStyle name="Comma 9 30" xfId="265" xr:uid="{EC4E9393-185B-4B5F-8382-088FF2B3AA0F}"/>
    <cellStyle name="Comma 9 4" xfId="1897" xr:uid="{ABE3DE99-7362-41E9-AA70-AB96B2C696A5}"/>
    <cellStyle name="Comma 9 5" xfId="2118" xr:uid="{69CE1F1A-7031-4E7C-B154-2B3B2BE7693B}"/>
    <cellStyle name="Comma 9 6" xfId="2128" xr:uid="{DDA5C3C7-24FA-4644-A10D-92670D03B1A8}"/>
    <cellStyle name="Comma 9 7" xfId="2131" xr:uid="{C4574AD2-6BC9-4963-BCE9-7BBC4C38265E}"/>
    <cellStyle name="Comma 9 8" xfId="2134" xr:uid="{5B8834ED-992D-4DCA-BA7D-BB4E18165C31}"/>
    <cellStyle name="Comma 9 9" xfId="2136" xr:uid="{CD75DDA5-91EE-4CAD-91DF-EC83E40C56AB}"/>
    <cellStyle name="Comma 90" xfId="1058" xr:uid="{63002A00-74B2-408B-A0E4-D8F37BDC8231}"/>
    <cellStyle name="Comma 90 2" xfId="1920" xr:uid="{A2F7C358-AFEA-4FEC-A7D7-E08B6DA463F4}"/>
    <cellStyle name="Comma 90 3" xfId="2027" xr:uid="{A6600494-DFBB-4DEA-9AA4-80F301826818}"/>
    <cellStyle name="Comma 900" xfId="17126" xr:uid="{EF20B983-F5D3-4999-B22F-1FE5A48298E0}"/>
    <cellStyle name="Comma 901" xfId="17127" xr:uid="{B6AF8749-3ADD-4C41-9FC3-83D5B0075A41}"/>
    <cellStyle name="Comma 902" xfId="17128" xr:uid="{CB2E48EC-F0EA-4E26-8FB8-5B68719448FE}"/>
    <cellStyle name="Comma 903" xfId="17129" xr:uid="{6154E7CD-D2EA-4CA9-86AE-1D001125996D}"/>
    <cellStyle name="Comma 904" xfId="17130" xr:uid="{459CB9D2-0B08-4CBF-9E5E-6130D6EF20C0}"/>
    <cellStyle name="Comma 905" xfId="17131" xr:uid="{5C244A22-A9E2-47A2-AFC0-B1D1226570A4}"/>
    <cellStyle name="Comma 906" xfId="17132" xr:uid="{8C42B3FD-01D7-41D5-A51F-8FE39F7F205C}"/>
    <cellStyle name="Comma 907" xfId="17133" xr:uid="{A456DFC9-F85C-4244-A2D7-F07B769F814A}"/>
    <cellStyle name="Comma 908" xfId="17134" xr:uid="{4F354AF6-1430-494F-B077-EDD86371D8FB}"/>
    <cellStyle name="Comma 909" xfId="17135" xr:uid="{AF74AF97-1FB0-4544-B673-3AEFE0179E9F}"/>
    <cellStyle name="Comma 91" xfId="1059" xr:uid="{67B6A83D-70F1-4255-85E9-C7F9C66C6681}"/>
    <cellStyle name="Comma 91 2" xfId="1922" xr:uid="{9D0B1BA6-5634-478D-B08D-9528E6C439F4}"/>
    <cellStyle name="Comma 91 3" xfId="2029" xr:uid="{043EB5C0-D10B-4F1D-80BF-97BCCA9D7915}"/>
    <cellStyle name="Comma 910" xfId="17136" xr:uid="{958AC00C-FFA7-4F8C-87E4-DEFE58AA5534}"/>
    <cellStyle name="Comma 911" xfId="17137" xr:uid="{EAE51569-D62E-44C3-860C-C3A11E0B68AE}"/>
    <cellStyle name="Comma 912" xfId="17138" xr:uid="{57359556-9D36-4C5E-924F-062A6C1B6760}"/>
    <cellStyle name="Comma 913" xfId="17139" xr:uid="{36C67007-B620-420A-BE28-A4470738A36D}"/>
    <cellStyle name="Comma 914" xfId="17140" xr:uid="{3093C53A-F9EB-4E35-BF41-159663B90389}"/>
    <cellStyle name="Comma 915" xfId="17141" xr:uid="{61DD861B-046B-4923-923B-31B3188EBB7B}"/>
    <cellStyle name="Comma 916" xfId="17142" xr:uid="{17C57D7F-4CAA-4C56-8B1A-32DE8712D2D0}"/>
    <cellStyle name="Comma 917" xfId="17143" xr:uid="{EFC158F5-D1D7-4FD4-82F1-1BB8D3868768}"/>
    <cellStyle name="Comma 918" xfId="17144" xr:uid="{14F6154C-AA41-474D-BA89-A620BA31D1BC}"/>
    <cellStyle name="Comma 919" xfId="17145" xr:uid="{F9336E2A-FE43-40D0-8E67-825DF179CE9F}"/>
    <cellStyle name="Comma 92" xfId="1060" xr:uid="{ADBA41B5-B85C-4368-B01B-B2E3331726CE}"/>
    <cellStyle name="Comma 92 2" xfId="1921" xr:uid="{86315957-3460-4618-8C79-52193EFC982B}"/>
    <cellStyle name="Comma 92 3" xfId="2028" xr:uid="{655ACBA0-84D8-4209-B769-7166BA915AB9}"/>
    <cellStyle name="Comma 920" xfId="17146" xr:uid="{614FF919-00FB-4E01-BC4C-ECBC35E0549A}"/>
    <cellStyle name="Comma 921" xfId="17147" xr:uid="{95836000-74E4-46CA-A830-C9034CBE7C90}"/>
    <cellStyle name="Comma 922" xfId="17148" xr:uid="{6119F583-40AE-4757-B85E-B1F15F2B2E86}"/>
    <cellStyle name="Comma 923" xfId="17149" xr:uid="{BAF53ED3-E912-4F5A-ACE6-83EE41724EFB}"/>
    <cellStyle name="Comma 924" xfId="17150" xr:uid="{813790CE-ED79-4ACF-9F9C-F231DBDC1650}"/>
    <cellStyle name="Comma 925" xfId="17151" xr:uid="{C47B95BA-D224-46AB-A3DE-D2BE5A3A92D5}"/>
    <cellStyle name="Comma 926" xfId="17152" xr:uid="{AAFEFFFB-738F-456F-82F0-24A8F44FF474}"/>
    <cellStyle name="Comma 927" xfId="17153" xr:uid="{9CE3623F-D0E7-419A-AA0E-C5769620B210}"/>
    <cellStyle name="Comma 928" xfId="17154" xr:uid="{9E2A2CEC-A2D2-40A8-BDDD-CF56D645F86C}"/>
    <cellStyle name="Comma 929" xfId="17155" xr:uid="{D524F19B-AD5A-4E93-B37B-D129079703CB}"/>
    <cellStyle name="Comma 93" xfId="1061" xr:uid="{FBAD3414-5B9B-45C1-BF90-0A01AEC1771C}"/>
    <cellStyle name="Comma 93 2" xfId="1923" xr:uid="{D39341C6-0F52-4CF5-A856-F8BAFAFA81CA}"/>
    <cellStyle name="Comma 93 3" xfId="2030" xr:uid="{FEF232F1-C632-492B-ABCF-34DE6E442CB5}"/>
    <cellStyle name="Comma 930" xfId="17156" xr:uid="{9C8BA69B-9CB8-4E95-9D31-7987F34A408B}"/>
    <cellStyle name="Comma 931" xfId="17157" xr:uid="{8464BD20-CE12-48FB-B798-3061BA0C1381}"/>
    <cellStyle name="Comma 932" xfId="17158" xr:uid="{1F785770-644C-49E9-97BA-C3370B40493B}"/>
    <cellStyle name="Comma 933" xfId="17159" xr:uid="{B40766C4-0B98-425C-B3C8-B3E62962EB9D}"/>
    <cellStyle name="Comma 934" xfId="17160" xr:uid="{B3961BE1-9539-4339-AD5A-CED5E2BFF515}"/>
    <cellStyle name="Comma 935" xfId="17161" xr:uid="{9E4B8F14-2892-4510-995F-3749AC8CBBE4}"/>
    <cellStyle name="Comma 936" xfId="17162" xr:uid="{73900FE4-5182-4A3E-92AA-A51F3D96E30E}"/>
    <cellStyle name="Comma 937" xfId="17163" xr:uid="{1B8713C4-E57E-4B1E-AE32-EB6D0626E09F}"/>
    <cellStyle name="Comma 938" xfId="17164" xr:uid="{A026AF2D-4950-432E-A06D-B1A9EC457E70}"/>
    <cellStyle name="Comma 939" xfId="17165" xr:uid="{2C74EB8D-CC16-4B66-99EF-21A0DCF8BC5B}"/>
    <cellStyle name="Comma 94" xfId="1062" xr:uid="{D5CBAE08-D9D7-4F4B-945F-2035023EAFD1}"/>
    <cellStyle name="Comma 94 2" xfId="1924" xr:uid="{4689C651-0948-40E7-B9C2-D0AFDA8770DA}"/>
    <cellStyle name="Comma 94 3" xfId="2031" xr:uid="{63D2B018-CF63-4EAA-95CD-8FA4A4FF9001}"/>
    <cellStyle name="Comma 940" xfId="17166" xr:uid="{8C7A8C1B-3767-4DA5-8FC2-A01298FA2181}"/>
    <cellStyle name="Comma 941" xfId="17167" xr:uid="{5436CE58-6A57-4955-B621-8C34A97A72EE}"/>
    <cellStyle name="Comma 942" xfId="17168" xr:uid="{D05335F6-EBF2-4065-8B79-C0DB9BD4229F}"/>
    <cellStyle name="Comma 943" xfId="17169" xr:uid="{94A6835B-41E2-4FA8-84D0-BBCD0CD0CA00}"/>
    <cellStyle name="Comma 944" xfId="17170" xr:uid="{6F7189D9-225B-4DB2-A22A-CCB28E2C5FCC}"/>
    <cellStyle name="Comma 945" xfId="17171" xr:uid="{2BEA5F50-4A4E-425E-8E9A-66D83F780F55}"/>
    <cellStyle name="Comma 946" xfId="17172" xr:uid="{39A40328-91E0-46AB-852F-DB1BAF0E4FD0}"/>
    <cellStyle name="Comma 947" xfId="17173" xr:uid="{88BCF809-A5A9-48C6-8D3F-04CC8779D3F5}"/>
    <cellStyle name="Comma 948" xfId="17174" xr:uid="{BA264FC4-7D3D-4E80-A78A-C9507AD53ADA}"/>
    <cellStyle name="Comma 949" xfId="17175" xr:uid="{2BDBA26A-B522-486B-A30A-98D1FEA23735}"/>
    <cellStyle name="Comma 95" xfId="1063" xr:uid="{4FCEC299-B3CB-44B1-92DB-D6D66FAF4911}"/>
    <cellStyle name="Comma 95 2" xfId="1926" xr:uid="{30CCD2E6-B6FC-4CF4-8BAA-0820489CA6FA}"/>
    <cellStyle name="Comma 95 3" xfId="2033" xr:uid="{720E70CC-5AE5-4B46-9D83-4985629941BB}"/>
    <cellStyle name="Comma 950" xfId="17176" xr:uid="{B08C9A3C-499F-476B-9D25-7D8DF49F2CD2}"/>
    <cellStyle name="Comma 951" xfId="17177" xr:uid="{63B5B773-F511-4CDD-95D9-6179081FB41D}"/>
    <cellStyle name="Comma 952" xfId="17178" xr:uid="{D71952B3-A86D-4832-B58C-4D5401E74ADE}"/>
    <cellStyle name="Comma 953" xfId="17179" xr:uid="{6558288E-3F41-40AA-978B-7DA286C201AC}"/>
    <cellStyle name="Comma 954" xfId="17180" xr:uid="{F3AE8795-D160-4D62-A8B8-911C9C99EEAD}"/>
    <cellStyle name="Comma 955" xfId="17181" xr:uid="{8A1625D1-F577-46A2-9C99-311F729FEB74}"/>
    <cellStyle name="Comma 956" xfId="17182" xr:uid="{A887D5F9-D245-4E3F-A3F9-AF167063B2ED}"/>
    <cellStyle name="Comma 957" xfId="17183" xr:uid="{08868500-90B0-4EF1-9DDB-D44AF03E6C4F}"/>
    <cellStyle name="Comma 958" xfId="17184" xr:uid="{2DA8CAD1-B1A9-48B4-A53E-E9D374E757A6}"/>
    <cellStyle name="Comma 959" xfId="17185" xr:uid="{7D333650-67ED-4815-8E8A-55A593824143}"/>
    <cellStyle name="Comma 96" xfId="1064" xr:uid="{C20B31C4-A036-4EB0-B8AD-96CCEFB60E5C}"/>
    <cellStyle name="Comma 96 2" xfId="1927" xr:uid="{3E5A8EE2-F80C-45E9-AFBF-F8587C5EC46F}"/>
    <cellStyle name="Comma 96 3" xfId="2034" xr:uid="{99AF6397-184E-468D-B194-D1834EC3EA75}"/>
    <cellStyle name="Comma 960" xfId="17186" xr:uid="{02296E54-8A96-47E5-8CA1-3B07BC9DC72D}"/>
    <cellStyle name="Comma 961" xfId="17187" xr:uid="{04625AB3-EF04-4E27-8F46-6A57D4970D8A}"/>
    <cellStyle name="Comma 962" xfId="17188" xr:uid="{C1E17D95-E4C6-47F7-959D-A954705764FC}"/>
    <cellStyle name="Comma 963" xfId="17189" xr:uid="{8DDD3C41-E889-4958-B0E5-338DB58CDEBD}"/>
    <cellStyle name="Comma 964" xfId="17190" xr:uid="{3CF6D3C7-B9C5-442E-8E15-E6271BEFCB70}"/>
    <cellStyle name="Comma 965" xfId="17191" xr:uid="{FBCEDD45-97CE-4349-9C64-268B6E68113B}"/>
    <cellStyle name="Comma 966" xfId="17192" xr:uid="{EDD8B7F1-385A-4997-9509-3CFC6BB3CBBD}"/>
    <cellStyle name="Comma 967" xfId="17193" xr:uid="{E743127B-ED83-4AC8-AEA5-A93272E01F7E}"/>
    <cellStyle name="Comma 968" xfId="17194" xr:uid="{436A2229-ED3E-483A-A5B9-3FF8B83EF3D6}"/>
    <cellStyle name="Comma 969" xfId="17195" xr:uid="{83C65AD3-AB3E-468D-B97C-B2F1EF800D9C}"/>
    <cellStyle name="Comma 97" xfId="1065" xr:uid="{06CE2D17-3424-4C74-A51B-95613F3F51A1}"/>
    <cellStyle name="Comma 97 2" xfId="1925" xr:uid="{007E1BB3-5676-488F-8D33-C3F63D016253}"/>
    <cellStyle name="Comma 97 3" xfId="2032" xr:uid="{413F9E31-593B-494D-86B8-42EFB2FAFF03}"/>
    <cellStyle name="Comma 970" xfId="17196" xr:uid="{F4BABC45-7C7E-44F2-9C58-939E456341E3}"/>
    <cellStyle name="Comma 971" xfId="17197" xr:uid="{A51EEC4F-BCCF-42D0-B398-6ADE762494C2}"/>
    <cellStyle name="Comma 972" xfId="17198" xr:uid="{29622052-8855-42FE-A377-B5E747F70CDF}"/>
    <cellStyle name="Comma 973" xfId="17199" xr:uid="{3E4A552C-7D58-41D3-8A32-2E34E3055400}"/>
    <cellStyle name="Comma 974" xfId="17200" xr:uid="{B9ACC49C-64F4-47AE-A2C6-0BEB4C48D6BD}"/>
    <cellStyle name="Comma 975" xfId="17201" xr:uid="{FE379598-6A19-48B8-9936-A039D883E26A}"/>
    <cellStyle name="Comma 976" xfId="17202" xr:uid="{63B3CD3E-E604-4C23-9AC2-C916CD0E6935}"/>
    <cellStyle name="Comma 977" xfId="17203" xr:uid="{C2D7CAB8-A3B1-4760-9A97-67DB59A7F6E6}"/>
    <cellStyle name="Comma 978" xfId="17204" xr:uid="{92037B06-8CA3-4249-B5C4-EF031022C8E7}"/>
    <cellStyle name="Comma 979" xfId="17205" xr:uid="{EC6DAE07-AFF7-4DC8-9E45-EB532693BAC0}"/>
    <cellStyle name="Comma 98" xfId="1066" xr:uid="{8C4C3E7F-5B7B-43BB-8CF2-DE7700E419E1}"/>
    <cellStyle name="Comma 98 2" xfId="1928" xr:uid="{2A493907-4B27-40F7-B86E-DB73DAE4B9A3}"/>
    <cellStyle name="Comma 98 3" xfId="2035" xr:uid="{263559C6-5200-4547-9584-0AAFD00A0E36}"/>
    <cellStyle name="Comma 980" xfId="17206" xr:uid="{B87C1F06-F842-47DD-8292-DA1DCA4CB365}"/>
    <cellStyle name="Comma 981" xfId="17207" xr:uid="{7FE52FE0-BD15-4F0C-8E38-B6665FA326E5}"/>
    <cellStyle name="Comma 982" xfId="17208" xr:uid="{1ABC3D3D-F53F-4123-9812-57215DC89AD1}"/>
    <cellStyle name="Comma 983" xfId="17209" xr:uid="{672CEDC5-352F-4F37-80ED-4939300FDB89}"/>
    <cellStyle name="Comma 984" xfId="17210" xr:uid="{A6232DB2-65E9-4741-A020-743CC176CE33}"/>
    <cellStyle name="Comma 985" xfId="17211" xr:uid="{A7CCE4C6-1CE8-4C9B-82F2-199FB2439A85}"/>
    <cellStyle name="Comma 986" xfId="17212" xr:uid="{7E0BBA13-B850-4B54-AC70-98099C8FBDD7}"/>
    <cellStyle name="Comma 987" xfId="17213" xr:uid="{F18CAC0F-962B-4623-A108-F9C9778E540E}"/>
    <cellStyle name="Comma 988" xfId="17214" xr:uid="{9BD40016-9EF2-43BB-A8E1-C55D83CC7967}"/>
    <cellStyle name="Comma 989" xfId="17215" xr:uid="{D4BBABC2-4E3E-4B50-BE17-87A3BEAD874B}"/>
    <cellStyle name="Comma 99" xfId="1067" xr:uid="{1FF68330-3E14-44D9-BE45-625C5E1F876B}"/>
    <cellStyle name="Comma 99 2" xfId="1929" xr:uid="{8790728F-2E6F-4596-8368-74D0A2555B38}"/>
    <cellStyle name="Comma 99 3" xfId="2036" xr:uid="{68546F25-A240-44A8-99A6-38A716C4ABFB}"/>
    <cellStyle name="Comma 990" xfId="17216" xr:uid="{101017A6-87CD-4D84-94D2-F2D6D040219F}"/>
    <cellStyle name="Comma 991" xfId="17217" xr:uid="{08CB0FFE-CBB8-429F-BAC0-B9BEB8CC16EE}"/>
    <cellStyle name="Comma 992" xfId="17218" xr:uid="{97DC9485-373C-4988-9F40-D5B19E8E2E3D}"/>
    <cellStyle name="Comma 993" xfId="17219" xr:uid="{EA6D8C9E-871C-4DFC-BD82-BC34481A28B8}"/>
    <cellStyle name="Comma 994" xfId="17220" xr:uid="{CD90F1C2-0B5E-4D73-8E40-518742AD84CA}"/>
    <cellStyle name="Comma 995" xfId="17221" xr:uid="{59E68064-75AF-493A-A302-66E935A68601}"/>
    <cellStyle name="Comma 996" xfId="17222" xr:uid="{03C659A5-A093-4547-985D-51234463ED5A}"/>
    <cellStyle name="Comma 997" xfId="17223" xr:uid="{0B352785-95A5-44B3-A9D9-BF26A4BC77CD}"/>
    <cellStyle name="Comma 998" xfId="17224" xr:uid="{530FDC0B-737B-4A27-9AF2-C1BE4A04226F}"/>
    <cellStyle name="Comma 999" xfId="17225" xr:uid="{3827214E-E86B-4A65-BF97-33631FDAAAAB}"/>
    <cellStyle name="Comma0" xfId="201" xr:uid="{583A601A-00BF-495C-86E3-6AEE22385B3C}"/>
    <cellStyle name="Currency0" xfId="202" xr:uid="{C32605D0-2406-4897-914B-E44BC5621ADA}"/>
    <cellStyle name="Date" xfId="203" xr:uid="{E5FB2CFD-FB5E-4D73-A744-CA51810BE292}"/>
    <cellStyle name="Excel Built-in Normal" xfId="16962" xr:uid="{F3E32576-C8E4-4BB5-A3F0-EE74236158D3}"/>
    <cellStyle name="Explanatory Text 2" xfId="1068" xr:uid="{B09AC9F1-DA63-45FF-8D91-4B05383531D4}"/>
    <cellStyle name="Explanatory Text 3" xfId="1069" xr:uid="{AA8726DB-B2FB-4AED-B71B-37EF7FD22FF8}"/>
    <cellStyle name="Explanatory Text 4" xfId="1070" xr:uid="{0B784135-C233-4765-AFFD-DEB87BC5B322}"/>
    <cellStyle name="Fixed" xfId="204" xr:uid="{0E8ADBE3-F05A-4C7F-B8E7-AF3BE3C7A3D9}"/>
    <cellStyle name="Good 2" xfId="1071" xr:uid="{8C3A44A1-1507-41BB-B4D5-590049C5A5D5}"/>
    <cellStyle name="Good 3" xfId="1072" xr:uid="{8F77146C-3289-472E-8877-AB1850BEE7B2}"/>
    <cellStyle name="Good 4" xfId="1073" xr:uid="{B207EDC1-F9A1-4A11-BC0A-A39B05E9B391}"/>
    <cellStyle name="Header1" xfId="205" xr:uid="{62084452-0F2E-447C-97B7-39BE4CA22AF8}"/>
    <cellStyle name="Header2" xfId="206" xr:uid="{8CA38FCF-B946-4001-841C-E7816A2D164A}"/>
    <cellStyle name="Header2 10" xfId="17335" xr:uid="{E0444381-F852-4750-994F-53ED8ECFFA43}"/>
    <cellStyle name="Header2 2" xfId="2984" xr:uid="{480171CC-6AE4-4032-8B5B-8405601160AE}"/>
    <cellStyle name="Header2 2 2" xfId="3336" xr:uid="{2E260CC4-DF75-46B0-856E-ECCAFF17D220}"/>
    <cellStyle name="Header2 2 2 2" xfId="4216" xr:uid="{04301709-0A98-4D93-A3DB-15258D27D700}"/>
    <cellStyle name="Header2 2 2 2 2" xfId="4989" xr:uid="{8B4C25DC-9D85-4063-8909-B7431CCA0FF3}"/>
    <cellStyle name="Header2 2 2 2 2 2" xfId="7484" xr:uid="{1ACD6F34-AB77-4EA4-A02D-8F4718AE8D3F}"/>
    <cellStyle name="Header2 2 2 2 2 3" xfId="10606" xr:uid="{EC43DA31-2510-4556-A158-92EE98187827}"/>
    <cellStyle name="Header2 2 2 2 2 4" xfId="12102" xr:uid="{7B6C9A58-269C-4F96-8DF4-2A779F6FE496}"/>
    <cellStyle name="Header2 2 2 2 2 5" xfId="15249" xr:uid="{4B33117A-10F1-40C7-B32D-33B75631DF52}"/>
    <cellStyle name="Header2 2 2 2 3" xfId="6769" xr:uid="{AF44A0AC-1BE7-49EE-B4DE-2FE4D66EC96D}"/>
    <cellStyle name="Header2 2 2 2 4" xfId="9835" xr:uid="{D489F454-DA6D-45B6-B00B-ABDFD5C052C9}"/>
    <cellStyle name="Header2 2 2 2 5" xfId="11395" xr:uid="{33C0964E-524C-4EC7-992D-6029D875DCC4}"/>
    <cellStyle name="Header2 2 2 2 6" xfId="14478" xr:uid="{13A3C2F1-1F2B-448E-98F7-844073685367}"/>
    <cellStyle name="Header2 2 2 3" xfId="4400" xr:uid="{9FDE1D24-6292-491D-8F7E-2687151D0728}"/>
    <cellStyle name="Header2 2 2 3 2" xfId="6906" xr:uid="{6EC79185-6B3C-43CC-851A-50280839C311}"/>
    <cellStyle name="Header2 2 2 3 3" xfId="10017" xr:uid="{2DCCB547-526C-4890-A3F8-7DAAFC7AB293}"/>
    <cellStyle name="Header2 2 2 3 4" xfId="11526" xr:uid="{E5164491-E53F-4972-B6C8-F92CA08043A6}"/>
    <cellStyle name="Header2 2 2 3 5" xfId="14660" xr:uid="{8515A601-A84A-4607-BF14-66FE5207E958}"/>
    <cellStyle name="Header2 2 2 4" xfId="6100" xr:uid="{004A59FB-4969-4261-8902-992723320E59}"/>
    <cellStyle name="Header2 2 2 5" xfId="8998" xr:uid="{815E49CA-95A1-47B3-9AC5-990291AC3F89}"/>
    <cellStyle name="Header2 2 2 6" xfId="10732" xr:uid="{9504AFDE-CEE9-4006-83DC-4EB78F34D5F4}"/>
    <cellStyle name="Header2 2 2 7" xfId="13610" xr:uid="{B5C4CC35-6C5F-4C52-BDF2-1C2CF7017C92}"/>
    <cellStyle name="Header2 2 3" xfId="3060" xr:uid="{C85ECBAE-8FDF-4803-A380-61A53B6B7728}"/>
    <cellStyle name="Header2 2 3 10" xfId="5080" xr:uid="{0B9DEBFB-9B62-42D8-932C-28170B2E90C6}"/>
    <cellStyle name="Header2 2 3 11" xfId="5520" xr:uid="{07DE912D-4064-41A7-8C61-7A048BE0F63B}"/>
    <cellStyle name="Header2 2 3 2" xfId="3940" xr:uid="{8290AC81-4A15-412A-B85A-9EC0A667F1E8}"/>
    <cellStyle name="Header2 2 3 2 2" xfId="4807" xr:uid="{7393B923-FE34-4929-BE12-B311E3982E30}"/>
    <cellStyle name="Header2 2 3 2 2 2" xfId="7302" xr:uid="{645EF650-1D9F-4017-B47C-B9ACF9730C77}"/>
    <cellStyle name="Header2 2 3 2 2 3" xfId="10424" xr:uid="{5B15E42E-53CB-47AB-9F17-BBBAAB7691D5}"/>
    <cellStyle name="Header2 2 3 2 2 4" xfId="11920" xr:uid="{EDC320B3-61A2-49F0-AD93-EE554BEBE755}"/>
    <cellStyle name="Header2 2 3 2 2 5" xfId="15067" xr:uid="{F5B94A55-9860-43C7-BFCD-568AE05E0823}"/>
    <cellStyle name="Header2 2 3 2 3" xfId="6563" xr:uid="{408E3186-F404-48A2-A645-706F202DD0AE}"/>
    <cellStyle name="Header2 2 3 2 4" xfId="9559" xr:uid="{468B2AEF-ACB7-46E5-9447-32AB1657FADC}"/>
    <cellStyle name="Header2 2 3 2 5" xfId="11194" xr:uid="{EBBECEE6-9291-4C95-824D-4061B7D201A0}"/>
    <cellStyle name="Header2 2 3 2 6" xfId="14202" xr:uid="{3F2ACB55-93E4-4E02-9FE8-048886D319CE}"/>
    <cellStyle name="Header2 2 3 3" xfId="3502" xr:uid="{679BE7AE-E4EC-4202-B6EC-AD6DE5297482}"/>
    <cellStyle name="Header2 2 3 3 2" xfId="4521" xr:uid="{2597A4CD-FA09-4E94-97C5-E164CB68AF69}"/>
    <cellStyle name="Header2 2 3 3 2 2" xfId="7016" xr:uid="{CA7F7495-D70B-4151-9814-6FD4F25E12AF}"/>
    <cellStyle name="Header2 2 3 3 2 3" xfId="10138" xr:uid="{9866147F-0356-4EB8-B1D4-ED2882A3E755}"/>
    <cellStyle name="Header2 2 3 3 2 4" xfId="11634" xr:uid="{C1E8EF06-F226-4ED3-9F17-C38CC85D5EE3}"/>
    <cellStyle name="Header2 2 3 3 2 5" xfId="14781" xr:uid="{859BEFA6-0634-4038-B29D-6336898EA13C}"/>
    <cellStyle name="Header2 2 3 3 3" xfId="6232" xr:uid="{A13F9C34-6FE9-44C7-99C9-AF9F220A71BF}"/>
    <cellStyle name="Header2 2 3 3 4" xfId="9121" xr:uid="{0453E77E-CFF5-44EE-BD44-6AE9404F319C}"/>
    <cellStyle name="Header2 2 3 3 5" xfId="10865" xr:uid="{CA4014BA-D6C5-4ED5-8244-8FF96718E5A3}"/>
    <cellStyle name="Header2 2 3 3 6" xfId="13764" xr:uid="{CF2DA6E4-4593-4E66-ABE0-7E3D42D719AF}"/>
    <cellStyle name="Header2 2 3 4" xfId="4302" xr:uid="{E913ED35-8FEB-4810-A5C2-B5DAAFE185FF}"/>
    <cellStyle name="Header2 2 3 4 2" xfId="6828" xr:uid="{6731ACDE-A193-4030-8FBD-53D0009B7BDB}"/>
    <cellStyle name="Header2 2 3 4 3" xfId="9919" xr:uid="{F960CA8A-7C66-425A-B792-BFEACD0E0236}"/>
    <cellStyle name="Header2 2 3 4 4" xfId="11449" xr:uid="{77B1C979-519D-4FBB-91F2-26B7F88CCBE9}"/>
    <cellStyle name="Header2 2 3 4 5" xfId="14562" xr:uid="{DD740664-71DA-48A4-AD7B-F3D5DFD1304E}"/>
    <cellStyle name="Header2 2 3 5" xfId="5940" xr:uid="{E1300A07-89AD-48EA-BE69-79094470F2FE}"/>
    <cellStyle name="Header2 2 3 6" xfId="5254" xr:uid="{3B442BDD-30C7-4F10-80A4-E519E978AA88}"/>
    <cellStyle name="Header2 2 3 7" xfId="5825" xr:uid="{0ED8E3DB-A2A5-4820-9DC2-C5AACF455777}"/>
    <cellStyle name="Header2 2 3 8" xfId="5771" xr:uid="{66FD25C4-CE50-4D0F-A1F1-039D3F0750D0}"/>
    <cellStyle name="Header2 2 3 9" xfId="5279" xr:uid="{3078D260-7553-4A22-AD11-7C532C569F90}"/>
    <cellStyle name="Header2 2 4" xfId="3388" xr:uid="{7E8A8E11-6DE5-4486-8B89-CBAC95B28F5C}"/>
    <cellStyle name="Header2 2 4 10" xfId="13654" xr:uid="{CDC87764-C210-4B7D-843A-82D2A12057CE}"/>
    <cellStyle name="Header2 2 4 11" xfId="15345" xr:uid="{8D32644E-3104-4122-902A-DE08323ECB02}"/>
    <cellStyle name="Header2 2 4 2" xfId="4268" xr:uid="{BA41942B-AB18-420E-80D9-3072580455EA}"/>
    <cellStyle name="Header2 2 4 2 2" xfId="5017" xr:uid="{527DEBBB-65DA-4DDA-896B-F8D65165D16D}"/>
    <cellStyle name="Header2 2 4 2 2 2" xfId="7512" xr:uid="{BDD6089A-CFF8-4391-BA11-EA4219D71C65}"/>
    <cellStyle name="Header2 2 4 2 2 3" xfId="10634" xr:uid="{A39F01FD-3DA7-4C56-858E-50809EA9379B}"/>
    <cellStyle name="Header2 2 4 2 2 4" xfId="12130" xr:uid="{2E666014-D781-45D8-8372-5494C34EE102}"/>
    <cellStyle name="Header2 2 4 2 2 5" xfId="15277" xr:uid="{593564C8-2313-4550-9202-3B56DCDBB27D}"/>
    <cellStyle name="Header2 2 4 2 3" xfId="6805" xr:uid="{81586496-A7AE-47DA-8AC0-047DCF25C1E8}"/>
    <cellStyle name="Header2 2 4 2 4" xfId="9887" xr:uid="{E017DFB4-E31B-4726-AA66-CC85D1858076}"/>
    <cellStyle name="Header2 2 4 2 5" xfId="11424" xr:uid="{9C02BEBB-722B-4CED-BDDD-43424964EE48}"/>
    <cellStyle name="Header2 2 4 2 6" xfId="14530" xr:uid="{38632CDE-75C4-4FF2-9114-CBB63F1936C0}"/>
    <cellStyle name="Header2 2 4 3" xfId="3828" xr:uid="{50BA1293-5D3D-4777-B729-D2D7AD625BA2}"/>
    <cellStyle name="Header2 2 4 3 2" xfId="4729" xr:uid="{F8795244-F8C4-4D5C-B299-3A50A36B8CDC}"/>
    <cellStyle name="Header2 2 4 3 2 2" xfId="7224" xr:uid="{C23F3896-F3CE-4A87-999C-1158FB879D33}"/>
    <cellStyle name="Header2 2 4 3 2 3" xfId="10346" xr:uid="{60E098D5-3C89-4CCA-8A45-86C2767BE52F}"/>
    <cellStyle name="Header2 2 4 3 2 4" xfId="11842" xr:uid="{8B90895A-FA33-4EDF-ABC4-464BAB28FC5C}"/>
    <cellStyle name="Header2 2 4 3 2 5" xfId="14989" xr:uid="{2852A07C-69E1-47E0-98EF-416829958258}"/>
    <cellStyle name="Header2 2 4 3 3" xfId="6475" xr:uid="{C0CD34B5-2536-496B-803F-D3212B39C1B2}"/>
    <cellStyle name="Header2 2 4 3 4" xfId="9447" xr:uid="{D1CE493E-DD6F-4B0F-8A4D-EFA9A7A792CF}"/>
    <cellStyle name="Header2 2 4 3 5" xfId="11105" xr:uid="{28A13E0F-0E38-42FD-BC07-46FB545B7BB5}"/>
    <cellStyle name="Header2 2 4 3 6" xfId="14090" xr:uid="{E4F4D8D1-AD48-4E03-AC9B-54A4F41D2F39}"/>
    <cellStyle name="Header2 2 4 4" xfId="4444" xr:uid="{F296FE7D-7004-421B-A927-0B508C7EF4C4}"/>
    <cellStyle name="Header2 2 4 4 2" xfId="6940" xr:uid="{966469B4-BF13-4CB2-AE95-35001FEDAC4D}"/>
    <cellStyle name="Header2 2 4 4 3" xfId="10061" xr:uid="{090F62F7-169E-46DE-9DCA-4DC6E451A8C5}"/>
    <cellStyle name="Header2 2 4 4 4" xfId="11557" xr:uid="{7D500993-19BD-4368-914B-A8337C69EDB8}"/>
    <cellStyle name="Header2 2 4 4 5" xfId="14704" xr:uid="{957CD35A-89E4-4402-9B42-0B579CD2B570}"/>
    <cellStyle name="Header2 2 4 5" xfId="6146" xr:uid="{9042CDF5-B874-48CF-8C72-B0C26B720AD2}"/>
    <cellStyle name="Header2 2 4 6" xfId="5215" xr:uid="{F7F38A76-F118-4D62-BBC6-509439E0D5D9}"/>
    <cellStyle name="Header2 2 4 7" xfId="9012" xr:uid="{FBE32CD5-02E9-4529-8EAB-60435B25661E}"/>
    <cellStyle name="Header2 2 4 8" xfId="10778" xr:uid="{2463A976-016D-468B-BD0A-A4F62EBB217D}"/>
    <cellStyle name="Header2 2 4 9" xfId="5789" xr:uid="{64E7C303-A0D7-4563-B63B-FFD18B711EDB}"/>
    <cellStyle name="Header2 2 5" xfId="3867" xr:uid="{4FCD3C5A-AF1B-45C5-A5D7-44D35ADAF07C}"/>
    <cellStyle name="Header2 2 5 2" xfId="4759" xr:uid="{E0983277-D8CD-4FD5-BDE7-CD39E22604A5}"/>
    <cellStyle name="Header2 2 5 2 2" xfId="7254" xr:uid="{EE0469C3-CB5A-4A71-8992-97AED5A285E4}"/>
    <cellStyle name="Header2 2 5 2 3" xfId="10376" xr:uid="{FBF67C11-B633-4FDF-97A3-43C76CF801F5}"/>
    <cellStyle name="Header2 2 5 2 4" xfId="11872" xr:uid="{D804F9BB-C519-4B07-A185-1E04999C09CF}"/>
    <cellStyle name="Header2 2 5 2 5" xfId="15019" xr:uid="{28E315A0-B104-427E-8FAB-86129D183ACC}"/>
    <cellStyle name="Header2 2 5 3" xfId="6508" xr:uid="{CE9C41AE-C844-4E4C-98F9-A14FC793AB0A}"/>
    <cellStyle name="Header2 2 5 4" xfId="9486" xr:uid="{B0D82057-616B-4E2F-B32C-91B42096B3E9}"/>
    <cellStyle name="Header2 2 5 5" xfId="11139" xr:uid="{25DF14D3-2025-4EB4-88DF-C90021E1D7D9}"/>
    <cellStyle name="Header2 2 5 6" xfId="14129" xr:uid="{6DBA4898-69FE-4F93-98BF-E15500CDDC64}"/>
    <cellStyle name="Header2 2 6" xfId="5894" xr:uid="{2EAF5AC7-4821-4B12-9396-6A9BED0B1B11}"/>
    <cellStyle name="Header2 2 7" xfId="6357" xr:uid="{4E3CC6F3-3972-424E-BA37-ADC495E6EC87}"/>
    <cellStyle name="Header2 2 8" xfId="6773" xr:uid="{B3E79D51-274A-4E1D-95C8-4811B77447C4}"/>
    <cellStyle name="Header2 3" xfId="3295" xr:uid="{67C2FE76-ADB9-4296-99A6-974038FC8F4F}"/>
    <cellStyle name="Header2 3 2" xfId="4175" xr:uid="{C4B92E79-3F95-4CB3-A67C-D449EFB082E6}"/>
    <cellStyle name="Header2 3 2 2" xfId="4964" xr:uid="{A393902F-8900-4E96-B7B4-A47D0A9940F1}"/>
    <cellStyle name="Header2 3 2 2 2" xfId="7459" xr:uid="{AF1EE004-2511-4150-AB43-CAAB9D0473A2}"/>
    <cellStyle name="Header2 3 2 2 3" xfId="10581" xr:uid="{4708FA9B-7621-4555-ACD9-C604E63FA665}"/>
    <cellStyle name="Header2 3 2 2 4" xfId="12077" xr:uid="{20876FBB-C576-4BDE-AAFB-8E4DC779E596}"/>
    <cellStyle name="Header2 3 2 2 5" xfId="15224" xr:uid="{521C4C0A-5AE2-4559-9129-C4E3DF3D3257}"/>
    <cellStyle name="Header2 3 2 3" xfId="6739" xr:uid="{0B54AB93-D7B9-4196-891F-B712C2F05E81}"/>
    <cellStyle name="Header2 3 2 4" xfId="9794" xr:uid="{130C37CB-0244-45ED-866B-B189530355B6}"/>
    <cellStyle name="Header2 3 2 5" xfId="11367" xr:uid="{B9B913C9-3729-4BB5-8609-BF36BDE60671}"/>
    <cellStyle name="Header2 3 2 6" xfId="14437" xr:uid="{52E5FC6F-B108-4B67-AF4A-5A769C635378}"/>
    <cellStyle name="Header2 3 3" xfId="4397" xr:uid="{78389160-81A5-44F5-912A-7300D53DD043}"/>
    <cellStyle name="Header2 3 3 2" xfId="6904" xr:uid="{3FE63844-1F3C-439C-93A1-2DC59994FAB5}"/>
    <cellStyle name="Header2 3 3 3" xfId="10014" xr:uid="{12D1610D-C2A2-41BB-807E-851F2DFA3AAA}"/>
    <cellStyle name="Header2 3 3 4" xfId="11524" xr:uid="{FCCA7235-DEE3-4461-84A8-3F571DBA046F}"/>
    <cellStyle name="Header2 3 3 5" xfId="14657" xr:uid="{2D13705A-6AA1-4572-A25B-F63E04795E2C}"/>
    <cellStyle name="Header2 3 4" xfId="6085" xr:uid="{121F91E1-989D-4038-AF0C-4458A3071BD3}"/>
    <cellStyle name="Header2 3 5" xfId="8959" xr:uid="{F898DFBC-D112-4590-B0BD-CD3B3E8FDBB5}"/>
    <cellStyle name="Header2 3 6" xfId="10722" xr:uid="{EFDA2D09-3359-4C1D-8DE4-D8D2DD70D392}"/>
    <cellStyle name="Header2 3 7" xfId="13606" xr:uid="{5D3403AE-02D0-4310-BE7C-B09CF61376C8}"/>
    <cellStyle name="Header2 4" xfId="3083" xr:uid="{4113D4BA-CF5B-47AC-9BCE-8B3A804E673D}"/>
    <cellStyle name="Header2 4 10" xfId="5359" xr:uid="{67BBAC93-97DE-455F-91ED-E2748C457315}"/>
    <cellStyle name="Header2 4 11" xfId="10828" xr:uid="{7D004811-7A83-4B1B-9A00-A696A1D33084}"/>
    <cellStyle name="Header2 4 2" xfId="3963" xr:uid="{223C6448-8306-4698-B2AA-941032A0E92B}"/>
    <cellStyle name="Header2 4 2 2" xfId="4822" xr:uid="{CB695949-37CF-43D6-958F-EF958F878A4E}"/>
    <cellStyle name="Header2 4 2 2 2" xfId="7317" xr:uid="{F519B91C-D91A-4D07-A25F-F31C49B622B5}"/>
    <cellStyle name="Header2 4 2 2 3" xfId="10439" xr:uid="{133AC0A9-E814-40B7-A1AF-C4C810014374}"/>
    <cellStyle name="Header2 4 2 2 4" xfId="11935" xr:uid="{8B1A109E-77B8-4ADE-A835-1F5C615C7C28}"/>
    <cellStyle name="Header2 4 2 2 5" xfId="15082" xr:uid="{BBB6A197-2211-4DDF-86A1-35D48E25CFE5}"/>
    <cellStyle name="Header2 4 2 3" xfId="6579" xr:uid="{247CB2F9-2082-4B05-95FB-D7EC85F3100B}"/>
    <cellStyle name="Header2 4 2 4" xfId="9582" xr:uid="{B4742852-28EE-45E1-98A8-A83CDCD70E00}"/>
    <cellStyle name="Header2 4 2 5" xfId="11209" xr:uid="{3482DCA0-7993-4C04-B96D-1CB19299CACB}"/>
    <cellStyle name="Header2 4 2 6" xfId="14225" xr:uid="{FC005C8E-4CC3-4459-98E0-D6A727234E1A}"/>
    <cellStyle name="Header2 4 3" xfId="3525" xr:uid="{B96CF0CA-4AE8-4968-8ACD-32279ED4D520}"/>
    <cellStyle name="Header2 4 3 2" xfId="4536" xr:uid="{A99FC183-50A6-4823-856D-DF0CF3DF6790}"/>
    <cellStyle name="Header2 4 3 2 2" xfId="7031" xr:uid="{898BD02F-7D5D-47DE-B0FB-C515B52D6AFB}"/>
    <cellStyle name="Header2 4 3 2 3" xfId="10153" xr:uid="{8C6B398F-2B34-4AF3-A193-22FB18C5012D}"/>
    <cellStyle name="Header2 4 3 2 4" xfId="11649" xr:uid="{7DA863D4-2D4D-483B-8CD3-68F3010A8C40}"/>
    <cellStyle name="Header2 4 3 2 5" xfId="14796" xr:uid="{FF179B91-A15A-4181-94BC-53E430B6CCD9}"/>
    <cellStyle name="Header2 4 3 3" xfId="6249" xr:uid="{67D87AD4-9FB3-4D6C-9495-A9FE41CFC76D}"/>
    <cellStyle name="Header2 4 3 4" xfId="9144" xr:uid="{82E9E5A0-687D-4A0A-B9C0-CB0A146C524B}"/>
    <cellStyle name="Header2 4 3 5" xfId="10880" xr:uid="{05C58000-B206-45A9-B728-2EA4CC952497}"/>
    <cellStyle name="Header2 4 3 6" xfId="13787" xr:uid="{7F6E14C7-AE15-475F-BFD5-9F49E26921AD}"/>
    <cellStyle name="Header2 4 4" xfId="4317" xr:uid="{6CAAC512-A27E-490E-A5F1-FB8DCFDE4FD8}"/>
    <cellStyle name="Header2 4 4 2" xfId="6842" xr:uid="{3CC9C305-3B7E-4FD3-80BA-51129CF38C45}"/>
    <cellStyle name="Header2 4 4 3" xfId="9934" xr:uid="{10317D3A-CDA1-4570-AB71-43F9256826BE}"/>
    <cellStyle name="Header2 4 4 4" xfId="11461" xr:uid="{EAD306E9-8142-4370-AD8F-BA23C1AC79D0}"/>
    <cellStyle name="Header2 4 4 5" xfId="14577" xr:uid="{134B6255-AC1B-459A-B43F-3DA6BF035454}"/>
    <cellStyle name="Header2 4 5" xfId="5957" xr:uid="{D8D8AABA-D36A-4B56-90EF-54CD37DFF36B}"/>
    <cellStyle name="Header2 4 6" xfId="5735" xr:uid="{55366B66-C7A6-440F-9B9F-16E0411C8FB2}"/>
    <cellStyle name="Header2 4 7" xfId="5718" xr:uid="{6C3CAF4B-346D-468C-AD95-42FA2020E58C}"/>
    <cellStyle name="Header2 4 8" xfId="5247" xr:uid="{F362399C-E993-4DCB-949A-C55C27B66677}"/>
    <cellStyle name="Header2 4 9" xfId="5441" xr:uid="{6FB40BC3-8329-4A92-B0CF-A86A9BC7B5BB}"/>
    <cellStyle name="Header2 5" xfId="3169" xr:uid="{20504D42-8C82-498D-AD34-1F1458F6166F}"/>
    <cellStyle name="Header2 5 10" xfId="11503" xr:uid="{2A6489A5-44B0-4C6A-8F90-FBBD7595D542}"/>
    <cellStyle name="Header2 5 11" xfId="5367" xr:uid="{45331D1A-A880-4FF7-8AE3-3A01EC34EA7D}"/>
    <cellStyle name="Header2 5 2" xfId="4049" xr:uid="{3EDB277B-275A-42B9-A31C-AB2C4AEDCEF3}"/>
    <cellStyle name="Header2 5 2 2" xfId="4879" xr:uid="{C6BCA93D-D647-4C6A-A0F4-B7F4CE4E9A2F}"/>
    <cellStyle name="Header2 5 2 2 2" xfId="7374" xr:uid="{EAA191D9-34FC-4CEE-B129-0784D29BD12F}"/>
    <cellStyle name="Header2 5 2 2 3" xfId="10496" xr:uid="{6D8DA3D3-91E0-404A-A679-996B1DEA38E6}"/>
    <cellStyle name="Header2 5 2 2 4" xfId="11992" xr:uid="{CC47568E-E42D-484B-9DD8-671F5E274BBC}"/>
    <cellStyle name="Header2 5 2 2 5" xfId="15139" xr:uid="{7DD7713E-67A3-484A-91CF-CE87B75FE0F8}"/>
    <cellStyle name="Header2 5 2 3" xfId="6644" xr:uid="{28342DD4-4440-4699-9F82-084B4A2E177B}"/>
    <cellStyle name="Header2 5 2 4" xfId="9668" xr:uid="{3C8F3E99-293D-4396-AEA8-80C1F8A63B35}"/>
    <cellStyle name="Header2 5 2 5" xfId="11271" xr:uid="{32725B62-4AA7-4B87-B023-6338F2F68AA1}"/>
    <cellStyle name="Header2 5 2 6" xfId="14311" xr:uid="{4A951973-FB5B-410E-A8AA-EE6B74D27830}"/>
    <cellStyle name="Header2 5 3" xfId="3611" xr:uid="{FD050BB6-B4F8-4D07-8DC6-897196644659}"/>
    <cellStyle name="Header2 5 3 2" xfId="4593" xr:uid="{2DF2952A-27BB-4834-AD29-7AF4BA3B0C3D}"/>
    <cellStyle name="Header2 5 3 2 2" xfId="7088" xr:uid="{8ED892EA-AD82-4D8F-9725-F24BDFDDB198}"/>
    <cellStyle name="Header2 5 3 2 3" xfId="10210" xr:uid="{B2C677D9-BFC6-4B5D-867E-AE7F6163227E}"/>
    <cellStyle name="Header2 5 3 2 4" xfId="11706" xr:uid="{FA6393D2-4B0F-4F72-9237-23E84359DB9C}"/>
    <cellStyle name="Header2 5 3 2 5" xfId="14853" xr:uid="{F34BD660-90DF-4456-A1F1-81DB3D400931}"/>
    <cellStyle name="Header2 5 3 3" xfId="6315" xr:uid="{9609EFB2-E764-4480-887D-9CB503E6B445}"/>
    <cellStyle name="Header2 5 3 4" xfId="9230" xr:uid="{8DDB2B2C-49FA-4455-B227-25BA34194928}"/>
    <cellStyle name="Header2 5 3 5" xfId="10945" xr:uid="{13DB35FB-E1C2-4A2C-BC4C-7A3ED5DB9EFE}"/>
    <cellStyle name="Header2 5 3 6" xfId="13873" xr:uid="{4BCFDB2B-98F4-41DA-9B92-6D4A79F5CC0F}"/>
    <cellStyle name="Header2 5 4" xfId="4337" xr:uid="{871B329F-5E26-46D1-80EB-231A845F8083}"/>
    <cellStyle name="Header2 5 4 2" xfId="6856" xr:uid="{EDF4B451-40C3-4BF7-9290-215015CC2A5E}"/>
    <cellStyle name="Header2 5 4 3" xfId="9954" xr:uid="{7CBF84CF-423D-481E-ACC5-5E55281A3185}"/>
    <cellStyle name="Header2 5 4 4" xfId="11476" xr:uid="{111373A9-B550-47DF-B77C-452E26240942}"/>
    <cellStyle name="Header2 5 4 5" xfId="14597" xr:uid="{100AD18B-6D64-4989-BC28-832E87F575CA}"/>
    <cellStyle name="Header2 5 5" xfId="6000" xr:uid="{D3018AF6-15B2-40B6-842B-8AB3EE0852BE}"/>
    <cellStyle name="Header2 5 6" xfId="5703" xr:uid="{933A8194-AC79-43B5-A1AF-4954F506B7D9}"/>
    <cellStyle name="Header2 5 7" xfId="6068" xr:uid="{D36DA5FA-03FE-4EAD-A865-58214319305D}"/>
    <cellStyle name="Header2 5 8" xfId="10647" xr:uid="{E74E9707-2E1A-413C-8B3F-57907639CE2A}"/>
    <cellStyle name="Header2 5 9" xfId="5287" xr:uid="{FB569BE5-4B8C-40C8-8A7E-91881C38B969}"/>
    <cellStyle name="Header2 6" xfId="3830" xr:uid="{720A7082-C676-418E-93A8-7D136B455F12}"/>
    <cellStyle name="Header2 6 2" xfId="4730" xr:uid="{713E8BC9-3137-4D01-8272-144319073BAF}"/>
    <cellStyle name="Header2 6 2 2" xfId="7225" xr:uid="{D516D493-D3C4-4BE7-A38A-572CC641B9F3}"/>
    <cellStyle name="Header2 6 2 3" xfId="10347" xr:uid="{6BBBC2B3-7A8D-427F-8629-4F85DEA9ECDC}"/>
    <cellStyle name="Header2 6 2 4" xfId="11843" xr:uid="{9A211663-34D4-414C-9A0A-79DA5A932B48}"/>
    <cellStyle name="Header2 6 2 5" xfId="14990" xr:uid="{2DB803AA-DDF4-4E5C-A488-C9D4133716E5}"/>
    <cellStyle name="Header2 6 3" xfId="6476" xr:uid="{7D68B923-9430-4A25-8FE2-D7815B3CE6E9}"/>
    <cellStyle name="Header2 6 4" xfId="9449" xr:uid="{71B33C6C-7C49-4AE1-A0E2-583E6087EAC2}"/>
    <cellStyle name="Header2 6 5" xfId="11107" xr:uid="{E3E3F8C8-A584-4DED-A1A8-CFDFC2501AFB}"/>
    <cellStyle name="Header2 6 6" xfId="14092" xr:uid="{024FC2A7-6A4F-4D3A-8E46-8FFDAD7774F5}"/>
    <cellStyle name="Header2 7" xfId="5076" xr:uid="{A65D98E0-AC08-400F-BD7B-CF43125087A9}"/>
    <cellStyle name="Header2 8" xfId="5225" xr:uid="{3935686D-3862-4339-88A0-AF42020ED3D4}"/>
    <cellStyle name="Header2 9" xfId="5580" xr:uid="{8068076F-85AB-4BB1-8279-81B59D61AABE}"/>
    <cellStyle name="Heading 1 10" xfId="1074" xr:uid="{862BE4AC-FDAE-4968-9136-35B78F179526}"/>
    <cellStyle name="Heading 1 11" xfId="1075" xr:uid="{9E19EEFB-B01C-4F34-B815-BF5F2538A2B8}"/>
    <cellStyle name="Heading 1 12" xfId="1076" xr:uid="{499F668F-A312-4BA5-9DBD-A8A0945DDB21}"/>
    <cellStyle name="Heading 1 13" xfId="1077" xr:uid="{652CD0FD-FF07-4FA7-BE98-4259BEA45EDA}"/>
    <cellStyle name="Heading 1 14" xfId="1078" xr:uid="{5025F043-7840-40AF-B748-E072E23EE7AA}"/>
    <cellStyle name="Heading 1 15" xfId="1079" xr:uid="{83A0996B-7B37-4026-AE57-8C2F57BA5D77}"/>
    <cellStyle name="Heading 1 16" xfId="1080" xr:uid="{315C6194-931E-43C9-B995-205066EB0C9A}"/>
    <cellStyle name="Heading 1 17" xfId="1081" xr:uid="{7C4760FB-5628-4A37-87EF-758752D59BA7}"/>
    <cellStyle name="Heading 1 2" xfId="1082" xr:uid="{F22AEC7F-9307-476E-B09E-6DC1B09E0F18}"/>
    <cellStyle name="Heading 1 3" xfId="1083" xr:uid="{9BEB1AB6-5B6E-4ABA-8D78-2DA5518A2E89}"/>
    <cellStyle name="Heading 1 4" xfId="1084" xr:uid="{2BF64F97-24BC-4297-9EA2-993A279F84E1}"/>
    <cellStyle name="Heading 1 5" xfId="1085" xr:uid="{77C81538-5F5E-427C-9044-C95A6DA536ED}"/>
    <cellStyle name="Heading 1 6" xfId="1086" xr:uid="{C3BD6F1E-40E8-4913-AEFD-541690C4BB32}"/>
    <cellStyle name="Heading 1 7" xfId="1087" xr:uid="{5654ED78-7ABE-458F-BE98-2DDCA3CDD005}"/>
    <cellStyle name="Heading 1 8" xfId="1088" xr:uid="{4C071284-4FB1-4637-AB33-0CF625B932B4}"/>
    <cellStyle name="Heading 1 9" xfId="1089" xr:uid="{236AB8DB-E145-4185-B8D9-EFD48064410B}"/>
    <cellStyle name="Heading 2 10" xfId="1090" xr:uid="{6E7E60A2-CA6F-4ED8-A6FA-B07CAC38ADC7}"/>
    <cellStyle name="Heading 2 11" xfId="1091" xr:uid="{731D3468-50B9-4CBD-AE4C-E316BFD7B2F7}"/>
    <cellStyle name="Heading 2 12" xfId="1092" xr:uid="{8FCA4C5B-0A36-436E-9251-B6DCE2014794}"/>
    <cellStyle name="Heading 2 13" xfId="1093" xr:uid="{20086EF6-7CFE-4D82-AB33-8ADF57054BFB}"/>
    <cellStyle name="Heading 2 14" xfId="1094" xr:uid="{FD931A51-80EE-4D79-AE8C-DC6A34D995C9}"/>
    <cellStyle name="Heading 2 15" xfId="1095" xr:uid="{473A61BC-BF5F-499C-99AB-0605C3157578}"/>
    <cellStyle name="Heading 2 16" xfId="1096" xr:uid="{2CF610B5-2255-425E-9328-677BC93270DA}"/>
    <cellStyle name="Heading 2 17" xfId="1097" xr:uid="{0FBBC198-68CC-417F-9884-2260989CDEA4}"/>
    <cellStyle name="Heading 2 2" xfId="1098" xr:uid="{43BF9861-D06A-4DD9-980F-FBFC3A49377D}"/>
    <cellStyle name="Heading 2 3" xfId="1099" xr:uid="{75C886C0-83B6-4445-A5DA-294C6177C01D}"/>
    <cellStyle name="Heading 2 4" xfId="1100" xr:uid="{79174FFC-D12B-4B55-8285-3336178D287E}"/>
    <cellStyle name="Heading 2 5" xfId="1101" xr:uid="{D526456B-AFF6-423C-B46B-EA97C1472E1D}"/>
    <cellStyle name="Heading 2 6" xfId="1102" xr:uid="{5455E79C-6817-45BB-8CBD-E16265D7B167}"/>
    <cellStyle name="Heading 2 7" xfId="1103" xr:uid="{34FB36CD-6557-4BB8-AC7E-108627AC748B}"/>
    <cellStyle name="Heading 2 8" xfId="1104" xr:uid="{89E2246B-8609-4381-A222-32C55D03DBDC}"/>
    <cellStyle name="Heading 2 9" xfId="1105" xr:uid="{518172EA-3E8E-45AD-B309-72A79F3BD96F}"/>
    <cellStyle name="Heading 3 2" xfId="1106" xr:uid="{B99B9FC4-7F37-418B-98A2-C3CC4A494CF9}"/>
    <cellStyle name="Heading 3 3" xfId="1107" xr:uid="{8572E9A6-837B-40D7-A086-2AEFF2FEAC6E}"/>
    <cellStyle name="Heading 3 4" xfId="1108" xr:uid="{85BB2932-A5E8-4007-8433-E0B173A6F128}"/>
    <cellStyle name="Heading 4 2" xfId="1109" xr:uid="{F5D9C8EA-A804-4C27-9A94-F77145CFEEF6}"/>
    <cellStyle name="Heading 4 3" xfId="1110" xr:uid="{330E22AF-98DC-4703-B27E-5438922247BE}"/>
    <cellStyle name="Heading 4 4" xfId="1111" xr:uid="{B259D1A5-24D3-4D84-8645-6C0553170D0B}"/>
    <cellStyle name="Input 2" xfId="1112" xr:uid="{8D6824C9-2D7D-4770-9444-DE89CDCCF871}"/>
    <cellStyle name="Input 2 10" xfId="5785" xr:uid="{520127DF-8865-4D3D-9655-EB9E67587553}"/>
    <cellStyle name="Input 2 2" xfId="2993" xr:uid="{9B90EF95-2603-49AC-95D5-FA2E077BCE98}"/>
    <cellStyle name="Input 2 2 10" xfId="3438" xr:uid="{A486914A-569C-4688-ADE4-89E8D6244058}"/>
    <cellStyle name="Input 2 2 10 2" xfId="4481" xr:uid="{0CB42C84-492E-4458-8BDC-B4017D3FA81F}"/>
    <cellStyle name="Input 2 2 10 2 2" xfId="6976" xr:uid="{47423D72-420E-4A32-8651-F1A0EDAFE52E}"/>
    <cellStyle name="Input 2 2 10 2 3" xfId="8397" xr:uid="{5E0CF225-9C14-4C07-B84E-BB3ED40F0255}"/>
    <cellStyle name="Input 2 2 10 2 4" xfId="10098" xr:uid="{8E7FF9CB-2EDE-4DEF-964D-7B6240B3D449}"/>
    <cellStyle name="Input 2 2 10 2 5" xfId="11594" xr:uid="{F4B80D12-36E1-4DE3-8CDE-297196DB4843}"/>
    <cellStyle name="Input 2 2 10 2 6" xfId="13074" xr:uid="{53422A40-E08C-45C8-A706-83AA0ABB771B}"/>
    <cellStyle name="Input 2 2 10 2 7" xfId="14741" xr:uid="{B5B525F3-D0B7-4F03-A201-6E612380D2A1}"/>
    <cellStyle name="Input 2 2 10 2 8" xfId="16414" xr:uid="{6E3C9DD1-DF8E-470B-9A8E-34092A82CB90}"/>
    <cellStyle name="Input 2 2 10 3" xfId="6185" xr:uid="{0F674E08-2D64-438F-87B8-82D3205F0CA3}"/>
    <cellStyle name="Input 2 2 10 4" xfId="5202" xr:uid="{1CE4764A-95C0-4054-BC20-CCEF690F5BB5}"/>
    <cellStyle name="Input 2 2 10 5" xfId="9057" xr:uid="{F94608A5-931F-459B-8B2E-72A4FD66F699}"/>
    <cellStyle name="Input 2 2 10 6" xfId="10819" xr:uid="{25CCEDE6-4EBE-4A98-A9FC-87089275D28E}"/>
    <cellStyle name="Input 2 2 10 7" xfId="5854" xr:uid="{0FAE645D-AA4E-4C35-A0CD-A2879F25E33E}"/>
    <cellStyle name="Input 2 2 10 8" xfId="13700" xr:uid="{A1B0E0E8-4B3C-4013-A6C8-771015311EBE}"/>
    <cellStyle name="Input 2 2 10 9" xfId="15391" xr:uid="{5BA0CA5F-96E6-4AFC-8143-93E714D4BD6D}"/>
    <cellStyle name="Input 2 2 11" xfId="6887" xr:uid="{A7565F23-3BD7-4FB8-A39F-21EEEE565A18}"/>
    <cellStyle name="Input 2 2 12" xfId="5777" xr:uid="{E055851E-075B-4D6C-8961-C5B71AB39234}"/>
    <cellStyle name="Input 2 2 2" xfId="3279" xr:uid="{71595C43-5EFB-45C8-A8DA-D924134EB7E6}"/>
    <cellStyle name="Input 2 2 2 2" xfId="4159" xr:uid="{CD1AF7E5-00AA-470D-ACF9-88CAD5E47CC3}"/>
    <cellStyle name="Input 2 2 2 2 2" xfId="4952" xr:uid="{12E3F43B-8711-466E-A34E-3E4A59A3C22B}"/>
    <cellStyle name="Input 2 2 2 2 2 2" xfId="7447" xr:uid="{15052B7A-B51F-4123-ADC4-56113314EA52}"/>
    <cellStyle name="Input 2 2 2 2 2 3" xfId="8859" xr:uid="{E4077422-939C-4DF6-98FB-14C0F86E5C35}"/>
    <cellStyle name="Input 2 2 2 2 2 4" xfId="10569" xr:uid="{AC6EB463-802A-4776-8573-2F545E2617B1}"/>
    <cellStyle name="Input 2 2 2 2 2 5" xfId="12065" xr:uid="{9621F10C-0BA5-4437-B5D8-3B66CC4A1233}"/>
    <cellStyle name="Input 2 2 2 2 2 6" xfId="13536" xr:uid="{0BA2CF33-4B31-4F20-ABF6-64803DD679FD}"/>
    <cellStyle name="Input 2 2 2 2 2 7" xfId="15212" xr:uid="{1C073814-10E4-4DC4-85F3-F8DBC1663C59}"/>
    <cellStyle name="Input 2 2 2 2 2 8" xfId="16876" xr:uid="{3CEDF013-0C41-4ABF-B580-E16927A396F1}"/>
    <cellStyle name="Input 2 2 2 2 3" xfId="6727" xr:uid="{6F0221A3-E756-4014-B78E-FA8BE72A80F5}"/>
    <cellStyle name="Input 2 2 2 2 4" xfId="8084" xr:uid="{771C7C34-94E4-4420-9C9C-A4B7BC9E4188}"/>
    <cellStyle name="Input 2 2 2 2 5" xfId="9778" xr:uid="{D6ECC4B8-1744-4170-97E8-4C7505F8AD1A}"/>
    <cellStyle name="Input 2 2 2 2 6" xfId="11354" xr:uid="{27935FCA-092B-44DF-BB22-6E813CE28DD4}"/>
    <cellStyle name="Input 2 2 2 2 7" xfId="12763" xr:uid="{81E42EB9-2784-47A2-911A-364737F74E95}"/>
    <cellStyle name="Input 2 2 2 2 8" xfId="14421" xr:uid="{5A0C7709-83FC-4A07-8217-755C22154136}"/>
    <cellStyle name="Input 2 2 2 2 9" xfId="16103" xr:uid="{381B2424-CD37-426F-AE01-D46480039398}"/>
    <cellStyle name="Input 2 2 2 3" xfId="3721" xr:uid="{DBFEECFC-EA70-4184-9AD6-0AAD7B8AE716}"/>
    <cellStyle name="Input 2 2 2 3 2" xfId="4666" xr:uid="{5AE19607-159D-4D46-9D87-3EDAA785E43D}"/>
    <cellStyle name="Input 2 2 2 3 2 2" xfId="7161" xr:uid="{6BBA2BD4-A587-46A1-9B96-9C38CE658FB7}"/>
    <cellStyle name="Input 2 2 2 3 2 3" xfId="8579" xr:uid="{7326DF96-B2BF-492D-8DFB-BC833CCEA3B8}"/>
    <cellStyle name="Input 2 2 2 3 2 4" xfId="10283" xr:uid="{0094E913-7901-45C9-B5E0-4D03AC48FBA3}"/>
    <cellStyle name="Input 2 2 2 3 2 5" xfId="11779" xr:uid="{818A5BF6-B2F2-4160-9147-1DBA9DDB7699}"/>
    <cellStyle name="Input 2 2 2 3 2 6" xfId="13256" xr:uid="{970A2B26-E6EC-481F-BF5A-97F9AFA3B545}"/>
    <cellStyle name="Input 2 2 2 3 2 7" xfId="14926" xr:uid="{4F2B56EB-0829-4ED2-9168-E3DC08637CC4}"/>
    <cellStyle name="Input 2 2 2 3 2 8" xfId="16596" xr:uid="{BEC3EA79-BBF7-4A21-94BC-F89E7203853E}"/>
    <cellStyle name="Input 2 2 2 3 3" xfId="6401" xr:uid="{8890B1EE-17E6-4DB2-8567-FA17124AA8C9}"/>
    <cellStyle name="Input 2 2 2 3 4" xfId="7652" xr:uid="{144DA996-0804-4419-9768-44E7B26C204C}"/>
    <cellStyle name="Input 2 2 2 3 5" xfId="9340" xr:uid="{0F45CF93-87C9-4541-81CE-20C0C7D3776D}"/>
    <cellStyle name="Input 2 2 2 3 6" xfId="11027" xr:uid="{4D6BF9DE-0BA9-4771-A832-B68B29D93172}"/>
    <cellStyle name="Input 2 2 2 3 7" xfId="12331" xr:uid="{B7EAA207-2B07-464F-A048-93A111B48948}"/>
    <cellStyle name="Input 2 2 2 3 8" xfId="13983" xr:uid="{3188A588-BB6A-4453-958F-43CFC918CE38}"/>
    <cellStyle name="Input 2 2 2 3 9" xfId="15671" xr:uid="{80FCE658-E494-4593-AD19-AAC1AFD2A4B1}"/>
    <cellStyle name="Input 2 2 2 4" xfId="8946" xr:uid="{BB1D8774-2849-4A17-811E-CA92BBB5C8F0}"/>
    <cellStyle name="Input 2 2 3" xfId="3145" xr:uid="{FFB01ACE-E275-4676-9705-C70008A6B6DD}"/>
    <cellStyle name="Input 2 2 3 2" xfId="4025" xr:uid="{5F29CA43-5A18-45E9-9CC3-64CEB8BE968B}"/>
    <cellStyle name="Input 2 2 3 2 2" xfId="4868" xr:uid="{6139074C-5F7F-42DA-9EC3-883FF965D048}"/>
    <cellStyle name="Input 2 2 3 2 2 2" xfId="7363" xr:uid="{46AC9C9F-1702-47B8-ABAA-8B1876B79C5F}"/>
    <cellStyle name="Input 2 2 3 2 2 3" xfId="8776" xr:uid="{BD50A3B2-8BA4-4331-9106-C1B28027CBF7}"/>
    <cellStyle name="Input 2 2 3 2 2 4" xfId="10485" xr:uid="{3034A322-72A8-47BC-8838-D407037CEEE5}"/>
    <cellStyle name="Input 2 2 3 2 2 5" xfId="11981" xr:uid="{03A6DA06-CB13-4B90-9CCF-1A55E7F92B59}"/>
    <cellStyle name="Input 2 2 3 2 2 6" xfId="13453" xr:uid="{02130C4A-7F4A-4C9F-9867-C067B13787BA}"/>
    <cellStyle name="Input 2 2 3 2 2 7" xfId="15128" xr:uid="{0C777035-152D-494F-A752-349758CD71C8}"/>
    <cellStyle name="Input 2 2 3 2 2 8" xfId="16793" xr:uid="{F462C89B-7E60-4408-B562-E0D19B516461}"/>
    <cellStyle name="Input 2 2 3 2 3" xfId="6629" xr:uid="{9EC9E1B4-FFB9-4C42-B6FC-8251EB73442B}"/>
    <cellStyle name="Input 2 2 3 2 4" xfId="7951" xr:uid="{799E8B1E-C97F-4B48-8E9A-CAC9E4BDE3E6}"/>
    <cellStyle name="Input 2 2 3 2 5" xfId="9644" xr:uid="{718BB556-54FC-4DBF-BA40-5911E65F96EC}"/>
    <cellStyle name="Input 2 2 3 2 6" xfId="11255" xr:uid="{9BE0A2B3-A193-424A-B768-BB0FF40DD411}"/>
    <cellStyle name="Input 2 2 3 2 7" xfId="12630" xr:uid="{54FC5B4D-384E-4289-8838-570E9A78931F}"/>
    <cellStyle name="Input 2 2 3 2 8" xfId="14287" xr:uid="{900FBAC9-BEE2-4B00-8539-32151EE317F8}"/>
    <cellStyle name="Input 2 2 3 2 9" xfId="15970" xr:uid="{F0A904C6-D290-42BE-85DC-3DEFF8E9F01E}"/>
    <cellStyle name="Input 2 2 3 3" xfId="3587" xr:uid="{DCBD35A0-0F1D-4F84-8E2D-A07B5D338984}"/>
    <cellStyle name="Input 2 2 3 3 2" xfId="4582" xr:uid="{378207ED-C0A9-44E4-862D-E65846157A3B}"/>
    <cellStyle name="Input 2 2 3 3 2 2" xfId="7077" xr:uid="{B618D20B-C8BA-44A0-B447-3B9363D29E74}"/>
    <cellStyle name="Input 2 2 3 3 2 3" xfId="8496" xr:uid="{5B2911BA-5136-4A6E-B306-1BDFC034DBDE}"/>
    <cellStyle name="Input 2 2 3 3 2 4" xfId="10199" xr:uid="{7E2A148D-796D-426E-BE64-0EAD122524B8}"/>
    <cellStyle name="Input 2 2 3 3 2 5" xfId="11695" xr:uid="{542FF744-E95E-4ED1-B54F-561550A5EFC3}"/>
    <cellStyle name="Input 2 2 3 3 2 6" xfId="13173" xr:uid="{60569A0D-027D-4CD6-BCCC-D9705A526BAD}"/>
    <cellStyle name="Input 2 2 3 3 2 7" xfId="14842" xr:uid="{DCB5A612-3597-4F96-851E-6D001D5E863D}"/>
    <cellStyle name="Input 2 2 3 3 2 8" xfId="16513" xr:uid="{440D8B5A-277F-4C3C-9E1E-0BF1A7BCD4DA}"/>
    <cellStyle name="Input 2 2 3 3 3" xfId="6299" xr:uid="{A4970DF5-E286-4807-992E-48B771D3EA58}"/>
    <cellStyle name="Input 2 2 3 3 4" xfId="7519" xr:uid="{5A890690-5313-431E-81D1-6C148CBCB011}"/>
    <cellStyle name="Input 2 2 3 3 5" xfId="9206" xr:uid="{C261139E-7B89-4C49-A288-1DF244822555}"/>
    <cellStyle name="Input 2 2 3 3 6" xfId="10930" xr:uid="{C8B864F6-523D-4CD0-BE94-D52200215F63}"/>
    <cellStyle name="Input 2 2 3 3 7" xfId="12198" xr:uid="{13C089F0-B8C2-4596-951B-10C3DA110148}"/>
    <cellStyle name="Input 2 2 3 3 8" xfId="13849" xr:uid="{1159341D-9A11-4995-B54A-BBF4F2DBBF4B}"/>
    <cellStyle name="Input 2 2 3 3 9" xfId="15538" xr:uid="{8557F1FC-106B-482E-9E24-CFFE03533BCA}"/>
    <cellStyle name="Input 2 2 3 4" xfId="6639" xr:uid="{D3E66AEC-3F8E-4712-8AE7-A8EBF01E5E08}"/>
    <cellStyle name="Input 2 2 4" xfId="3119" xr:uid="{F9F9DAB6-ABE0-459F-A32C-F31476357952}"/>
    <cellStyle name="Input 2 2 4 2" xfId="3999" xr:uid="{07A236D1-6999-4E1E-9172-899C6513169F}"/>
    <cellStyle name="Input 2 2 4 2 2" xfId="4846" xr:uid="{A15DCC7C-0D1B-4222-A458-C258C496A75E}"/>
    <cellStyle name="Input 2 2 4 2 2 2" xfId="7341" xr:uid="{225806D4-1C5B-4474-AA09-42B81332A378}"/>
    <cellStyle name="Input 2 2 4 2 2 3" xfId="8754" xr:uid="{0EED143D-3C1D-4936-B1BC-0BC4A882E5C4}"/>
    <cellStyle name="Input 2 2 4 2 2 4" xfId="10463" xr:uid="{62DB933D-B50F-4611-8337-36A94978F807}"/>
    <cellStyle name="Input 2 2 4 2 2 5" xfId="11959" xr:uid="{DA1856AA-ACAD-4A0C-9636-5113DEA108B1}"/>
    <cellStyle name="Input 2 2 4 2 2 6" xfId="13431" xr:uid="{55B779CA-3278-443F-958C-E3048ECD744D}"/>
    <cellStyle name="Input 2 2 4 2 2 7" xfId="15106" xr:uid="{3AE9F3A8-44F3-493E-9FF1-3D88442BEAEA}"/>
    <cellStyle name="Input 2 2 4 2 2 8" xfId="16771" xr:uid="{2A70157E-E25E-4BBD-B6EB-7C4F5F7B227F}"/>
    <cellStyle name="Input 2 2 4 2 3" xfId="6607" xr:uid="{4EF49B59-E4AB-4669-B77F-AA8B57DD6893}"/>
    <cellStyle name="Input 2 2 4 2 4" xfId="7925" xr:uid="{140DE518-837A-4372-BA43-7DCA6175EE4F}"/>
    <cellStyle name="Input 2 2 4 2 5" xfId="9618" xr:uid="{8B1FA0B6-ADFD-4A92-ADEB-C74C6FC79172}"/>
    <cellStyle name="Input 2 2 4 2 6" xfId="11233" xr:uid="{DC1F4118-DCB8-4558-8E20-FFD815F7A275}"/>
    <cellStyle name="Input 2 2 4 2 7" xfId="12604" xr:uid="{B34AD210-EDE8-46AC-9110-E91F3B1DEEEF}"/>
    <cellStyle name="Input 2 2 4 2 8" xfId="14261" xr:uid="{8DB9BE7F-8919-47A4-9AA7-F7EEE3DC0B76}"/>
    <cellStyle name="Input 2 2 4 2 9" xfId="15944" xr:uid="{325C4080-BDB6-4ED8-A2EE-9FCA1AEEEEFE}"/>
    <cellStyle name="Input 2 2 4 3" xfId="3561" xr:uid="{661EBBC8-DB56-408F-A1FF-D7920C4449CF}"/>
    <cellStyle name="Input 2 2 4 3 2" xfId="4560" xr:uid="{AA1AA206-6A44-4C1E-83B5-81529A38FE92}"/>
    <cellStyle name="Input 2 2 4 3 2 2" xfId="7055" xr:uid="{B1A39B3A-AAF5-4A97-9FEF-17A673108C7D}"/>
    <cellStyle name="Input 2 2 4 3 2 3" xfId="8474" xr:uid="{63ED77C3-3741-4866-9C20-EB7779E3514E}"/>
    <cellStyle name="Input 2 2 4 3 2 4" xfId="10177" xr:uid="{F05D026E-1E66-44E1-9F7E-1141805D60AA}"/>
    <cellStyle name="Input 2 2 4 3 2 5" xfId="11673" xr:uid="{803209E1-C80B-49FB-B921-D5613450C64F}"/>
    <cellStyle name="Input 2 2 4 3 2 6" xfId="13151" xr:uid="{30D2140B-65B7-4DAA-93DB-BB9BA558B30F}"/>
    <cellStyle name="Input 2 2 4 3 2 7" xfId="14820" xr:uid="{B2D04838-F942-4EB9-835F-7803B1F0D501}"/>
    <cellStyle name="Input 2 2 4 3 2 8" xfId="16491" xr:uid="{F7166F8D-FE7D-47D7-8E0C-7AF4D782C265}"/>
    <cellStyle name="Input 2 2 4 3 3" xfId="6277" xr:uid="{C2572EB1-0CE9-4DA3-97AA-1CD5F4BAA5D6}"/>
    <cellStyle name="Input 2 2 4 3 4" xfId="5115" xr:uid="{EF276029-7547-48F7-B60E-73251A1A679C}"/>
    <cellStyle name="Input 2 2 4 3 5" xfId="9180" xr:uid="{D6A86D15-CCFB-4FB7-8BA6-B4F30F84C260}"/>
    <cellStyle name="Input 2 2 4 3 6" xfId="10907" xr:uid="{35D358A0-F888-4654-95DD-97A28E6F0459}"/>
    <cellStyle name="Input 2 2 4 3 7" xfId="12172" xr:uid="{FD09AFFF-48CE-43EA-AC6D-A66F3285E06B}"/>
    <cellStyle name="Input 2 2 4 3 8" xfId="13823" xr:uid="{5970799B-4954-4840-95B7-A54A0B76CD2A}"/>
    <cellStyle name="Input 2 2 4 3 9" xfId="15512" xr:uid="{013080A8-C319-493B-83E8-586984C4F13C}"/>
    <cellStyle name="Input 2 2 4 4" xfId="6923" xr:uid="{EAD2E073-5FE2-4784-AEEE-B831CCBC377D}"/>
    <cellStyle name="Input 2 2 5" xfId="3317" xr:uid="{9D81AF79-371C-469B-9CBC-C5055D899930}"/>
    <cellStyle name="Input 2 2 5 2" xfId="4197" xr:uid="{4D49952B-CD81-4E93-AAD5-3D48431D5336}"/>
    <cellStyle name="Input 2 2 5 2 2" xfId="4981" xr:uid="{E50B5F21-F552-4611-8015-87783FEC9FD7}"/>
    <cellStyle name="Input 2 2 5 2 2 2" xfId="7476" xr:uid="{72040F67-642C-46EF-96B7-8160E8BBC425}"/>
    <cellStyle name="Input 2 2 5 2 2 3" xfId="8887" xr:uid="{5A9C5A57-8A3D-4EBE-8E23-77C8344BE832}"/>
    <cellStyle name="Input 2 2 5 2 2 4" xfId="10598" xr:uid="{5DB213F0-AA21-4ABB-A3F3-AFB87AD1E450}"/>
    <cellStyle name="Input 2 2 5 2 2 5" xfId="12094" xr:uid="{0A9630F2-2CB3-469E-86C6-DD61AC7249DB}"/>
    <cellStyle name="Input 2 2 5 2 2 6" xfId="13564" xr:uid="{5ED7B8DB-05EC-42EF-939B-2FB9A4C9826F}"/>
    <cellStyle name="Input 2 2 5 2 2 7" xfId="15241" xr:uid="{0ACB4C88-0DD2-4302-B944-2C483911D4DD}"/>
    <cellStyle name="Input 2 2 5 2 2 8" xfId="16904" xr:uid="{DEEA00BA-AD76-47BB-9687-1B3B16AFC985}"/>
    <cellStyle name="Input 2 2 5 2 3" xfId="6757" xr:uid="{B6B17B2D-815E-43EF-84EC-D64D0500D237}"/>
    <cellStyle name="Input 2 2 5 2 4" xfId="8121" xr:uid="{CB71A157-C04A-4EBF-A805-67CDEDBEE3BE}"/>
    <cellStyle name="Input 2 2 5 2 5" xfId="9816" xr:uid="{10FF7163-5731-4482-BBF2-4EFBE664DEF1}"/>
    <cellStyle name="Input 2 2 5 2 6" xfId="11385" xr:uid="{2074930B-D739-4351-A5A7-9B9B02A96083}"/>
    <cellStyle name="Input 2 2 5 2 7" xfId="12800" xr:uid="{3C2D904A-E470-4A3B-826F-F4668A51D9E4}"/>
    <cellStyle name="Input 2 2 5 2 8" xfId="14459" xr:uid="{182A2165-060F-4756-88C5-70A48EBC0FC4}"/>
    <cellStyle name="Input 2 2 5 2 9" xfId="16140" xr:uid="{1DC220DE-9A88-4D30-9D0D-E5D4D65C8FFE}"/>
    <cellStyle name="Input 2 2 5 3" xfId="3758" xr:uid="{AB6D495A-B5D1-48F1-BEC7-1CD3FCE85328}"/>
    <cellStyle name="Input 2 2 5 3 2" xfId="4694" xr:uid="{1F411E22-4F02-4030-A24D-EA56641AEEC8}"/>
    <cellStyle name="Input 2 2 5 3 2 2" xfId="7189" xr:uid="{2F7E8CB0-4723-48CF-B0A8-82FF346AD3FF}"/>
    <cellStyle name="Input 2 2 5 3 2 3" xfId="8607" xr:uid="{3A243258-4086-4954-B3C9-67B9A7281ABE}"/>
    <cellStyle name="Input 2 2 5 3 2 4" xfId="10311" xr:uid="{5C9A07DB-805D-40B4-9FA2-ACE2C163F3CB}"/>
    <cellStyle name="Input 2 2 5 3 2 5" xfId="11807" xr:uid="{A72B3306-F9FC-4C8D-87EF-D850196D9FA2}"/>
    <cellStyle name="Input 2 2 5 3 2 6" xfId="13284" xr:uid="{B3B8F926-9C39-44EF-8A90-89CEC9707D57}"/>
    <cellStyle name="Input 2 2 5 3 2 7" xfId="14954" xr:uid="{AE29385A-7CF0-4CC0-AD5D-A2DA360779DD}"/>
    <cellStyle name="Input 2 2 5 3 2 8" xfId="16624" xr:uid="{CAA652A0-D4C2-4D74-AC44-9B10776B9E86}"/>
    <cellStyle name="Input 2 2 5 3 3" xfId="6430" xr:uid="{27E500C3-3CF1-440F-9884-444978EBA0C1}"/>
    <cellStyle name="Input 2 2 5 3 4" xfId="7689" xr:uid="{4046B487-B007-487C-8F95-92103C52A6F0}"/>
    <cellStyle name="Input 2 2 5 3 5" xfId="9377" xr:uid="{EEBC89E8-CC21-4466-90F5-9E8776D62B04}"/>
    <cellStyle name="Input 2 2 5 3 6" xfId="11059" xr:uid="{2E2B9623-A95D-49EA-90D2-9B75409049CF}"/>
    <cellStyle name="Input 2 2 5 3 7" xfId="12368" xr:uid="{768E87A5-94A2-40E7-A1A9-59D55D3947FC}"/>
    <cellStyle name="Input 2 2 5 3 8" xfId="14020" xr:uid="{14C3BA90-EC34-46C4-8486-2D67240A6DBC}"/>
    <cellStyle name="Input 2 2 5 3 9" xfId="15708" xr:uid="{1A9FCC05-48CB-405B-A2D0-B136F0E1F86D}"/>
    <cellStyle name="Input 2 2 5 4" xfId="8980" xr:uid="{E8CB8B7A-575E-430D-82A1-8430276431F2}"/>
    <cellStyle name="Input 2 2 6" xfId="3195" xr:uid="{2C6FC6FE-4372-460A-A195-3A334B4F9646}"/>
    <cellStyle name="Input 2 2 6 10" xfId="5424" xr:uid="{F5E13101-96F1-4C80-93E9-DA790568409C}"/>
    <cellStyle name="Input 2 2 6 2" xfId="4075" xr:uid="{011CCE85-D1C7-4356-945A-00C8D0A11B95}"/>
    <cellStyle name="Input 2 2 6 2 2" xfId="4896" xr:uid="{78548E1B-E01B-450B-9C9B-5BEE30499803}"/>
    <cellStyle name="Input 2 2 6 2 2 2" xfId="7391" xr:uid="{E73C287B-974F-49DF-96F8-56D6D9C03C8E}"/>
    <cellStyle name="Input 2 2 6 2 2 3" xfId="8803" xr:uid="{CBE0784E-CFC2-421E-B54C-2F4CCDF3E0E9}"/>
    <cellStyle name="Input 2 2 6 2 2 4" xfId="10513" xr:uid="{5C535849-7318-4348-8CC3-6AE511334876}"/>
    <cellStyle name="Input 2 2 6 2 2 5" xfId="12009" xr:uid="{CC41EBB1-C27A-4CC5-B437-FE1C58F03ECB}"/>
    <cellStyle name="Input 2 2 6 2 2 6" xfId="13480" xr:uid="{CC4BDC9D-9859-45D9-B08F-C40F159AB02D}"/>
    <cellStyle name="Input 2 2 6 2 2 7" xfId="15156" xr:uid="{1C9E831C-D208-4BEF-BEB0-2B96521B3056}"/>
    <cellStyle name="Input 2 2 6 2 2 8" xfId="16820" xr:uid="{3C5EDFCF-7BB0-4EBE-9E02-F24F5935222A}"/>
    <cellStyle name="Input 2 2 6 2 3" xfId="6663" xr:uid="{F3EF4A10-B9F0-4097-B3AB-3035E442F2C1}"/>
    <cellStyle name="Input 2 2 6 2 4" xfId="8000" xr:uid="{79D3CE84-A9A5-422D-AFB8-2FD93B61CFCA}"/>
    <cellStyle name="Input 2 2 6 2 5" xfId="9694" xr:uid="{582A0C75-EE89-451F-9E53-0A099B3D8D28}"/>
    <cellStyle name="Input 2 2 6 2 6" xfId="11290" xr:uid="{E93D469F-08D5-41EF-A979-2D22EC0A5B8D}"/>
    <cellStyle name="Input 2 2 6 2 7" xfId="12679" xr:uid="{49E8D82D-CCDA-4DE3-86D2-A50B075B1F86}"/>
    <cellStyle name="Input 2 2 6 2 8" xfId="14337" xr:uid="{93FE56E1-F8EE-4F84-B0A1-C519CFE57BC1}"/>
    <cellStyle name="Input 2 2 6 2 9" xfId="16019" xr:uid="{6C5CA01D-A81B-4C4F-A274-11CB14B7D62A}"/>
    <cellStyle name="Input 2 2 6 3" xfId="3637" xr:uid="{92AEC4C4-7708-4EE4-BE0B-1D2DFE32445A}"/>
    <cellStyle name="Input 2 2 6 3 2" xfId="4610" xr:uid="{4786BABD-9C2F-4235-887C-1E3507DACF78}"/>
    <cellStyle name="Input 2 2 6 3 2 2" xfId="7105" xr:uid="{AF1AA01C-DF5B-4742-9572-4071CF76E50D}"/>
    <cellStyle name="Input 2 2 6 3 2 3" xfId="8523" xr:uid="{7A046C90-E771-4014-9CD5-D6C8286B2401}"/>
    <cellStyle name="Input 2 2 6 3 2 4" xfId="10227" xr:uid="{EB5D2099-876A-4489-AFE5-E49B39DBF603}"/>
    <cellStyle name="Input 2 2 6 3 2 5" xfId="11723" xr:uid="{D1CA8DDB-D25C-47E4-B592-F0C46A29C33D}"/>
    <cellStyle name="Input 2 2 6 3 2 6" xfId="13200" xr:uid="{1534FC75-A671-4834-8FF5-6055C3197BA3}"/>
    <cellStyle name="Input 2 2 6 3 2 7" xfId="14870" xr:uid="{89FC6B4D-F84E-46AC-9BB0-1B784579B505}"/>
    <cellStyle name="Input 2 2 6 3 2 8" xfId="16540" xr:uid="{B798FCE5-ACCA-45C3-BE6B-657EAE12CB84}"/>
    <cellStyle name="Input 2 2 6 3 3" xfId="6337" xr:uid="{5657BB54-5CED-464A-BA8D-B9FC6F63981C}"/>
    <cellStyle name="Input 2 2 6 3 4" xfId="7568" xr:uid="{9DBF15AE-C69C-452B-9CC0-FC12811E303D}"/>
    <cellStyle name="Input 2 2 6 3 5" xfId="9256" xr:uid="{A13D109E-17BA-4394-B7FA-9642AE65EF12}"/>
    <cellStyle name="Input 2 2 6 3 6" xfId="10963" xr:uid="{546A18EE-3FF7-4A13-AD43-AA27BDE6B10C}"/>
    <cellStyle name="Input 2 2 6 3 7" xfId="12247" xr:uid="{357D0DA2-594C-4623-A115-3CFCD9209EE5}"/>
    <cellStyle name="Input 2 2 6 3 8" xfId="13899" xr:uid="{53694BBC-513F-4435-B415-05ED7F54E1F0}"/>
    <cellStyle name="Input 2 2 6 3 9" xfId="15587" xr:uid="{A3E5834D-C657-44C0-9EA2-E9C860D29E21}"/>
    <cellStyle name="Input 2 2 6 4" xfId="4355" xr:uid="{8E2988D3-BFC9-42E9-BD29-0FEA69E31589}"/>
    <cellStyle name="Input 2 2 6 4 2" xfId="6872" xr:uid="{A53F05F0-391A-43FC-85BB-DC6AFBA4236B}"/>
    <cellStyle name="Input 2 2 6 4 3" xfId="8274" xr:uid="{B31C5D4E-1EBB-462D-9B7A-C07AA54A83CA}"/>
    <cellStyle name="Input 2 2 6 4 4" xfId="9972" xr:uid="{1B95F33E-3606-4993-B1CA-BC6B1D3114C3}"/>
    <cellStyle name="Input 2 2 6 4 5" xfId="11491" xr:uid="{D064B98A-B896-41C1-BE63-0A07A19302AC}"/>
    <cellStyle name="Input 2 2 6 4 6" xfId="12951" xr:uid="{0A03ED37-0C6C-4072-A597-C419E188EFD6}"/>
    <cellStyle name="Input 2 2 6 4 7" xfId="14615" xr:uid="{EA8D5748-672B-40D7-B190-40F12845D651}"/>
    <cellStyle name="Input 2 2 6 4 8" xfId="16291" xr:uid="{2651C507-FA7C-46A1-A28F-125F6FEBE065}"/>
    <cellStyle name="Input 2 2 6 5" xfId="6021" xr:uid="{B029E45C-84B1-421C-B933-46282474F437}"/>
    <cellStyle name="Input 2 2 6 6" xfId="5588" xr:uid="{6C5845A6-C732-42E5-928A-921E75359576}"/>
    <cellStyle name="Input 2 2 6 7" xfId="10667" xr:uid="{111098AB-14FB-4547-9A37-66295EFC340C}"/>
    <cellStyle name="Input 2 2 6 8" xfId="5459" xr:uid="{2822AEFE-D4EA-4B3D-9E8C-627FBFBE704A}"/>
    <cellStyle name="Input 2 2 6 9" xfId="11073" xr:uid="{9B1D06F1-8053-42F6-B9B8-3B94CBBD395F}"/>
    <cellStyle name="Input 2 2 7" xfId="3092" xr:uid="{AC0E383F-191C-449C-BF88-7EFD937E2E22}"/>
    <cellStyle name="Input 2 2 7 10" xfId="5887" xr:uid="{1BACB738-5F3C-4669-8063-93C494429A26}"/>
    <cellStyle name="Input 2 2 7 2" xfId="3972" xr:uid="{D5E764B7-FE2F-4866-91AC-AC5BC1F198AF}"/>
    <cellStyle name="Input 2 2 7 2 2" xfId="4828" xr:uid="{E17DF4F7-0CCD-40EC-AA32-B08546BC2A68}"/>
    <cellStyle name="Input 2 2 7 2 2 2" xfId="7323" xr:uid="{F32306C9-69EB-4CC6-A9E4-591F2997AD79}"/>
    <cellStyle name="Input 2 2 7 2 2 3" xfId="8736" xr:uid="{55C375CE-E4BD-4A2F-B202-5B1D0F79A5A9}"/>
    <cellStyle name="Input 2 2 7 2 2 4" xfId="10445" xr:uid="{A4B52BED-990A-4DA4-A48A-3356B94B0364}"/>
    <cellStyle name="Input 2 2 7 2 2 5" xfId="11941" xr:uid="{0FF6014F-DDAD-46D4-8BC6-DEEFADEA56D2}"/>
    <cellStyle name="Input 2 2 7 2 2 6" xfId="13413" xr:uid="{B1081346-D2E5-4E99-9059-7DD3EDD44452}"/>
    <cellStyle name="Input 2 2 7 2 2 7" xfId="15088" xr:uid="{B30C5ACE-99B7-4B6D-B15F-94B32F7C1C9F}"/>
    <cellStyle name="Input 2 2 7 2 2 8" xfId="16753" xr:uid="{3BA6F22C-232A-4C6A-8774-CD38999C46F3}"/>
    <cellStyle name="Input 2 2 7 2 3" xfId="6587" xr:uid="{479E085C-E67D-4FB3-873F-D442CE6F861D}"/>
    <cellStyle name="Input 2 2 7 2 4" xfId="7898" xr:uid="{287DF470-7F5A-4209-81AD-167D50F7B049}"/>
    <cellStyle name="Input 2 2 7 2 5" xfId="9591" xr:uid="{0B4C4F75-FEE2-4730-86A8-BFF8C797ECAA}"/>
    <cellStyle name="Input 2 2 7 2 6" xfId="11215" xr:uid="{6CA23C18-48AE-47E2-BF8B-0E925421CAFA}"/>
    <cellStyle name="Input 2 2 7 2 7" xfId="12577" xr:uid="{20A88AF8-CD4C-407D-AF87-3682F2ADC982}"/>
    <cellStyle name="Input 2 2 7 2 8" xfId="14234" xr:uid="{14EC20D4-AA42-4AC2-BD4D-216727F32B2E}"/>
    <cellStyle name="Input 2 2 7 2 9" xfId="15917" xr:uid="{C53BF50C-3D22-4DE3-9E01-82FC8D284D10}"/>
    <cellStyle name="Input 2 2 7 3" xfId="3534" xr:uid="{F55E7160-7E7D-45C8-8246-888D3E0D6E06}"/>
    <cellStyle name="Input 2 2 7 3 2" xfId="4542" xr:uid="{BE145E71-B318-4D44-BB24-92CBD5035FDB}"/>
    <cellStyle name="Input 2 2 7 3 2 2" xfId="7037" xr:uid="{0C52F368-BECE-413F-A2BE-A6E543A28C78}"/>
    <cellStyle name="Input 2 2 7 3 2 3" xfId="8456" xr:uid="{1B1D5757-E127-46E0-B265-A63836BF7AE0}"/>
    <cellStyle name="Input 2 2 7 3 2 4" xfId="10159" xr:uid="{35C7DBBE-FBBB-467C-9074-C54ACFB2C438}"/>
    <cellStyle name="Input 2 2 7 3 2 5" xfId="11655" xr:uid="{3A78E4DE-1D5C-494D-90D0-4FFC8EFDFEB7}"/>
    <cellStyle name="Input 2 2 7 3 2 6" xfId="13133" xr:uid="{E535E0B1-D312-44E8-916B-DC6BC90A5837}"/>
    <cellStyle name="Input 2 2 7 3 2 7" xfId="14802" xr:uid="{7A868466-C02C-4040-B9FC-E2868BACD253}"/>
    <cellStyle name="Input 2 2 7 3 2 8" xfId="16473" xr:uid="{4CE2282D-A92C-4033-9AC7-B2D14F9AE2E3}"/>
    <cellStyle name="Input 2 2 7 3 3" xfId="6257" xr:uid="{7E65FCE8-0E71-4608-98D6-0EF47D063FA5}"/>
    <cellStyle name="Input 2 2 7 3 4" xfId="5135" xr:uid="{9F23AFD6-B3C5-4DBC-9C90-F7695BDEE1B2}"/>
    <cellStyle name="Input 2 2 7 3 5" xfId="9153" xr:uid="{AC534F64-CD99-475C-8C88-0921E8B39881}"/>
    <cellStyle name="Input 2 2 7 3 6" xfId="10887" xr:uid="{70E0A0B6-969E-4BD5-B7C2-C00015620259}"/>
    <cellStyle name="Input 2 2 7 3 7" xfId="12145" xr:uid="{2640E4D2-D575-4B64-ADCE-F555B825A548}"/>
    <cellStyle name="Input 2 2 7 3 8" xfId="13796" xr:uid="{B381AE5A-13C8-49C6-8D56-BD688D78678B}"/>
    <cellStyle name="Input 2 2 7 3 9" xfId="15485" xr:uid="{29D055C0-EC0B-47F2-B0AB-4E9779169567}"/>
    <cellStyle name="Input 2 2 7 4" xfId="4322" xr:uid="{42D60098-08F9-49A2-B83A-862F2801A4DC}"/>
    <cellStyle name="Input 2 2 7 4 2" xfId="6845" xr:uid="{55C1A6FE-E3B1-4753-8ACF-49BD5962B5C0}"/>
    <cellStyle name="Input 2 2 7 4 3" xfId="8242" xr:uid="{57D0300B-B446-4F99-B908-3AF94F869AB4}"/>
    <cellStyle name="Input 2 2 7 4 4" xfId="9939" xr:uid="{11DB38BB-CF48-4817-B3C9-CAE81A96B55A}"/>
    <cellStyle name="Input 2 2 7 4 5" xfId="11464" xr:uid="{6F6CA17E-51BF-4125-9D61-4DBFDC1AB1C7}"/>
    <cellStyle name="Input 2 2 7 4 6" xfId="12919" xr:uid="{130CB7C5-4529-47D8-89B2-DA55276F220E}"/>
    <cellStyle name="Input 2 2 7 4 7" xfId="14582" xr:uid="{35E59E0D-499B-4964-B071-5F10D5E5400A}"/>
    <cellStyle name="Input 2 2 7 4 8" xfId="16259" xr:uid="{921DCE1B-054F-42D9-AD20-2D4B87AE5D15}"/>
    <cellStyle name="Input 2 2 7 5" xfId="5964" xr:uid="{CBE9EC2F-4DCD-42DA-B449-A474BF62F7AA}"/>
    <cellStyle name="Input 2 2 7 6" xfId="5246" xr:uid="{ACA0936A-FC8D-4355-AFA9-2EFE43C26C82}"/>
    <cellStyle name="Input 2 2 7 7" xfId="5901" xr:uid="{ACB70118-81F2-4918-B86B-7C6B2328B861}"/>
    <cellStyle name="Input 2 2 7 8" xfId="5442" xr:uid="{61F4D01E-2D48-4C3C-87DE-F364AE5320E7}"/>
    <cellStyle name="Input 2 2 7 9" xfId="5044" xr:uid="{E16D466D-4CF6-4A9E-A016-2870B1439BA5}"/>
    <cellStyle name="Input 2 2 8" xfId="3378" xr:uid="{CAAA9072-E281-4678-8216-7540F33DA4E0}"/>
    <cellStyle name="Input 2 2 8 10" xfId="15335" xr:uid="{E843FE6C-D066-4CA8-B0B2-78F932DD8D21}"/>
    <cellStyle name="Input 2 2 8 2" xfId="4258" xr:uid="{F0B74B1A-C24E-4D98-B875-6F4DD4236CC0}"/>
    <cellStyle name="Input 2 2 8 2 2" xfId="5010" xr:uid="{47AE1BCE-A034-4C4C-B5BF-3FC3D12A8A77}"/>
    <cellStyle name="Input 2 2 8 2 2 2" xfId="7505" xr:uid="{9B268DEA-A08A-4CFC-8872-747B0B3A367E}"/>
    <cellStyle name="Input 2 2 8 2 2 3" xfId="8915" xr:uid="{121FAC2C-6CD9-422C-B843-7F644CFA6BDE}"/>
    <cellStyle name="Input 2 2 8 2 2 4" xfId="10627" xr:uid="{93068D8C-0430-4002-B481-F078B2680362}"/>
    <cellStyle name="Input 2 2 8 2 2 5" xfId="12123" xr:uid="{C698439E-804A-48E5-88CB-35C6ACD80527}"/>
    <cellStyle name="Input 2 2 8 2 2 6" xfId="13592" xr:uid="{80F9ABD5-2670-4D43-9F03-A4E053695E84}"/>
    <cellStyle name="Input 2 2 8 2 2 7" xfId="15270" xr:uid="{0B350521-BC19-411C-B834-FDE40FC8F9F5}"/>
    <cellStyle name="Input 2 2 8 2 2 8" xfId="16932" xr:uid="{D570ACFD-DB0A-4EC7-8A6F-1F08209FD5AD}"/>
    <cellStyle name="Input 2 2 8 2 3" xfId="6798" xr:uid="{33ECF511-75EC-4049-8280-EA705394DD31}"/>
    <cellStyle name="Input 2 2 8 2 4" xfId="8181" xr:uid="{CCD6908B-3C7F-4B0D-8517-036800BB8B43}"/>
    <cellStyle name="Input 2 2 8 2 5" xfId="9877" xr:uid="{3D879F04-7830-4CF4-949C-879B6679CEBE}"/>
    <cellStyle name="Input 2 2 8 2 6" xfId="11416" xr:uid="{8881C79A-2C12-4F28-A90E-EE4382F44201}"/>
    <cellStyle name="Input 2 2 8 2 7" xfId="12860" xr:uid="{4D525058-E652-4823-91FC-34871F25162E}"/>
    <cellStyle name="Input 2 2 8 2 8" xfId="14520" xr:uid="{D5DD805D-2CEE-4F23-8C1F-31DB12658400}"/>
    <cellStyle name="Input 2 2 8 2 9" xfId="16200" xr:uid="{E6495AD9-2AFB-4A42-918B-C14B96D223A9}"/>
    <cellStyle name="Input 2 2 8 3" xfId="3818" xr:uid="{2F8DC3DE-AC9E-444C-BABD-7E909395DDD2}"/>
    <cellStyle name="Input 2 2 8 3 2" xfId="4722" xr:uid="{143A490A-EF68-4201-987A-F97EA115F5FE}"/>
    <cellStyle name="Input 2 2 8 3 2 2" xfId="7217" xr:uid="{B1BC5BF0-E97D-458C-8E92-C0108644FE1A}"/>
    <cellStyle name="Input 2 2 8 3 2 3" xfId="8635" xr:uid="{76C892EE-8E7B-452D-8DD1-8FFF5B44EE3E}"/>
    <cellStyle name="Input 2 2 8 3 2 4" xfId="10339" xr:uid="{DDEBFA01-F34A-479F-A93C-7F93A0FF26C8}"/>
    <cellStyle name="Input 2 2 8 3 2 5" xfId="11835" xr:uid="{60A9E6CD-AFDC-44C0-890E-13605A9E2FF6}"/>
    <cellStyle name="Input 2 2 8 3 2 6" xfId="13312" xr:uid="{F758ED88-73C3-4343-A96F-70B9A317BE42}"/>
    <cellStyle name="Input 2 2 8 3 2 7" xfId="14982" xr:uid="{71EECCC9-100B-4C4B-AF60-9A600BF683AC}"/>
    <cellStyle name="Input 2 2 8 3 2 8" xfId="16652" xr:uid="{3D1A4B82-A8FF-4C5C-BC5C-B0004BAB6928}"/>
    <cellStyle name="Input 2 2 8 3 3" xfId="6468" xr:uid="{60BC27FC-4006-4853-9740-B2B53C3C5B32}"/>
    <cellStyle name="Input 2 2 8 3 4" xfId="7749" xr:uid="{57BF2FAD-2269-4335-928E-288271F40A33}"/>
    <cellStyle name="Input 2 2 8 3 5" xfId="9437" xr:uid="{B315CA72-C919-4203-A9CE-4ACE0FB97686}"/>
    <cellStyle name="Input 2 2 8 3 6" xfId="11097" xr:uid="{8AE4BC39-A61A-4417-A40A-3D5B35C12C9E}"/>
    <cellStyle name="Input 2 2 8 3 7" xfId="12428" xr:uid="{35531FEF-5581-48D9-B190-909F41269A55}"/>
    <cellStyle name="Input 2 2 8 3 8" xfId="14080" xr:uid="{ED519C87-FC4E-4489-B96A-43811BE6DC57}"/>
    <cellStyle name="Input 2 2 8 3 9" xfId="15768" xr:uid="{6D932A7C-170C-48A9-A109-864CA8636138}"/>
    <cellStyle name="Input 2 2 8 4" xfId="4434" xr:uid="{C75D0DCD-B432-4D60-B3F4-41AFFD6B25A2}"/>
    <cellStyle name="Input 2 2 8 4 2" xfId="6932" xr:uid="{13051514-4B22-44CD-9A6A-56434209B464}"/>
    <cellStyle name="Input 2 2 8 4 3" xfId="8351" xr:uid="{53663939-EC1A-4C1A-A717-9FD36C6AF6F8}"/>
    <cellStyle name="Input 2 2 8 4 4" xfId="10051" xr:uid="{07EFE6C5-9D1E-48CC-A880-459D303F866C}"/>
    <cellStyle name="Input 2 2 8 4 5" xfId="11549" xr:uid="{8AEDE40C-8CA4-45B4-829E-D2AD91320A81}"/>
    <cellStyle name="Input 2 2 8 4 6" xfId="13028" xr:uid="{A3E95B86-9932-43BF-A580-C0CB284B3F3F}"/>
    <cellStyle name="Input 2 2 8 4 7" xfId="14694" xr:uid="{6FF063BF-2027-4683-9C1D-337C1DC6A8E2}"/>
    <cellStyle name="Input 2 2 8 4 8" xfId="16368" xr:uid="{1C16B8E1-60F1-4183-9315-12B3A65643EE}"/>
    <cellStyle name="Input 2 2 8 5" xfId="6136" xr:uid="{5DB6E02E-930D-40C3-B943-803B3A9A0E36}"/>
    <cellStyle name="Input 2 2 8 6" xfId="5686" xr:uid="{DD1911F8-F853-4ADC-BACA-85B91E594E60}"/>
    <cellStyle name="Input 2 2 8 7" xfId="10768" xr:uid="{496870C3-C70C-4B90-94F4-627BD910DEB6}"/>
    <cellStyle name="Input 2 2 8 8" xfId="5310" xr:uid="{A62119B5-D5F5-40AB-A3DE-2A59A98BC8B8}"/>
    <cellStyle name="Input 2 2 8 9" xfId="13644" xr:uid="{C3C99CE2-7BC6-4D5A-9EB3-E52BDD576577}"/>
    <cellStyle name="Input 2 2 9" xfId="3876" xr:uid="{2DC05357-84D0-4133-8C56-72388E2751C4}"/>
    <cellStyle name="Input 2 2 9 2" xfId="4767" xr:uid="{75F4FC6A-5F8F-40D4-AF63-9FB815DFFFDC}"/>
    <cellStyle name="Input 2 2 9 2 2" xfId="7262" xr:uid="{4127F898-E32C-4C05-886A-B59BD0E98464}"/>
    <cellStyle name="Input 2 2 9 2 3" xfId="8677" xr:uid="{5128E288-DA74-40A2-A4B0-C308BDD828A9}"/>
    <cellStyle name="Input 2 2 9 2 4" xfId="10384" xr:uid="{DC835718-A7B8-4249-A8E6-BD4C45CC6101}"/>
    <cellStyle name="Input 2 2 9 2 5" xfId="11880" xr:uid="{E09230A0-B4D8-461A-902B-11BCAF5185AD}"/>
    <cellStyle name="Input 2 2 9 2 6" xfId="13354" xr:uid="{5FAFF805-2A82-4638-ABFC-C15E9187CF98}"/>
    <cellStyle name="Input 2 2 9 2 7" xfId="15027" xr:uid="{623FA05E-485C-49D0-B44C-398F46C7BF8E}"/>
    <cellStyle name="Input 2 2 9 2 8" xfId="16694" xr:uid="{41695487-ED5B-476F-B079-5428CEFEAD1B}"/>
    <cellStyle name="Input 2 2 9 3" xfId="6517" xr:uid="{54A06FBE-6E5C-4FAB-9173-433B16236A32}"/>
    <cellStyle name="Input 2 2 9 4" xfId="7804" xr:uid="{CD320E2A-2804-41CE-805E-87052A7D8E7D}"/>
    <cellStyle name="Input 2 2 9 5" xfId="9495" xr:uid="{7FA8EE39-8798-4C88-9C13-A9FF8F09B2D9}"/>
    <cellStyle name="Input 2 2 9 6" xfId="11148" xr:uid="{F6B89546-6861-45C4-B9CD-53DF17ECAA53}"/>
    <cellStyle name="Input 2 2 9 7" xfId="12483" xr:uid="{EC1DFB8C-C299-4E96-B009-8EB96CDF3F77}"/>
    <cellStyle name="Input 2 2 9 8" xfId="14138" xr:uid="{00837235-301A-43B8-A5D0-751338DCA594}"/>
    <cellStyle name="Input 2 2 9 9" xfId="15823" xr:uid="{DDB5AEAB-1EF2-42B0-A70F-74B45D82F77D}"/>
    <cellStyle name="Input 2 3" xfId="2973" xr:uid="{69A23CAD-CBFF-4E8D-8182-77868EDAEEED}"/>
    <cellStyle name="Input 2 3 10" xfId="3420" xr:uid="{183223DA-F9BF-4D2A-8A92-409536448139}"/>
    <cellStyle name="Input 2 3 10 2" xfId="4467" xr:uid="{EB88D7FC-997B-428E-8069-F47433843313}"/>
    <cellStyle name="Input 2 3 10 2 2" xfId="6962" xr:uid="{25183BFD-15F9-455A-BA90-7DE9D02AA6E8}"/>
    <cellStyle name="Input 2 3 10 2 3" xfId="8383" xr:uid="{4E2B26D0-51D5-4D2B-8EEA-67B9AFF78EA5}"/>
    <cellStyle name="Input 2 3 10 2 4" xfId="10084" xr:uid="{5F0A2EBF-6B1A-46F9-A20E-C3C35DA73025}"/>
    <cellStyle name="Input 2 3 10 2 5" xfId="11580" xr:uid="{977B5D51-F0C3-41F1-AC88-E17769C7B5B1}"/>
    <cellStyle name="Input 2 3 10 2 6" xfId="13060" xr:uid="{76B23CB2-876F-402E-BAAB-CDE2E5CB399C}"/>
    <cellStyle name="Input 2 3 10 2 7" xfId="14727" xr:uid="{61E2B1B4-77A5-4145-A4B9-8900F5998D89}"/>
    <cellStyle name="Input 2 3 10 2 8" xfId="16400" xr:uid="{F38020F4-527D-4A8E-B64F-49FA2F5FA643}"/>
    <cellStyle name="Input 2 3 10 3" xfId="6170" xr:uid="{D2D6D941-EBED-4B46-AC5C-88F1E64FB5B3}"/>
    <cellStyle name="Input 2 3 10 4" xfId="5972" xr:uid="{36AD5774-985C-4B9F-95E2-535EA1D3163A}"/>
    <cellStyle name="Input 2 3 10 5" xfId="9039" xr:uid="{0788C47F-B283-4B1F-B4AC-BBA80F783EAF}"/>
    <cellStyle name="Input 2 3 10 6" xfId="10803" xr:uid="{C5E1B23C-D3EF-409E-8B37-CD9CDBD4AD64}"/>
    <cellStyle name="Input 2 3 10 7" xfId="5868" xr:uid="{505FD5C8-64F2-4344-B78B-AF81D3FFBF2B}"/>
    <cellStyle name="Input 2 3 10 8" xfId="13682" xr:uid="{271AB4D7-9E24-4590-914E-78844ACBAF1E}"/>
    <cellStyle name="Input 2 3 10 9" xfId="15373" xr:uid="{6716D405-7C44-4AE3-BAF6-318620FC2DE4}"/>
    <cellStyle name="Input 2 3 11" xfId="5834" xr:uid="{13DF3B9A-99EC-4CD0-B880-82B2E20DB9A7}"/>
    <cellStyle name="Input 2 3 12" xfId="5402" xr:uid="{A2317821-C661-40DD-B31E-65211DC5878D}"/>
    <cellStyle name="Input 2 3 2" xfId="3261" xr:uid="{715B7135-594D-4FF8-BFA8-95A945460128}"/>
    <cellStyle name="Input 2 3 2 2" xfId="4141" xr:uid="{CF7AF2AC-6342-4511-8D43-E5CB5529F7A1}"/>
    <cellStyle name="Input 2 3 2 2 2" xfId="4938" xr:uid="{C21160E4-5ECE-454D-AD4A-BCB6578E31BD}"/>
    <cellStyle name="Input 2 3 2 2 2 2" xfId="7433" xr:uid="{A126B23A-1A7B-422B-BE3C-300128E31141}"/>
    <cellStyle name="Input 2 3 2 2 2 3" xfId="8845" xr:uid="{84B19DBB-AD3C-474E-9940-0918B2E83345}"/>
    <cellStyle name="Input 2 3 2 2 2 4" xfId="10555" xr:uid="{EA796177-7498-430B-AA56-640E1BDFBA42}"/>
    <cellStyle name="Input 2 3 2 2 2 5" xfId="12051" xr:uid="{73B65B4E-2A3C-4D61-A3F9-058536869EC6}"/>
    <cellStyle name="Input 2 3 2 2 2 6" xfId="13522" xr:uid="{229953DB-ADAB-4D93-9599-0F652E7176C0}"/>
    <cellStyle name="Input 2 3 2 2 2 7" xfId="15198" xr:uid="{55D9C947-D0B0-4B0A-8E6D-968E89FA6F67}"/>
    <cellStyle name="Input 2 3 2 2 2 8" xfId="16862" xr:uid="{95E70081-FF45-4F98-92C8-B50A3AB0FD4C}"/>
    <cellStyle name="Input 2 3 2 2 3" xfId="6712" xr:uid="{1D949F53-6BB8-429B-8BB9-C67AC861B035}"/>
    <cellStyle name="Input 2 3 2 2 4" xfId="8066" xr:uid="{E271D599-F5FB-49EF-AA9D-26F9022087F9}"/>
    <cellStyle name="Input 2 3 2 2 5" xfId="9760" xr:uid="{888966E9-5A1F-4BA5-8B46-F9CD92420C98}"/>
    <cellStyle name="Input 2 3 2 2 6" xfId="11340" xr:uid="{4B309B14-9BF1-4A8D-ADD8-A4D979D7F1E1}"/>
    <cellStyle name="Input 2 3 2 2 7" xfId="12745" xr:uid="{025C483D-39B8-453E-9F12-B4029E73E09B}"/>
    <cellStyle name="Input 2 3 2 2 8" xfId="14403" xr:uid="{2885C921-6B8F-4F90-BED5-4E3B10D39C2D}"/>
    <cellStyle name="Input 2 3 2 2 9" xfId="16085" xr:uid="{5D8A8ACD-DE88-4DDB-A6BD-4F75715992A3}"/>
    <cellStyle name="Input 2 3 2 3" xfId="3703" xr:uid="{FF1B3B41-9376-40B0-AEE6-AA722277AF04}"/>
    <cellStyle name="Input 2 3 2 3 2" xfId="4652" xr:uid="{5A116757-5776-45B6-B406-14D9C893137F}"/>
    <cellStyle name="Input 2 3 2 3 2 2" xfId="7147" xr:uid="{A059DB57-02EF-4C6A-87F9-C9EA325CFE91}"/>
    <cellStyle name="Input 2 3 2 3 2 3" xfId="8565" xr:uid="{313B9845-6E0A-4DE0-B938-5EE1ABEB1707}"/>
    <cellStyle name="Input 2 3 2 3 2 4" xfId="10269" xr:uid="{C00E805A-C55E-43C1-9887-B97198E2390B}"/>
    <cellStyle name="Input 2 3 2 3 2 5" xfId="11765" xr:uid="{3AD6CE72-E91C-4FD1-AF19-789F5C599D5C}"/>
    <cellStyle name="Input 2 3 2 3 2 6" xfId="13242" xr:uid="{E8537963-D862-4AA3-A82B-DF9D380D5C45}"/>
    <cellStyle name="Input 2 3 2 3 2 7" xfId="14912" xr:uid="{7937C5A4-C8C2-454B-8DB2-97157081C9F9}"/>
    <cellStyle name="Input 2 3 2 3 2 8" xfId="16582" xr:uid="{E67A35AC-B9A4-4381-9C15-34DC8C562C57}"/>
    <cellStyle name="Input 2 3 2 3 3" xfId="6385" xr:uid="{73A71917-FF0F-42B3-A467-A2834AFFC48C}"/>
    <cellStyle name="Input 2 3 2 3 4" xfId="7634" xr:uid="{70611796-64A3-4091-9507-7C087D38C5BC}"/>
    <cellStyle name="Input 2 3 2 3 5" xfId="9322" xr:uid="{587F571B-F08C-4D5A-94B7-6A81DE035FDA}"/>
    <cellStyle name="Input 2 3 2 3 6" xfId="11012" xr:uid="{2F80E69C-54E8-46C1-BCE3-0FB9535F55D0}"/>
    <cellStyle name="Input 2 3 2 3 7" xfId="12313" xr:uid="{43DB1707-8A62-41B8-9327-FB1A6D92CCBA}"/>
    <cellStyle name="Input 2 3 2 3 8" xfId="13965" xr:uid="{B8AF0F38-EA9A-469E-ACC4-8532341E82A9}"/>
    <cellStyle name="Input 2 3 2 3 9" xfId="15653" xr:uid="{13DB04E9-ACDC-4BE1-A267-F1F420F1994D}"/>
    <cellStyle name="Input 2 3 2 4" xfId="8928" xr:uid="{E9EFEE7C-7467-4495-A05C-4BEB5DB59A55}"/>
    <cellStyle name="Input 2 3 3" xfId="3133" xr:uid="{AC533E85-ACC7-4CCF-8CCF-E8FCAE66C7EF}"/>
    <cellStyle name="Input 2 3 3 2" xfId="4013" xr:uid="{A242BEBE-4EC0-42A5-B560-A217DB2985C9}"/>
    <cellStyle name="Input 2 3 3 2 2" xfId="4858" xr:uid="{C6D48230-A54A-4C6B-83CA-E4996DAF9DC9}"/>
    <cellStyle name="Input 2 3 3 2 2 2" xfId="7353" xr:uid="{08CFCE7C-5E81-47B4-BAB4-473835229886}"/>
    <cellStyle name="Input 2 3 3 2 2 3" xfId="8766" xr:uid="{420FA57F-1A94-48BA-B246-381C3DE2EE3C}"/>
    <cellStyle name="Input 2 3 3 2 2 4" xfId="10475" xr:uid="{B41B4859-19EF-477C-AC22-C59EF4933A85}"/>
    <cellStyle name="Input 2 3 3 2 2 5" xfId="11971" xr:uid="{DDD182AC-A43D-4623-A9C8-5AF8B72E4504}"/>
    <cellStyle name="Input 2 3 3 2 2 6" xfId="13443" xr:uid="{E7ECE628-1D64-4D02-832A-520E29C86C6D}"/>
    <cellStyle name="Input 2 3 3 2 2 7" xfId="15118" xr:uid="{4E240923-CD3D-4693-AFB0-786FCC673804}"/>
    <cellStyle name="Input 2 3 3 2 2 8" xfId="16783" xr:uid="{09DD4267-625A-44BE-BCAE-437301B75201}"/>
    <cellStyle name="Input 2 3 3 2 3" xfId="6619" xr:uid="{8BDB25D8-F137-4577-9038-8332CDB4980D}"/>
    <cellStyle name="Input 2 3 3 2 4" xfId="7939" xr:uid="{BF7BE040-64AF-4F83-803D-3FB85968C5AF}"/>
    <cellStyle name="Input 2 3 3 2 5" xfId="9632" xr:uid="{0C63AFB3-A026-45EF-9198-A63149EA9D1A}"/>
    <cellStyle name="Input 2 3 3 2 6" xfId="11245" xr:uid="{4DEA94E6-E344-4D7F-8563-FD60241AABB1}"/>
    <cellStyle name="Input 2 3 3 2 7" xfId="12618" xr:uid="{6775C5D4-D400-443C-9455-E39488C76078}"/>
    <cellStyle name="Input 2 3 3 2 8" xfId="14275" xr:uid="{EEA3946D-14C4-472D-98FD-8A0B8A1D7F6A}"/>
    <cellStyle name="Input 2 3 3 2 9" xfId="15958" xr:uid="{8BEB4E5B-35BF-4F6E-8CF8-657BD9F86F93}"/>
    <cellStyle name="Input 2 3 3 3" xfId="3575" xr:uid="{E5B37DB5-CD16-451B-AE6C-A630C509E2D9}"/>
    <cellStyle name="Input 2 3 3 3 2" xfId="4572" xr:uid="{9491D438-D6B8-4676-B586-D676AFF885FB}"/>
    <cellStyle name="Input 2 3 3 3 2 2" xfId="7067" xr:uid="{C2460202-E091-4316-93F5-BA105BDC3AE4}"/>
    <cellStyle name="Input 2 3 3 3 2 3" xfId="8486" xr:uid="{80180955-5D08-4E47-9E3D-7F6B9B141AAC}"/>
    <cellStyle name="Input 2 3 3 3 2 4" xfId="10189" xr:uid="{9B9301A2-9491-4758-9313-539529DCC2C9}"/>
    <cellStyle name="Input 2 3 3 3 2 5" xfId="11685" xr:uid="{8D133A28-BFBC-405E-B144-452ED64B46A7}"/>
    <cellStyle name="Input 2 3 3 3 2 6" xfId="13163" xr:uid="{6B009974-C157-4210-8826-80F9106A1997}"/>
    <cellStyle name="Input 2 3 3 3 2 7" xfId="14832" xr:uid="{1D3B45E6-4F20-48E2-84C1-1E477758E4BB}"/>
    <cellStyle name="Input 2 3 3 3 2 8" xfId="16503" xr:uid="{E0E5609E-505D-44E0-B4D5-004E52037032}"/>
    <cellStyle name="Input 2 3 3 3 3" xfId="6289" xr:uid="{008E4A31-9C28-4935-9200-ADAAC3E1E499}"/>
    <cellStyle name="Input 2 3 3 3 4" xfId="5103" xr:uid="{7FD22C95-A086-45F8-98CF-DDA18025042E}"/>
    <cellStyle name="Input 2 3 3 3 5" xfId="9194" xr:uid="{280BAC09-F01E-4DE0-9322-B0E8ECFCF2EF}"/>
    <cellStyle name="Input 2 3 3 3 6" xfId="10919" xr:uid="{492886B6-AE15-43B2-9B64-BCF7EDD96982}"/>
    <cellStyle name="Input 2 3 3 3 7" xfId="12186" xr:uid="{06B81C03-AE07-4E99-94A3-944B78126F94}"/>
    <cellStyle name="Input 2 3 3 3 8" xfId="13837" xr:uid="{304BFFAA-D3FD-4204-B0BD-17A9485ECE3F}"/>
    <cellStyle name="Input 2 3 3 3 9" xfId="15526" xr:uid="{D0E96F6C-1778-4E7D-9F35-DF8BE61F2A47}"/>
    <cellStyle name="Input 2 3 3 4" xfId="6349" xr:uid="{BC0BC71B-6FC1-48E1-99DE-B59699CA585D}"/>
    <cellStyle name="Input 2 3 4" xfId="3117" xr:uid="{999783C6-440E-4D54-8B90-08B3C96A2B44}"/>
    <cellStyle name="Input 2 3 4 2" xfId="3997" xr:uid="{DF1FD56F-DBD8-4AD6-9037-A586F7A4C199}"/>
    <cellStyle name="Input 2 3 4 2 2" xfId="4844" xr:uid="{81AEFF12-4DDF-4633-B43E-0F99142195EF}"/>
    <cellStyle name="Input 2 3 4 2 2 2" xfId="7339" xr:uid="{59ED8F0D-BCDE-4731-BD59-A6791ACECB69}"/>
    <cellStyle name="Input 2 3 4 2 2 3" xfId="8752" xr:uid="{B3E3F766-908A-4D7C-8655-09D1767006FA}"/>
    <cellStyle name="Input 2 3 4 2 2 4" xfId="10461" xr:uid="{B96ECDE6-1F8B-4AEB-9FEE-098A16DC1A0C}"/>
    <cellStyle name="Input 2 3 4 2 2 5" xfId="11957" xr:uid="{53F24B1B-D4AE-4940-8701-ADC0D8312AD6}"/>
    <cellStyle name="Input 2 3 4 2 2 6" xfId="13429" xr:uid="{077CAA2A-FF52-4269-839C-ADA2BA416C6F}"/>
    <cellStyle name="Input 2 3 4 2 2 7" xfId="15104" xr:uid="{7BFB7270-5389-4417-A5CB-5E75610797D2}"/>
    <cellStyle name="Input 2 3 4 2 2 8" xfId="16769" xr:uid="{58677A25-89FD-45C5-AFB2-FD9BAE815412}"/>
    <cellStyle name="Input 2 3 4 2 3" xfId="6605" xr:uid="{041D22AB-7C08-4863-9205-E7F3BD6505FF}"/>
    <cellStyle name="Input 2 3 4 2 4" xfId="7923" xr:uid="{D2CDB72F-2E8E-4E16-9C39-46777BCF24C3}"/>
    <cellStyle name="Input 2 3 4 2 5" xfId="9616" xr:uid="{AD284E31-5D31-448D-B7C2-430DFA45AC8E}"/>
    <cellStyle name="Input 2 3 4 2 6" xfId="11231" xr:uid="{9181D337-5E6D-4903-8ACC-C5AB8D828E23}"/>
    <cellStyle name="Input 2 3 4 2 7" xfId="12602" xr:uid="{50236558-6D33-48E1-B487-C611685884BF}"/>
    <cellStyle name="Input 2 3 4 2 8" xfId="14259" xr:uid="{2F58731E-83EC-4121-ADEE-71D47E174610}"/>
    <cellStyle name="Input 2 3 4 2 9" xfId="15942" xr:uid="{34C1E206-6723-452B-8780-AE4203525B7C}"/>
    <cellStyle name="Input 2 3 4 3" xfId="3559" xr:uid="{3FC065D5-01C0-42A6-B843-22C29CE3B639}"/>
    <cellStyle name="Input 2 3 4 3 2" xfId="4558" xr:uid="{3B95C11A-198E-4BEA-B566-27829DAEFFBE}"/>
    <cellStyle name="Input 2 3 4 3 2 2" xfId="7053" xr:uid="{D2380C52-DC49-4AB6-8B4D-B04326F03A0C}"/>
    <cellStyle name="Input 2 3 4 3 2 3" xfId="8472" xr:uid="{0FFBE4F7-3AD7-40AF-A16E-9A0D5144B60F}"/>
    <cellStyle name="Input 2 3 4 3 2 4" xfId="10175" xr:uid="{3ABB8EB7-6CA0-487C-8EC9-428D60EBC5DD}"/>
    <cellStyle name="Input 2 3 4 3 2 5" xfId="11671" xr:uid="{4DE186DF-3CDC-4A14-9995-9E10F3ED5F1E}"/>
    <cellStyle name="Input 2 3 4 3 2 6" xfId="13149" xr:uid="{D56C3C8A-709E-4502-9E53-A2C4586C7D6B}"/>
    <cellStyle name="Input 2 3 4 3 2 7" xfId="14818" xr:uid="{8265AE74-947A-4A1A-9FC6-6BB98AF87080}"/>
    <cellStyle name="Input 2 3 4 3 2 8" xfId="16489" xr:uid="{3A00E3A8-DF49-4BF5-BE52-E7EF16584F72}"/>
    <cellStyle name="Input 2 3 4 3 3" xfId="6275" xr:uid="{44DC8B30-9BBF-43F0-A8F9-D117C1CCB246}"/>
    <cellStyle name="Input 2 3 4 3 4" xfId="5117" xr:uid="{CB672D52-4D8F-4708-8D56-477C15622363}"/>
    <cellStyle name="Input 2 3 4 3 5" xfId="9178" xr:uid="{B69977CD-7B70-4BAF-A9B2-12E0DAAB07F1}"/>
    <cellStyle name="Input 2 3 4 3 6" xfId="10905" xr:uid="{75D5FCAF-3739-4AC1-90C6-5237E127FA8D}"/>
    <cellStyle name="Input 2 3 4 3 7" xfId="12170" xr:uid="{A33430FE-A7D6-45BB-8B2E-E01A45C2F020}"/>
    <cellStyle name="Input 2 3 4 3 8" xfId="13821" xr:uid="{74C733BC-357D-45FF-B49C-8DEB975B8D57}"/>
    <cellStyle name="Input 2 3 4 3 9" xfId="15510" xr:uid="{3B394980-8A8E-4A6F-B601-40627FB5C787}"/>
    <cellStyle name="Input 2 3 4 4" xfId="6788" xr:uid="{4512F2B3-B0F1-4A30-B7EF-06B51D37B035}"/>
    <cellStyle name="Input 2 3 5" xfId="3299" xr:uid="{AB366449-E88E-426F-B595-A90FB2859F77}"/>
    <cellStyle name="Input 2 3 5 2" xfId="4179" xr:uid="{FCDBAC55-90C8-441E-8867-AF13B14C6102}"/>
    <cellStyle name="Input 2 3 5 2 2" xfId="4967" xr:uid="{0701F681-BA0A-4741-9637-9CCD16AFCDEC}"/>
    <cellStyle name="Input 2 3 5 2 2 2" xfId="7462" xr:uid="{8B3A7E7E-B8D2-425D-B6DE-7A5C2B34D6BC}"/>
    <cellStyle name="Input 2 3 5 2 2 3" xfId="8873" xr:uid="{F2D0438D-2474-4261-AB97-9B7E3FA703A0}"/>
    <cellStyle name="Input 2 3 5 2 2 4" xfId="10584" xr:uid="{DAB48802-2164-4776-9AD9-71F14B4FCD1F}"/>
    <cellStyle name="Input 2 3 5 2 2 5" xfId="12080" xr:uid="{44240160-0B78-490E-950D-B4FE97654689}"/>
    <cellStyle name="Input 2 3 5 2 2 6" xfId="13550" xr:uid="{448B55E3-5460-40B4-A322-AD03CD9FA845}"/>
    <cellStyle name="Input 2 3 5 2 2 7" xfId="15227" xr:uid="{140AD4D7-376F-41A3-A702-870C9F1FF905}"/>
    <cellStyle name="Input 2 3 5 2 2 8" xfId="16890" xr:uid="{A5A62610-E05F-4DE4-8657-813D88AF18C2}"/>
    <cellStyle name="Input 2 3 5 2 3" xfId="6742" xr:uid="{29373F4B-07A2-4BEA-8114-E6011F47CFE7}"/>
    <cellStyle name="Input 2 3 5 2 4" xfId="8103" xr:uid="{D2F2148F-A6CD-4D7F-86EA-B19DDB1093EF}"/>
    <cellStyle name="Input 2 3 5 2 5" xfId="9798" xr:uid="{BAAA2499-75A6-45BD-B6A5-9FC3FC5EC29D}"/>
    <cellStyle name="Input 2 3 5 2 6" xfId="11370" xr:uid="{6907B02D-1213-4049-8C4F-7865B97243EE}"/>
    <cellStyle name="Input 2 3 5 2 7" xfId="12782" xr:uid="{4B233492-246C-4E87-8647-49C5AF292FCD}"/>
    <cellStyle name="Input 2 3 5 2 8" xfId="14441" xr:uid="{369CAB8C-0AD2-4496-8A67-B0C20D2481C1}"/>
    <cellStyle name="Input 2 3 5 2 9" xfId="16122" xr:uid="{4E7A650B-64C5-45CB-AA5E-5C494A8BAEA0}"/>
    <cellStyle name="Input 2 3 5 3" xfId="3740" xr:uid="{F1FCB339-F17E-4A67-8B2F-F7C8BF0E133F}"/>
    <cellStyle name="Input 2 3 5 3 2" xfId="4680" xr:uid="{BABB4C62-4001-4C9A-BD3F-624C1F3B951F}"/>
    <cellStyle name="Input 2 3 5 3 2 2" xfId="7175" xr:uid="{EB1B37DB-AEFA-4B4F-9F7A-84716EC617E5}"/>
    <cellStyle name="Input 2 3 5 3 2 3" xfId="8593" xr:uid="{9665214E-271D-498B-8FC0-0F82F5B2C4A9}"/>
    <cellStyle name="Input 2 3 5 3 2 4" xfId="10297" xr:uid="{BE1AC57E-825E-4511-9365-7B245020C05C}"/>
    <cellStyle name="Input 2 3 5 3 2 5" xfId="11793" xr:uid="{1DEC4AFA-BB89-46F2-9FA9-0929AE0FDB65}"/>
    <cellStyle name="Input 2 3 5 3 2 6" xfId="13270" xr:uid="{4C191258-1B58-42D1-8663-8F735EDEB357}"/>
    <cellStyle name="Input 2 3 5 3 2 7" xfId="14940" xr:uid="{DCD66CC0-A782-48CF-AA03-9FA74EA703A5}"/>
    <cellStyle name="Input 2 3 5 3 2 8" xfId="16610" xr:uid="{F8E6B74E-10EA-4A6A-9AFD-903843D2C03A}"/>
    <cellStyle name="Input 2 3 5 3 3" xfId="6415" xr:uid="{0823B8EA-C597-4097-82BD-7988AAF3D8E5}"/>
    <cellStyle name="Input 2 3 5 3 4" xfId="7671" xr:uid="{22A20729-388B-480C-9418-2DB4B875F47A}"/>
    <cellStyle name="Input 2 3 5 3 5" xfId="9359" xr:uid="{08B961DF-1EEF-4A16-A7B7-FBBD09045F32}"/>
    <cellStyle name="Input 2 3 5 3 6" xfId="11043" xr:uid="{6EE92C77-E2AE-47C9-92A5-B40D06EEEA98}"/>
    <cellStyle name="Input 2 3 5 3 7" xfId="12350" xr:uid="{470A1DF3-2D12-4D75-905E-0EDB72359906}"/>
    <cellStyle name="Input 2 3 5 3 8" xfId="14002" xr:uid="{A0EF016E-A35C-4A52-92C7-51BA39EEB0D1}"/>
    <cellStyle name="Input 2 3 5 3 9" xfId="15690" xr:uid="{5580403E-9BD7-4DEA-A741-3EFAD63AB867}"/>
    <cellStyle name="Input 2 3 5 4" xfId="8962" xr:uid="{BE3A5A41-0A48-49E0-B409-C63E300497DA}"/>
    <cellStyle name="Input 2 3 6" xfId="3023" xr:uid="{DA7B135B-67E7-4DD4-8B08-DDDBEE54C1CD}"/>
    <cellStyle name="Input 2 3 6 10" xfId="5662" xr:uid="{5E05D8F9-AFA3-4015-BCED-ECF9EFB775AD}"/>
    <cellStyle name="Input 2 3 6 2" xfId="3903" xr:uid="{FB27E206-B410-40B2-86C2-75B338582928}"/>
    <cellStyle name="Input 2 3 6 2 2" xfId="4780" xr:uid="{718A6F9E-CA40-4C6C-AB5E-23F2687C0C16}"/>
    <cellStyle name="Input 2 3 6 2 2 2" xfId="7275" xr:uid="{637A45FD-6D42-43A4-993D-FB8A82A57D51}"/>
    <cellStyle name="Input 2 3 6 2 2 3" xfId="8690" xr:uid="{1F988259-1138-448B-B052-34EB8B99C9CF}"/>
    <cellStyle name="Input 2 3 6 2 2 4" xfId="10397" xr:uid="{118CB99B-9823-494E-B91F-C7B13311B81D}"/>
    <cellStyle name="Input 2 3 6 2 2 5" xfId="11893" xr:uid="{FDEED653-C421-41DC-832F-F951EA9E6D96}"/>
    <cellStyle name="Input 2 3 6 2 2 6" xfId="13367" xr:uid="{0ED865A4-E9BF-4706-9009-C0057C76AF12}"/>
    <cellStyle name="Input 2 3 6 2 2 7" xfId="15040" xr:uid="{5EB50AC6-4BCA-4637-95F8-08671D059041}"/>
    <cellStyle name="Input 2 3 6 2 2 8" xfId="16707" xr:uid="{AAFAF97F-9282-4871-BC06-D3546683A5F6}"/>
    <cellStyle name="Input 2 3 6 2 3" xfId="6534" xr:uid="{7C79091D-FEBC-4013-9322-6A4E998A435F}"/>
    <cellStyle name="Input 2 3 6 2 4" xfId="7831" xr:uid="{17FA4B72-4966-4B56-81D3-8EE123A80326}"/>
    <cellStyle name="Input 2 3 6 2 5" xfId="9522" xr:uid="{07D4CCDA-F1A5-4222-AD09-C197FBC63634}"/>
    <cellStyle name="Input 2 3 6 2 6" xfId="11165" xr:uid="{FE0A993E-2701-4D2B-943D-8DFE90CA3AB8}"/>
    <cellStyle name="Input 2 3 6 2 7" xfId="12510" xr:uid="{DA52D01F-F017-43B3-A97B-85F2BAB7DD48}"/>
    <cellStyle name="Input 2 3 6 2 8" xfId="14165" xr:uid="{780D89B8-1ECB-4390-B8FB-0C7AFDA94EE7}"/>
    <cellStyle name="Input 2 3 6 2 9" xfId="15850" xr:uid="{B24ACAEE-EED7-4D42-87D6-821EC87C1E5A}"/>
    <cellStyle name="Input 2 3 6 3" xfId="3465" xr:uid="{0604EDBE-5DDF-4C7C-B0AF-EAEF296C1B77}"/>
    <cellStyle name="Input 2 3 6 3 2" xfId="4494" xr:uid="{61DA30FE-FD9C-4BAF-AC92-211EDE5A12D9}"/>
    <cellStyle name="Input 2 3 6 3 2 2" xfId="6989" xr:uid="{E4BCCCB5-0EAB-4DDE-9C6C-73CA5D92EBA2}"/>
    <cellStyle name="Input 2 3 6 3 2 3" xfId="8410" xr:uid="{4098BD5C-2318-40C7-B014-0D07DB83BE40}"/>
    <cellStyle name="Input 2 3 6 3 2 4" xfId="10111" xr:uid="{9F0CE4CB-372E-4446-BD52-564B3FD784E2}"/>
    <cellStyle name="Input 2 3 6 3 2 5" xfId="11607" xr:uid="{0D6945B5-3F3F-421F-9DDC-88F342BEAD69}"/>
    <cellStyle name="Input 2 3 6 3 2 6" xfId="13087" xr:uid="{1B4B1E05-0577-4967-9C91-6C2ACEA5ED08}"/>
    <cellStyle name="Input 2 3 6 3 2 7" xfId="14754" xr:uid="{FEBCC4B7-F86B-42D2-8D80-DF5281A061C8}"/>
    <cellStyle name="Input 2 3 6 3 2 8" xfId="16427" xr:uid="{9544FBA6-AB12-49E6-B93C-F0589A7E3AAE}"/>
    <cellStyle name="Input 2 3 6 3 3" xfId="6202" xr:uid="{24929D24-DA5D-4D7F-A2A2-133D9A2C4FDE}"/>
    <cellStyle name="Input 2 3 6 3 4" xfId="5181" xr:uid="{E8A486F4-32D4-44BE-BC75-9759C5833B0B}"/>
    <cellStyle name="Input 2 3 6 3 5" xfId="9084" xr:uid="{A09F4A66-7D5E-4681-B38E-A37DF594D681}"/>
    <cellStyle name="Input 2 3 6 3 6" xfId="10836" xr:uid="{F0F8F45F-2494-443E-A0A1-5C0094D34249}"/>
    <cellStyle name="Input 2 3 6 3 7" xfId="5610" xr:uid="{F6BC969B-F01D-45DF-8BCF-D939BA3B0556}"/>
    <cellStyle name="Input 2 3 6 3 8" xfId="13727" xr:uid="{91AD2E8A-E792-41B1-AF9A-79CB6C5BD5D7}"/>
    <cellStyle name="Input 2 3 6 3 9" xfId="15418" xr:uid="{FDA38979-F0BE-4099-B82D-760DD83D3750}"/>
    <cellStyle name="Input 2 3 6 4" xfId="4276" xr:uid="{3257F711-E68C-4E9D-BEB5-2491CDFF39AE}"/>
    <cellStyle name="Input 2 3 6 4 2" xfId="6809" xr:uid="{DA7419A4-D938-4CE6-9480-FA1EA62E6CAF}"/>
    <cellStyle name="Input 2 3 6 4 3" xfId="8198" xr:uid="{5841CB79-CF4B-417B-A0BD-ADF977492E23}"/>
    <cellStyle name="Input 2 3 6 4 4" xfId="9893" xr:uid="{61B79C93-AB9D-48B3-B4A1-7022F6BBA90E}"/>
    <cellStyle name="Input 2 3 6 4 5" xfId="11429" xr:uid="{4EF7F63D-DE5C-44D6-96AD-67454A5A3B81}"/>
    <cellStyle name="Input 2 3 6 4 6" xfId="12875" xr:uid="{96177A21-136B-4B74-A29E-FF2958CC3C48}"/>
    <cellStyle name="Input 2 3 6 4 7" xfId="14536" xr:uid="{5012D714-0710-4E9B-8861-972B31AF39BB}"/>
    <cellStyle name="Input 2 3 6 4 8" xfId="16215" xr:uid="{9EDAEF47-1B3B-4D49-877B-0CF2D241C7D0}"/>
    <cellStyle name="Input 2 3 6 5" xfId="5910" xr:uid="{9142AB46-4A6D-4310-AB76-E99B357503D4}"/>
    <cellStyle name="Input 2 3 6 6" xfId="5767" xr:uid="{0CC203C1-511D-4631-B93C-87C4E8C945B4}"/>
    <cellStyle name="Input 2 3 6 7" xfId="5268" xr:uid="{064A1EB0-E21A-417F-AEEF-4A65AEF30726}"/>
    <cellStyle name="Input 2 3 6 8" xfId="5488" xr:uid="{9C7E33D1-9C0D-49FD-9AD4-02FC2A171E4B}"/>
    <cellStyle name="Input 2 3 6 9" xfId="5480" xr:uid="{CD051D16-DB52-4D2F-AC56-1C704098F395}"/>
    <cellStyle name="Input 2 3 7" xfId="3070" xr:uid="{2C05B902-2236-4ED4-8F77-7A004508007B}"/>
    <cellStyle name="Input 2 3 7 10" xfId="5607" xr:uid="{49381BDC-DC59-4A85-8B1D-71C18F18D004}"/>
    <cellStyle name="Input 2 3 7 2" xfId="3950" xr:uid="{5E8066E8-976F-4908-88E4-522EFC86D530}"/>
    <cellStyle name="Input 2 3 7 2 2" xfId="4814" xr:uid="{84C185CA-5FDF-4CAC-87EA-DBE5AC1E7D6A}"/>
    <cellStyle name="Input 2 3 7 2 2 2" xfId="7309" xr:uid="{6854D707-F974-44B0-ADAF-3FE633F72282}"/>
    <cellStyle name="Input 2 3 7 2 2 3" xfId="8723" xr:uid="{3E96DF75-C512-4C68-B3C1-88C94FF9B213}"/>
    <cellStyle name="Input 2 3 7 2 2 4" xfId="10431" xr:uid="{13B050FA-1A15-46F3-B841-23B80D82E2C2}"/>
    <cellStyle name="Input 2 3 7 2 2 5" xfId="11927" xr:uid="{1608EDE5-00D5-4FC4-88B0-A3AA0F9D4705}"/>
    <cellStyle name="Input 2 3 7 2 2 6" xfId="13400" xr:uid="{4EA70C11-4091-4592-AE33-53556612775D}"/>
    <cellStyle name="Input 2 3 7 2 2 7" xfId="15074" xr:uid="{3F9E09F3-7E65-4751-AAAA-7F0EF4A737DB}"/>
    <cellStyle name="Input 2 3 7 2 2 8" xfId="16740" xr:uid="{370551F3-7AE5-4A5C-853E-000179BCA2A5}"/>
    <cellStyle name="Input 2 3 7 2 3" xfId="6571" xr:uid="{C2907C77-D752-4BFF-9CEC-18F814E50826}"/>
    <cellStyle name="Input 2 3 7 2 4" xfId="7877" xr:uid="{6047C625-569B-4BF4-AD47-3458F7ADEF7B}"/>
    <cellStyle name="Input 2 3 7 2 5" xfId="9569" xr:uid="{3F5FDC20-BE39-4874-839B-87E062FB0B39}"/>
    <cellStyle name="Input 2 3 7 2 6" xfId="11201" xr:uid="{50A52D82-D5A1-42E2-81AB-D80F2ECD5245}"/>
    <cellStyle name="Input 2 3 7 2 7" xfId="12556" xr:uid="{866B2E2D-82F1-46D7-AA0C-6540B9E68985}"/>
    <cellStyle name="Input 2 3 7 2 8" xfId="14212" xr:uid="{293CB774-275E-4AD8-8496-F201CFB8AFAF}"/>
    <cellStyle name="Input 2 3 7 2 9" xfId="15896" xr:uid="{E98C4A8C-B9F5-484A-A3CF-BB25C080C7D2}"/>
    <cellStyle name="Input 2 3 7 3" xfId="3512" xr:uid="{D2AF6A17-8E1B-4996-B496-80D7B4BE893F}"/>
    <cellStyle name="Input 2 3 7 3 2" xfId="4528" xr:uid="{D658D2B7-B24D-448C-9CD9-92792F36E9C9}"/>
    <cellStyle name="Input 2 3 7 3 2 2" xfId="7023" xr:uid="{314C4A62-EA7E-48B5-9787-30ABEA228BB7}"/>
    <cellStyle name="Input 2 3 7 3 2 3" xfId="8443" xr:uid="{7E8E95B7-2A5E-4602-824F-9716FA0F1EA2}"/>
    <cellStyle name="Input 2 3 7 3 2 4" xfId="10145" xr:uid="{CCC81205-470C-4014-A0BD-CF4F6D7EA61E}"/>
    <cellStyle name="Input 2 3 7 3 2 5" xfId="11641" xr:uid="{38912957-AE54-4DE7-88A7-AFD9977D5BD6}"/>
    <cellStyle name="Input 2 3 7 3 2 6" xfId="13120" xr:uid="{A9311649-58DB-4153-A95A-3A5FAA3E248D}"/>
    <cellStyle name="Input 2 3 7 3 2 7" xfId="14788" xr:uid="{A5826571-AA12-4E69-8C90-D36E9CABF6D0}"/>
    <cellStyle name="Input 2 3 7 3 2 8" xfId="16460" xr:uid="{6FE4E85C-8A2A-42AF-8A18-D6D559DEAAEE}"/>
    <cellStyle name="Input 2 3 7 3 3" xfId="6241" xr:uid="{A3B85081-76F9-4DF1-AABF-9033F5E4932E}"/>
    <cellStyle name="Input 2 3 7 3 4" xfId="5061" xr:uid="{A2410CF9-19E7-4DBD-8445-9AD189BCD0D3}"/>
    <cellStyle name="Input 2 3 7 3 5" xfId="9131" xr:uid="{60FFE0DA-A09A-4ABF-ADE2-84AB213F9C77}"/>
    <cellStyle name="Input 2 3 7 3 6" xfId="10872" xr:uid="{5FD77E00-F6D0-4824-877B-29C832E9B140}"/>
    <cellStyle name="Input 2 3 7 3 7" xfId="5526" xr:uid="{705F31CA-FFE5-46EE-B502-F5F48D5BA8B0}"/>
    <cellStyle name="Input 2 3 7 3 8" xfId="13774" xr:uid="{12DF82BF-B094-4D6C-8DA9-2B87934E6F39}"/>
    <cellStyle name="Input 2 3 7 3 9" xfId="15464" xr:uid="{5B04E4CD-6734-4E98-8378-FBD625A67454}"/>
    <cellStyle name="Input 2 3 7 4" xfId="4309" xr:uid="{0FF36277-C465-4AF8-A7D2-72279CB8E7DC}"/>
    <cellStyle name="Input 2 3 7 4 2" xfId="6835" xr:uid="{9C1F7087-0FCB-41CE-ACC6-B16EB6881D1E}"/>
    <cellStyle name="Input 2 3 7 4 3" xfId="8230" xr:uid="{2E4B2ED6-039D-463A-91E0-3961F4070208}"/>
    <cellStyle name="Input 2 3 7 4 4" xfId="9926" xr:uid="{9696A371-B372-4B7F-B93C-ECA013E7A0AD}"/>
    <cellStyle name="Input 2 3 7 4 5" xfId="11454" xr:uid="{E14CDF52-D8AC-4A3B-B503-C2781EE7DFD1}"/>
    <cellStyle name="Input 2 3 7 4 6" xfId="12907" xr:uid="{40C82A8D-A3B0-4601-80E8-3ED9987D062D}"/>
    <cellStyle name="Input 2 3 7 4 7" xfId="14569" xr:uid="{660A71D4-9289-46CD-8781-2859E0278CE7}"/>
    <cellStyle name="Input 2 3 7 4 8" xfId="16247" xr:uid="{AA545BE7-2651-4979-ACD9-CC7AE935BEC9}"/>
    <cellStyle name="Input 2 3 7 5" xfId="5948" xr:uid="{02DCB148-BAAA-49FA-8CC6-B7DF260C9221}"/>
    <cellStyle name="Input 2 3 7 6" xfId="5708" xr:uid="{1F9E5762-44C6-49B1-AFBD-D1A6501B8794}"/>
    <cellStyle name="Input 2 3 7 7" xfId="5083" xr:uid="{BE8E9DDD-AABE-41BF-B845-C85E9AE6E019}"/>
    <cellStyle name="Input 2 3 7 8" xfId="5451" xr:uid="{468F3696-4C19-4362-B94A-54B9F86B0BEB}"/>
    <cellStyle name="Input 2 3 7 9" xfId="5738" xr:uid="{84E147D3-3E41-4254-A459-4DE5F881C498}"/>
    <cellStyle name="Input 2 3 8" xfId="3360" xr:uid="{40EE3A0B-8B49-405F-AC42-ADE4124F50BA}"/>
    <cellStyle name="Input 2 3 8 10" xfId="15317" xr:uid="{CC034EA0-3114-49DE-88A5-79C36AE2AC43}"/>
    <cellStyle name="Input 2 3 8 2" xfId="4240" xr:uid="{8748D6A1-9E7B-41D8-86A3-828F9F06FDAD}"/>
    <cellStyle name="Input 2 3 8 2 2" xfId="4996" xr:uid="{32F2D121-DD45-4865-94B4-05BE67D1A60E}"/>
    <cellStyle name="Input 2 3 8 2 2 2" xfId="7491" xr:uid="{6E6C9489-304B-41F5-8BF1-A6F83B18760A}"/>
    <cellStyle name="Input 2 3 8 2 2 3" xfId="8901" xr:uid="{48292A74-B0BA-4E20-B9CC-289EF5BCB42D}"/>
    <cellStyle name="Input 2 3 8 2 2 4" xfId="10613" xr:uid="{14835AEA-337A-466F-B526-F8EA6049CAE9}"/>
    <cellStyle name="Input 2 3 8 2 2 5" xfId="12109" xr:uid="{6F700448-4B76-442A-9D3D-55D61B1D50DD}"/>
    <cellStyle name="Input 2 3 8 2 2 6" xfId="13578" xr:uid="{CE0BED68-FD02-448E-8FFD-60A25F3CC087}"/>
    <cellStyle name="Input 2 3 8 2 2 7" xfId="15256" xr:uid="{52F28C63-8B90-4749-AC64-49FC1C75C3A3}"/>
    <cellStyle name="Input 2 3 8 2 2 8" xfId="16918" xr:uid="{32B8F28D-9A89-4F37-B7CF-77A3E17E2DFC}"/>
    <cellStyle name="Input 2 3 8 2 3" xfId="6782" xr:uid="{09F6CF8C-DF7E-4EC1-99B2-E18D4F703D00}"/>
    <cellStyle name="Input 2 3 8 2 4" xfId="8163" xr:uid="{72225975-AC6B-4355-BE44-5DCD3D336327}"/>
    <cellStyle name="Input 2 3 8 2 5" xfId="9859" xr:uid="{4DA3D5A2-EB9E-4E27-9F74-C47E6ED285E5}"/>
    <cellStyle name="Input 2 3 8 2 6" xfId="11402" xr:uid="{C9E43AF6-E5A5-42B1-A0E2-12FE7B8886F7}"/>
    <cellStyle name="Input 2 3 8 2 7" xfId="12842" xr:uid="{7CEC5EB7-73E1-439D-B128-442C966862D4}"/>
    <cellStyle name="Input 2 3 8 2 8" xfId="14502" xr:uid="{FD21A11A-6E2A-452C-A4CA-2294CA762554}"/>
    <cellStyle name="Input 2 3 8 2 9" xfId="16182" xr:uid="{87F184B1-94DF-49CA-B94B-B8905046E410}"/>
    <cellStyle name="Input 2 3 8 3" xfId="3800" xr:uid="{E4E33400-8B87-49A7-A435-DC49C5C4E286}"/>
    <cellStyle name="Input 2 3 8 3 2" xfId="4708" xr:uid="{FC5EE118-9B4E-400E-BFED-03C39CF9F485}"/>
    <cellStyle name="Input 2 3 8 3 2 2" xfId="7203" xr:uid="{5EB78EA7-DB63-43D5-AB67-E5C1EA738A5D}"/>
    <cellStyle name="Input 2 3 8 3 2 3" xfId="8621" xr:uid="{A126BEAF-1EAA-418B-8F74-AEFA271C8F0A}"/>
    <cellStyle name="Input 2 3 8 3 2 4" xfId="10325" xr:uid="{DDAB2943-E17C-40AE-A6A8-F57390C3524B}"/>
    <cellStyle name="Input 2 3 8 3 2 5" xfId="11821" xr:uid="{AB4E00F7-8B6D-4B1C-90C6-9C30C1C30A37}"/>
    <cellStyle name="Input 2 3 8 3 2 6" xfId="13298" xr:uid="{3D9AA77C-15DC-4CDA-BB7E-9A8BB3FC9E1A}"/>
    <cellStyle name="Input 2 3 8 3 2 7" xfId="14968" xr:uid="{66D6DA0A-5CB7-44A9-986C-EABBF93ABCD3}"/>
    <cellStyle name="Input 2 3 8 3 2 8" xfId="16638" xr:uid="{9B1D3BBC-2B4F-4095-9DBF-EFCD4A7CA931}"/>
    <cellStyle name="Input 2 3 8 3 3" xfId="6453" xr:uid="{4619FA4B-ACFD-4858-AB73-401971CD217F}"/>
    <cellStyle name="Input 2 3 8 3 4" xfId="7731" xr:uid="{C57CF75C-D689-4999-A125-74371E3CB4EB}"/>
    <cellStyle name="Input 2 3 8 3 5" xfId="9419" xr:uid="{03C32327-50EA-4415-B4D3-43E118D87510}"/>
    <cellStyle name="Input 2 3 8 3 6" xfId="11082" xr:uid="{3D587226-8AD4-4DD6-A7AB-9079395FCD0A}"/>
    <cellStyle name="Input 2 3 8 3 7" xfId="12410" xr:uid="{AB41C84E-A150-409E-9CCA-E109D568667F}"/>
    <cellStyle name="Input 2 3 8 3 8" xfId="14062" xr:uid="{EC9A0C5C-2B7A-442B-8E79-78F47A92352C}"/>
    <cellStyle name="Input 2 3 8 3 9" xfId="15750" xr:uid="{884B9327-B5AC-4204-8FE3-44FE18F31EE5}"/>
    <cellStyle name="Input 2 3 8 4" xfId="4416" xr:uid="{87C869A7-1124-4E52-8BE9-E183C9DAFA3D}"/>
    <cellStyle name="Input 2 3 8 4 2" xfId="6917" xr:uid="{02DABD0E-1D44-422C-8593-11E0151CC659}"/>
    <cellStyle name="Input 2 3 8 4 3" xfId="8333" xr:uid="{1AA13FFD-64CE-4E1C-8AA3-D9C328CF4AC6}"/>
    <cellStyle name="Input 2 3 8 4 4" xfId="10033" xr:uid="{3715EF2C-ABB0-41ED-A915-ED72DA894172}"/>
    <cellStyle name="Input 2 3 8 4 5" xfId="11534" xr:uid="{C7ADC1C1-3CE0-4AB8-85C1-C4AE7CD13477}"/>
    <cellStyle name="Input 2 3 8 4 6" xfId="13010" xr:uid="{4423CC0E-D308-4C46-8890-ECDAE4E7355F}"/>
    <cellStyle name="Input 2 3 8 4 7" xfId="14676" xr:uid="{43CEA371-FA3E-461F-AFD2-D482AE2447E9}"/>
    <cellStyle name="Input 2 3 8 4 8" xfId="16350" xr:uid="{680BAD24-45EA-4651-9887-ACB6F0139C84}"/>
    <cellStyle name="Input 2 3 8 5" xfId="6118" xr:uid="{213797F3-29AA-4E14-B559-9661D91C0030}"/>
    <cellStyle name="Input 2 3 8 6" xfId="5654" xr:uid="{237A5783-A8B8-4E05-8C84-85901BF80326}"/>
    <cellStyle name="Input 2 3 8 7" xfId="10750" xr:uid="{58A1B06D-EE63-41BF-AEEF-E4F4A160AD14}"/>
    <cellStyle name="Input 2 3 8 8" xfId="10702" xr:uid="{22F5F35E-F053-49AA-BEA4-962F6882CFD6}"/>
    <cellStyle name="Input 2 3 8 9" xfId="13626" xr:uid="{C527D874-5131-4E13-851A-8D234895FE4C}"/>
    <cellStyle name="Input 2 3 9" xfId="3857" xr:uid="{C0745E4E-AB26-444B-81F6-026C54DE0C0B}"/>
    <cellStyle name="Input 2 3 9 2" xfId="4752" xr:uid="{91E36ECE-7595-44DD-8402-804DA25B774E}"/>
    <cellStyle name="Input 2 3 9 2 2" xfId="7247" xr:uid="{603CEB64-FFDE-4D65-8A64-C072A870B83B}"/>
    <cellStyle name="Input 2 3 9 2 3" xfId="8663" xr:uid="{FAC475A0-4CE1-402C-ACB3-2B82F3A0400F}"/>
    <cellStyle name="Input 2 3 9 2 4" xfId="10369" xr:uid="{DAE183DE-D8D4-43E6-9B51-A4F4F4C8B29F}"/>
    <cellStyle name="Input 2 3 9 2 5" xfId="11865" xr:uid="{F8FE2346-413B-4F40-93A8-D9EDF65C24B6}"/>
    <cellStyle name="Input 2 3 9 2 6" xfId="13340" xr:uid="{90BBA59D-5B5A-455A-BF91-4BFD589D7077}"/>
    <cellStyle name="Input 2 3 9 2 7" xfId="15012" xr:uid="{C245CD0B-729A-41B0-BCF5-C231B7EB1F53}"/>
    <cellStyle name="Input 2 3 9 2 8" xfId="16680" xr:uid="{9AEF6FBC-0589-45AB-A1B9-03829E20B24F}"/>
    <cellStyle name="Input 2 3 9 3" xfId="6500" xr:uid="{FA41F470-8994-43E3-9DEB-4DEE89041FB9}"/>
    <cellStyle name="Input 2 3 9 4" xfId="7786" xr:uid="{1F47A2C6-C618-402D-AD89-760E1596B56A}"/>
    <cellStyle name="Input 2 3 9 5" xfId="9476" xr:uid="{3157C82E-C0A3-4421-957D-8C8158787294}"/>
    <cellStyle name="Input 2 3 9 6" xfId="11130" xr:uid="{3965C1A1-0D0D-4AFC-AA09-881732E525BF}"/>
    <cellStyle name="Input 2 3 9 7" xfId="12465" xr:uid="{BE52D004-83D6-4837-BDCA-3AC631650E24}"/>
    <cellStyle name="Input 2 3 9 8" xfId="14119" xr:uid="{62BA5703-8599-4959-AB17-D5C16BB0E2FC}"/>
    <cellStyle name="Input 2 3 9 9" xfId="15805" xr:uid="{E9433301-AFF0-4771-BB6A-A9AC7958C695}"/>
    <cellStyle name="Input 2 4" xfId="3069" xr:uid="{618D07F8-51A5-4740-851F-5738106C2945}"/>
    <cellStyle name="Input 2 4 2" xfId="3949" xr:uid="{F1E7FEAF-7071-41FA-A759-5B19E05B576B}"/>
    <cellStyle name="Input 2 4 2 2" xfId="4813" xr:uid="{EA31D05A-6870-45E6-8C3A-E87E935AA3DA}"/>
    <cellStyle name="Input 2 4 2 2 2" xfId="7308" xr:uid="{EDFDD7C5-2CD6-40DD-9A57-1462DC60C257}"/>
    <cellStyle name="Input 2 4 2 2 3" xfId="8722" xr:uid="{8311733E-76FE-41B1-B4EF-E738C00A608F}"/>
    <cellStyle name="Input 2 4 2 2 4" xfId="10430" xr:uid="{43DC5CFB-1692-4019-8B71-0B7609E1A779}"/>
    <cellStyle name="Input 2 4 2 2 5" xfId="11926" xr:uid="{E6C83367-7425-4C76-BC11-09EEF395C0C9}"/>
    <cellStyle name="Input 2 4 2 2 6" xfId="13399" xr:uid="{F982C210-3C0D-410A-9813-D2D0E0BA57DF}"/>
    <cellStyle name="Input 2 4 2 2 7" xfId="15073" xr:uid="{CC514659-A850-45CA-BD7A-755D227A8E46}"/>
    <cellStyle name="Input 2 4 2 2 8" xfId="16739" xr:uid="{E9BEE2AD-48D2-4562-8EE0-B55E1DC0B741}"/>
    <cellStyle name="Input 2 4 2 3" xfId="6570" xr:uid="{6A3C7FBD-53A2-4411-8009-34D987DD3FA6}"/>
    <cellStyle name="Input 2 4 2 4" xfId="7876" xr:uid="{CF98AB1E-34C5-46EF-A02B-2948A5A1DBD0}"/>
    <cellStyle name="Input 2 4 2 5" xfId="9568" xr:uid="{3BAD2A9E-758B-4F70-9AF2-B2A910F7BBCD}"/>
    <cellStyle name="Input 2 4 2 6" xfId="11200" xr:uid="{7D33BAF1-FCE8-4CCC-AF0A-30C2A1A9BFED}"/>
    <cellStyle name="Input 2 4 2 7" xfId="12555" xr:uid="{A986D7C8-73D2-400E-BB2F-3F636DBED1C4}"/>
    <cellStyle name="Input 2 4 2 8" xfId="14211" xr:uid="{8DDAFC42-414D-4647-80FB-2E53625A974B}"/>
    <cellStyle name="Input 2 4 2 9" xfId="15895" xr:uid="{4FC2F0FA-55A5-4EE0-864D-0DDB1FE1F7B8}"/>
    <cellStyle name="Input 2 4 3" xfId="3511" xr:uid="{3546F738-122D-40D1-95AB-BEC7C2E3A300}"/>
    <cellStyle name="Input 2 4 3 2" xfId="4527" xr:uid="{4D622AF5-528D-4BAF-9984-0E8ADD784CAB}"/>
    <cellStyle name="Input 2 4 3 2 2" xfId="7022" xr:uid="{E22646E3-1B7C-47E6-AA55-ACC0E13423AE}"/>
    <cellStyle name="Input 2 4 3 2 3" xfId="8442" xr:uid="{126C75FD-C547-4310-B0DD-33CA2956967F}"/>
    <cellStyle name="Input 2 4 3 2 4" xfId="10144" xr:uid="{F4C8FA40-E10A-4BFA-8A2B-BDCD5FC41AB5}"/>
    <cellStyle name="Input 2 4 3 2 5" xfId="11640" xr:uid="{EC4C52BE-2329-488C-A1E3-D58ED200E685}"/>
    <cellStyle name="Input 2 4 3 2 6" xfId="13119" xr:uid="{75FB6A94-B8EB-43BB-A544-27A83D49E56E}"/>
    <cellStyle name="Input 2 4 3 2 7" xfId="14787" xr:uid="{FD98B61A-BB00-4DAF-A322-6FAF56C73F82}"/>
    <cellStyle name="Input 2 4 3 2 8" xfId="16459" xr:uid="{EF6A271A-A3CA-4954-AA2E-5F2E2B3C478F}"/>
    <cellStyle name="Input 2 4 3 3" xfId="6240" xr:uid="{3DC29AF7-373A-407B-A8C8-3E0B8F1C0FEA}"/>
    <cellStyle name="Input 2 4 3 4" xfId="5062" xr:uid="{F0ABD6C5-B6C0-4240-897C-651F58B45226}"/>
    <cellStyle name="Input 2 4 3 5" xfId="9130" xr:uid="{96B12658-5880-4F32-978E-A52BBE2C1AD5}"/>
    <cellStyle name="Input 2 4 3 6" xfId="10871" xr:uid="{F6561B4F-2FA4-45B3-AB5D-F52159648478}"/>
    <cellStyle name="Input 2 4 3 7" xfId="5479" xr:uid="{C0D1334B-EEDA-4BCD-8223-4F31A65EA4CF}"/>
    <cellStyle name="Input 2 4 3 8" xfId="13773" xr:uid="{15DEEED1-1815-4BD5-A364-2BD901BB269B}"/>
    <cellStyle name="Input 2 4 3 9" xfId="15463" xr:uid="{90D212D2-44A7-419D-8F35-3D4C90BF4363}"/>
    <cellStyle name="Input 2 4 4" xfId="5608" xr:uid="{068928A6-3F4D-48C2-B4D7-FF22053CD001}"/>
    <cellStyle name="Input 2 5" xfId="3118" xr:uid="{4EFA10F4-E580-4CC4-8784-AFFDE2AB3EE4}"/>
    <cellStyle name="Input 2 5 10" xfId="5417" xr:uid="{A3E983B3-B8FC-4A38-92C6-3A6840D67EB9}"/>
    <cellStyle name="Input 2 5 2" xfId="3998" xr:uid="{675D4043-10BD-4797-889A-5CEEFA8E5B35}"/>
    <cellStyle name="Input 2 5 2 2" xfId="4845" xr:uid="{83D81A6A-DF56-465F-9AEB-28A141F2F283}"/>
    <cellStyle name="Input 2 5 2 2 2" xfId="7340" xr:uid="{DD9AED9C-E54E-4577-83C2-4BC64914FD57}"/>
    <cellStyle name="Input 2 5 2 2 3" xfId="8753" xr:uid="{D9511A75-5CE0-43C2-8A65-6B2A86A11F4D}"/>
    <cellStyle name="Input 2 5 2 2 4" xfId="10462" xr:uid="{1119C195-74E3-4B89-9601-E72AD17EBE2F}"/>
    <cellStyle name="Input 2 5 2 2 5" xfId="11958" xr:uid="{30F7B795-E422-4220-BF13-5322A6A97CA0}"/>
    <cellStyle name="Input 2 5 2 2 6" xfId="13430" xr:uid="{962781C0-E9B6-4B64-BFF2-E94A4EDB73AA}"/>
    <cellStyle name="Input 2 5 2 2 7" xfId="15105" xr:uid="{8FC5E0D2-70DB-46C8-8330-AF438C6F8966}"/>
    <cellStyle name="Input 2 5 2 2 8" xfId="16770" xr:uid="{3DE49879-9387-4B28-9428-496C820ADF03}"/>
    <cellStyle name="Input 2 5 2 3" xfId="6606" xr:uid="{36F0F3FE-E931-44A5-89CA-48C498D2EE05}"/>
    <cellStyle name="Input 2 5 2 4" xfId="7924" xr:uid="{835EA039-3F00-4F05-BD33-E5D874A38EE4}"/>
    <cellStyle name="Input 2 5 2 5" xfId="9617" xr:uid="{7291C530-52D2-4725-AAE8-0FDAE098CEA9}"/>
    <cellStyle name="Input 2 5 2 6" xfId="11232" xr:uid="{AF6D033D-01B3-42F1-B88F-8F03D68F642F}"/>
    <cellStyle name="Input 2 5 2 7" xfId="12603" xr:uid="{1B0D8986-6BD2-414E-B030-91D613A2311E}"/>
    <cellStyle name="Input 2 5 2 8" xfId="14260" xr:uid="{9953A604-664D-446F-886F-C6189B572EC4}"/>
    <cellStyle name="Input 2 5 2 9" xfId="15943" xr:uid="{F0BDC7CB-0C9F-4457-8E24-9192303F04FC}"/>
    <cellStyle name="Input 2 5 3" xfId="3560" xr:uid="{7E44B0D8-BF14-4D30-B18E-DBF5F9B6BE6A}"/>
    <cellStyle name="Input 2 5 3 2" xfId="4559" xr:uid="{9AFB2D1F-3747-48D7-89B2-F0C83A7B222B}"/>
    <cellStyle name="Input 2 5 3 2 2" xfId="7054" xr:uid="{DC88D283-995B-4896-9612-D22895FADD0D}"/>
    <cellStyle name="Input 2 5 3 2 3" xfId="8473" xr:uid="{DBEA4A0A-5949-4A2E-B448-A7C2AE302F90}"/>
    <cellStyle name="Input 2 5 3 2 4" xfId="10176" xr:uid="{7EBA8FBE-109B-4F25-AA10-F1D724A293AD}"/>
    <cellStyle name="Input 2 5 3 2 5" xfId="11672" xr:uid="{7A5D5AA8-8F86-4C54-ACAB-420E63D9F39F}"/>
    <cellStyle name="Input 2 5 3 2 6" xfId="13150" xr:uid="{36010A39-31E3-4AAF-B7DD-2E67B8D8ED34}"/>
    <cellStyle name="Input 2 5 3 2 7" xfId="14819" xr:uid="{807134E2-ADA7-4012-B55C-6146F6D62880}"/>
    <cellStyle name="Input 2 5 3 2 8" xfId="16490" xr:uid="{2B554924-2E15-439F-BAC3-0076B00F4CD1}"/>
    <cellStyle name="Input 2 5 3 3" xfId="6276" xr:uid="{5D5E3DD8-22F9-4A12-8010-2CD791B8D512}"/>
    <cellStyle name="Input 2 5 3 4" xfId="5116" xr:uid="{635C0646-D78C-4820-9949-E4192842746B}"/>
    <cellStyle name="Input 2 5 3 5" xfId="9179" xr:uid="{5793F713-2E2F-4BEA-AA6B-407FD71BAD9B}"/>
    <cellStyle name="Input 2 5 3 6" xfId="10906" xr:uid="{2512ECF9-54F2-410A-81D5-5C52444438E5}"/>
    <cellStyle name="Input 2 5 3 7" xfId="12171" xr:uid="{B5D1F83B-2B60-48A0-801D-6E255A67747E}"/>
    <cellStyle name="Input 2 5 3 8" xfId="13822" xr:uid="{3BF6FC55-A842-4E66-841D-A0D7E12B7B8C}"/>
    <cellStyle name="Input 2 5 3 9" xfId="15511" xr:uid="{EEF2BEB6-AC2C-47A7-9F20-1D5285A529B2}"/>
    <cellStyle name="Input 2 5 4" xfId="4330" xr:uid="{AFA735C4-9E2C-42C7-869B-960F227B472B}"/>
    <cellStyle name="Input 2 5 4 2" xfId="6852" xr:uid="{CD8D3046-9B2A-4860-914E-836D6FD5C262}"/>
    <cellStyle name="Input 2 5 4 3" xfId="8250" xr:uid="{5DDB02B6-2506-439F-BD4C-42DA727DA0EE}"/>
    <cellStyle name="Input 2 5 4 4" xfId="9947" xr:uid="{A9862744-1AE2-4A66-BC34-31E9022FB618}"/>
    <cellStyle name="Input 2 5 4 5" xfId="11471" xr:uid="{213C9DB0-D502-42DF-A4AF-7852508B7462}"/>
    <cellStyle name="Input 2 5 4 6" xfId="12927" xr:uid="{AA881B1B-774F-4CFF-A4D3-D7E9735F1388}"/>
    <cellStyle name="Input 2 5 4 7" xfId="14590" xr:uid="{43FA1CBC-9728-4BE9-AAC9-D7995D6F2CAA}"/>
    <cellStyle name="Input 2 5 4 8" xfId="16267" xr:uid="{BAC38F3D-E0B3-48F1-803B-2B787F01FAAF}"/>
    <cellStyle name="Input 2 5 5" xfId="5979" xr:uid="{227B05B7-499E-4B0D-982A-F971691805F1}"/>
    <cellStyle name="Input 2 5 6" xfId="5698" xr:uid="{8AD3DF51-CA01-4884-ABF3-D51E1DF58969}"/>
    <cellStyle name="Input 2 5 7" xfId="6753" xr:uid="{9279931A-F302-4275-B303-B05D5D0B62FD}"/>
    <cellStyle name="Input 2 5 8" xfId="5476" xr:uid="{2E26A3CB-4662-4A51-99E0-32E1B9B0CB82}"/>
    <cellStyle name="Input 2 5 9" xfId="11294" xr:uid="{2E59BF1D-3766-47A7-BE43-F88FFC257348}"/>
    <cellStyle name="Input 2 6" xfId="3203" xr:uid="{BF3F8814-6B2E-49D8-A6B4-22828A303079}"/>
    <cellStyle name="Input 2 6 10" xfId="11156" xr:uid="{8627D80A-AB50-42C1-B9E2-267A734360CA}"/>
    <cellStyle name="Input 2 6 2" xfId="4083" xr:uid="{30A61867-C170-4C46-BBBA-494BE062D948}"/>
    <cellStyle name="Input 2 6 2 2" xfId="4901" xr:uid="{5863F4DF-3DE0-4C7A-B404-56ADF68ED72D}"/>
    <cellStyle name="Input 2 6 2 2 2" xfId="7396" xr:uid="{934199BC-5870-4250-A739-23FA9B211D57}"/>
    <cellStyle name="Input 2 6 2 2 3" xfId="8808" xr:uid="{1E652B14-4130-42A8-A800-DCF28D0A36F0}"/>
    <cellStyle name="Input 2 6 2 2 4" xfId="10518" xr:uid="{4AFF8157-C3FA-4EE7-96DC-9F5DC1E3C785}"/>
    <cellStyle name="Input 2 6 2 2 5" xfId="12014" xr:uid="{9021D45B-53EF-47B7-BAFF-837D773BFCEC}"/>
    <cellStyle name="Input 2 6 2 2 6" xfId="13485" xr:uid="{FEFAFCB5-A674-4772-B5A4-CCB674255AF0}"/>
    <cellStyle name="Input 2 6 2 2 7" xfId="15161" xr:uid="{16BFEDAF-8CF6-4E25-9D4E-4DA7CC9BC8B8}"/>
    <cellStyle name="Input 2 6 2 2 8" xfId="16825" xr:uid="{44337F12-BAC5-44B7-881B-526BCC2A6B8A}"/>
    <cellStyle name="Input 2 6 2 3" xfId="6669" xr:uid="{5D960886-4F17-4256-A1E1-B3DA0DBC2C01}"/>
    <cellStyle name="Input 2 6 2 4" xfId="8008" xr:uid="{AB744F5D-B90F-4416-82D4-634ABA61A640}"/>
    <cellStyle name="Input 2 6 2 5" xfId="9702" xr:uid="{824D52AC-BDE1-49AB-819D-32818AC87DE8}"/>
    <cellStyle name="Input 2 6 2 6" xfId="11296" xr:uid="{1BADAF04-978D-4C02-B2AB-5E9166D2FF58}"/>
    <cellStyle name="Input 2 6 2 7" xfId="12687" xr:uid="{2BE950DA-E4B7-44C5-B895-4E38D15FD13B}"/>
    <cellStyle name="Input 2 6 2 8" xfId="14345" xr:uid="{AC843361-D1A4-4750-8407-3F636A1EDA06}"/>
    <cellStyle name="Input 2 6 2 9" xfId="16027" xr:uid="{80A897DB-9ADA-47EA-A1C8-179FCA09BE25}"/>
    <cellStyle name="Input 2 6 3" xfId="3645" xr:uid="{5EC4EEEF-AD77-4AFE-96D7-4950A58092FB}"/>
    <cellStyle name="Input 2 6 3 2" xfId="4615" xr:uid="{24BFAF7B-1089-4CB4-AC85-C024C64B6FD2}"/>
    <cellStyle name="Input 2 6 3 2 2" xfId="7110" xr:uid="{B11D15F8-8D40-4B69-AF28-B54D5CEA3B3D}"/>
    <cellStyle name="Input 2 6 3 2 3" xfId="8528" xr:uid="{E9BF891C-A563-47CD-B927-E417E9C6FC77}"/>
    <cellStyle name="Input 2 6 3 2 4" xfId="10232" xr:uid="{641BB320-578E-4C12-AF3C-9D128C3DECEF}"/>
    <cellStyle name="Input 2 6 3 2 5" xfId="11728" xr:uid="{A0927DDB-E78E-4549-8A95-7B54517C9A0D}"/>
    <cellStyle name="Input 2 6 3 2 6" xfId="13205" xr:uid="{0460C89F-911C-4AD3-AAE1-2A5C09C7746D}"/>
    <cellStyle name="Input 2 6 3 2 7" xfId="14875" xr:uid="{D282A7DB-8CF4-4248-95BF-50BDE635B8FB}"/>
    <cellStyle name="Input 2 6 3 2 8" xfId="16545" xr:uid="{7F6869A0-67E5-4A42-89EF-D6963807B0B5}"/>
    <cellStyle name="Input 2 6 3 3" xfId="6342" xr:uid="{8458C3C4-8B8F-4372-8102-EC6A4D8CA951}"/>
    <cellStyle name="Input 2 6 3 4" xfId="7576" xr:uid="{BF457983-D364-44C8-A42E-199CD1AC8EDD}"/>
    <cellStyle name="Input 2 6 3 5" xfId="9264" xr:uid="{728C5C88-A6AC-46E2-9966-26FAAC66D085}"/>
    <cellStyle name="Input 2 6 3 6" xfId="10968" xr:uid="{F2548454-8587-4DBB-9B24-B699ED61D67D}"/>
    <cellStyle name="Input 2 6 3 7" xfId="12255" xr:uid="{7AF16F96-A20D-4679-B363-CFF5ECB484A6}"/>
    <cellStyle name="Input 2 6 3 8" xfId="13907" xr:uid="{45335329-2ACF-47F9-9780-2DFA3F35098F}"/>
    <cellStyle name="Input 2 6 3 9" xfId="15595" xr:uid="{5E1DC26B-27F1-4DBF-B52F-16E4746AF6BC}"/>
    <cellStyle name="Input 2 6 4" xfId="4361" xr:uid="{DE8A1235-92F4-4ABE-8F33-A8AA76E52F41}"/>
    <cellStyle name="Input 2 6 4 2" xfId="6877" xr:uid="{B5F8E041-0394-46B8-A032-8F0272818C4D}"/>
    <cellStyle name="Input 2 6 4 3" xfId="8280" xr:uid="{A3B1FFE3-1A38-469C-8013-665A3D17C95E}"/>
    <cellStyle name="Input 2 6 4 4" xfId="9978" xr:uid="{FDF3CEC3-73C8-47E5-8E39-19B138D2DE47}"/>
    <cellStyle name="Input 2 6 4 5" xfId="11496" xr:uid="{2D969B7E-FB41-48B4-9FF1-82D68C464D4E}"/>
    <cellStyle name="Input 2 6 4 6" xfId="12957" xr:uid="{8E1B748A-CE17-4744-8D4B-D65A376E298E}"/>
    <cellStyle name="Input 2 6 4 7" xfId="14621" xr:uid="{83853C38-25FB-4E15-9C00-3DDE8AC21604}"/>
    <cellStyle name="Input 2 6 4 8" xfId="16297" xr:uid="{85CCCC5A-2FC3-4D7B-8698-D2CD5B7ACD80}"/>
    <cellStyle name="Input 2 6 5" xfId="6028" xr:uid="{836B52DB-2F92-4722-8098-E77DF0668E79}"/>
    <cellStyle name="Input 2 6 6" xfId="5622" xr:uid="{451D4786-4A42-4C6C-B931-9EC1B77551BC}"/>
    <cellStyle name="Input 2 6 7" xfId="10673" xr:uid="{952C8951-C074-4D51-9A8A-A4E0211C8C34}"/>
    <cellStyle name="Input 2 6 8" xfId="5487" xr:uid="{F6535734-B948-4554-8CB9-2AA8A0DE98F7}"/>
    <cellStyle name="Input 2 6 9" xfId="11331" xr:uid="{7D703946-1B5C-4C5A-ABA0-63FC4943B446}"/>
    <cellStyle name="Input 2 7" xfId="3839" xr:uid="{96DBCF0F-B156-49EB-86C4-09A836182222}"/>
    <cellStyle name="Input 2 7 2" xfId="4738" xr:uid="{E0F7CBD4-9693-41CE-BC46-B9493714FBE6}"/>
    <cellStyle name="Input 2 7 2 2" xfId="7233" xr:uid="{4D835F3D-E0E6-4C9C-BD42-2F11419FE43D}"/>
    <cellStyle name="Input 2 7 2 3" xfId="8649" xr:uid="{E2DD0663-9F38-4AE9-A1FD-7F2680576FA8}"/>
    <cellStyle name="Input 2 7 2 4" xfId="10355" xr:uid="{A9839A44-C1BA-4775-A4AD-68B174AA37EA}"/>
    <cellStyle name="Input 2 7 2 5" xfId="11851" xr:uid="{9C69B13F-7369-403D-ADAD-1ADE326D3D72}"/>
    <cellStyle name="Input 2 7 2 6" xfId="13326" xr:uid="{DE43F49D-1672-4EBD-A71D-BD3CD2B0245A}"/>
    <cellStyle name="Input 2 7 2 7" xfId="14998" xr:uid="{8589B58F-CAA3-47D2-AE44-801DC9E6C6CF}"/>
    <cellStyle name="Input 2 7 2 8" xfId="16666" xr:uid="{9D8E1C31-706B-4CC6-A96E-DA13C6C90D58}"/>
    <cellStyle name="Input 2 7 3" xfId="6484" xr:uid="{176F38D2-4FFB-4CFE-9953-D80171D86246}"/>
    <cellStyle name="Input 2 7 4" xfId="7768" xr:uid="{905B5F1C-643A-42E8-B95C-31372AD40583}"/>
    <cellStyle name="Input 2 7 5" xfId="9458" xr:uid="{3CCD685F-583A-49AA-ACE1-BCE7C9896D29}"/>
    <cellStyle name="Input 2 7 6" xfId="11115" xr:uid="{0AB1EBA9-30AB-43DA-AA9D-4DF3E40FAFE6}"/>
    <cellStyle name="Input 2 7 7" xfId="12447" xr:uid="{AC244DA7-DED1-46C1-B6FD-8FA56BA97C06}"/>
    <cellStyle name="Input 2 7 8" xfId="14101" xr:uid="{A06B93DE-3BB0-4118-85CD-B394EC48718A}"/>
    <cellStyle name="Input 2 7 9" xfId="15787" xr:uid="{3E31B486-E032-4197-922E-6E3F6F444646}"/>
    <cellStyle name="Input 2 8" xfId="3402" xr:uid="{B0935A7D-0173-49F8-8F2B-47C48E3E9952}"/>
    <cellStyle name="Input 2 8 2" xfId="4453" xr:uid="{70F57FA8-B24C-4F4B-B676-48177581DCE6}"/>
    <cellStyle name="Input 2 8 2 2" xfId="6948" xr:uid="{5E2BA81E-D023-4027-8172-C7AD2BAA1366}"/>
    <cellStyle name="Input 2 8 2 3" xfId="8369" xr:uid="{7BF8958B-7C3A-40B4-A02D-91899A7B8AB3}"/>
    <cellStyle name="Input 2 8 2 4" xfId="10070" xr:uid="{2AACF874-F3EF-4ED4-845D-4F1F1CF9BF26}"/>
    <cellStyle name="Input 2 8 2 5" xfId="11566" xr:uid="{99ED8132-C449-482E-88DA-93A82BADA726}"/>
    <cellStyle name="Input 2 8 2 6" xfId="13046" xr:uid="{AAE641E2-87A1-4157-A361-63D0ACE9FD72}"/>
    <cellStyle name="Input 2 8 2 7" xfId="14713" xr:uid="{52C1461E-BCBD-4E80-93EB-89551A4BA803}"/>
    <cellStyle name="Input 2 8 2 8" xfId="16386" xr:uid="{9805F2DC-843F-49B5-846E-8FA404FB4C30}"/>
    <cellStyle name="Input 2 8 3" xfId="6155" xr:uid="{590288F5-63F0-4B69-80CB-2F3B3EF105D1}"/>
    <cellStyle name="Input 2 8 4" xfId="5992" xr:uid="{61149342-73BE-44F5-A331-000D2393E56C}"/>
    <cellStyle name="Input 2 8 5" xfId="9021" xr:uid="{7A203667-88BA-46DA-9AB8-2C366E794749}"/>
    <cellStyle name="Input 2 8 6" xfId="10788" xr:uid="{9490DC40-A0CE-4B26-8088-2F43D0563AB3}"/>
    <cellStyle name="Input 2 8 7" xfId="5462" xr:uid="{0F72F9B3-FE53-491F-B8D3-44013B8A28BF}"/>
    <cellStyle name="Input 2 8 8" xfId="13664" xr:uid="{AD17798A-8A7F-4847-807F-1BDF31604477}"/>
    <cellStyle name="Input 2 8 9" xfId="15355" xr:uid="{A107D7A5-93AD-4888-89B4-5BCFD4530026}"/>
    <cellStyle name="Input 2 9" xfId="5454" xr:uid="{FE93FAE1-06E3-4B14-9DB5-F568A638F798}"/>
    <cellStyle name="Input 3" xfId="1113" xr:uid="{C73E767A-2B99-4CA2-B45D-9164FAC3B075}"/>
    <cellStyle name="Input 3 10" xfId="5483" xr:uid="{4BD1E250-81B3-4241-9A31-9CE4609336BD}"/>
    <cellStyle name="Input 3 2" xfId="2994" xr:uid="{ED4EE119-5420-48B7-8F32-31C7C8E0BA62}"/>
    <cellStyle name="Input 3 2 10" xfId="3439" xr:uid="{2CD89D34-BB9D-4CD9-AA34-F60574BFD8AD}"/>
    <cellStyle name="Input 3 2 10 2" xfId="4482" xr:uid="{EC6E0A91-C240-43C2-885B-CBED51DF8F23}"/>
    <cellStyle name="Input 3 2 10 2 2" xfId="6977" xr:uid="{71F03C73-C85B-414D-86F5-B70520EE2D5F}"/>
    <cellStyle name="Input 3 2 10 2 3" xfId="8398" xr:uid="{A38F956A-F37C-4344-8870-D03B5308DD28}"/>
    <cellStyle name="Input 3 2 10 2 4" xfId="10099" xr:uid="{D799EB0C-6C9F-42F0-AA2E-678F363CCC8C}"/>
    <cellStyle name="Input 3 2 10 2 5" xfId="11595" xr:uid="{10FF389A-E455-4D27-92AE-45489EBEF79F}"/>
    <cellStyle name="Input 3 2 10 2 6" xfId="13075" xr:uid="{11DC71D7-3801-4E12-967A-B614CCDF552B}"/>
    <cellStyle name="Input 3 2 10 2 7" xfId="14742" xr:uid="{D28E0BF7-2703-421B-9C2C-5FBBEBA7E5D9}"/>
    <cellStyle name="Input 3 2 10 2 8" xfId="16415" xr:uid="{294C6BE8-3366-4F81-973E-A9CBCD706BDE}"/>
    <cellStyle name="Input 3 2 10 3" xfId="6186" xr:uid="{205951D1-F1A4-47AE-8515-1DA57EACFE5D}"/>
    <cellStyle name="Input 3 2 10 4" xfId="5201" xr:uid="{1DC5A1BC-31B8-4000-8152-0D674E490393}"/>
    <cellStyle name="Input 3 2 10 5" xfId="9058" xr:uid="{4E226C66-D24B-4D52-94C8-4743C56A9567}"/>
    <cellStyle name="Input 3 2 10 6" xfId="10820" xr:uid="{A04E3C1C-6FE7-4673-A3A7-234E958262ED}"/>
    <cellStyle name="Input 3 2 10 7" xfId="5847" xr:uid="{C4FD7740-2BCA-4D64-ADFA-95D78FAD671A}"/>
    <cellStyle name="Input 3 2 10 8" xfId="13701" xr:uid="{D4EC49A5-8293-4A0B-AB2F-CC9415B8633A}"/>
    <cellStyle name="Input 3 2 10 9" xfId="15392" xr:uid="{C8EBA194-E554-4349-B95A-7D34250FA9E8}"/>
    <cellStyle name="Input 3 2 11" xfId="5733" xr:uid="{19C004FD-9FDF-4169-8F4E-2209EAE96743}"/>
    <cellStyle name="Input 3 2 12" xfId="5264" xr:uid="{9918A5B1-28A0-47DA-ACC1-49EFA78D4011}"/>
    <cellStyle name="Input 3 2 2" xfId="3280" xr:uid="{87E9996C-5669-4D43-B224-20B65F6FF8A2}"/>
    <cellStyle name="Input 3 2 2 2" xfId="4160" xr:uid="{15CC7827-E6CF-4BDF-A12B-50F29DF8A2D7}"/>
    <cellStyle name="Input 3 2 2 2 2" xfId="4953" xr:uid="{1C981BEC-DA9B-4C60-8E4E-822FA567C2CF}"/>
    <cellStyle name="Input 3 2 2 2 2 2" xfId="7448" xr:uid="{E1043DE2-35C4-4CDE-8434-DA5ED77590D9}"/>
    <cellStyle name="Input 3 2 2 2 2 3" xfId="8860" xr:uid="{04787897-68D6-4A05-95FF-65575A166673}"/>
    <cellStyle name="Input 3 2 2 2 2 4" xfId="10570" xr:uid="{A61F7D61-CE7E-4F2D-944B-D5B0713176AF}"/>
    <cellStyle name="Input 3 2 2 2 2 5" xfId="12066" xr:uid="{E1A353B1-AD65-4DCE-B181-2A7994D858FE}"/>
    <cellStyle name="Input 3 2 2 2 2 6" xfId="13537" xr:uid="{C78D0B23-21B7-43D6-888E-05CA241D6010}"/>
    <cellStyle name="Input 3 2 2 2 2 7" xfId="15213" xr:uid="{DF734C07-009D-483F-932C-89857CEF5695}"/>
    <cellStyle name="Input 3 2 2 2 2 8" xfId="16877" xr:uid="{18B991D0-37D1-49D9-8C63-974AA077099D}"/>
    <cellStyle name="Input 3 2 2 2 3" xfId="6728" xr:uid="{39ED2FF6-3D84-4B66-ACF3-2E0E86771653}"/>
    <cellStyle name="Input 3 2 2 2 4" xfId="8085" xr:uid="{F125D90E-3483-4384-975C-CB9CDBD2F87D}"/>
    <cellStyle name="Input 3 2 2 2 5" xfId="9779" xr:uid="{FBFEA5C2-8F0C-436F-AE43-52BB8F08F85D}"/>
    <cellStyle name="Input 3 2 2 2 6" xfId="11355" xr:uid="{A768F720-05D1-4418-9777-0D5CCE4DB221}"/>
    <cellStyle name="Input 3 2 2 2 7" xfId="12764" xr:uid="{85C9CF4C-1272-455D-AFAD-A5377D3BA238}"/>
    <cellStyle name="Input 3 2 2 2 8" xfId="14422" xr:uid="{42283E5B-C4C5-4114-AA17-1ED24470DB77}"/>
    <cellStyle name="Input 3 2 2 2 9" xfId="16104" xr:uid="{00B59E68-5CD9-42FD-B323-94A759DB0AB0}"/>
    <cellStyle name="Input 3 2 2 3" xfId="3722" xr:uid="{86C9DE9A-342B-446D-BCBD-1F7E644D8411}"/>
    <cellStyle name="Input 3 2 2 3 2" xfId="4667" xr:uid="{B8DB57F5-8A8B-46D2-BF6E-7F48A6343F45}"/>
    <cellStyle name="Input 3 2 2 3 2 2" xfId="7162" xr:uid="{D5677C3E-B970-418D-A1BB-3A7267C16F39}"/>
    <cellStyle name="Input 3 2 2 3 2 3" xfId="8580" xr:uid="{45BC097A-FBCC-448A-8D59-8BECB2C11DFB}"/>
    <cellStyle name="Input 3 2 2 3 2 4" xfId="10284" xr:uid="{B1ACEBA0-F4B7-47AA-A43A-435874ADEB27}"/>
    <cellStyle name="Input 3 2 2 3 2 5" xfId="11780" xr:uid="{C30BD2DA-78C7-4258-A8F5-FEAEDB6FEEE7}"/>
    <cellStyle name="Input 3 2 2 3 2 6" xfId="13257" xr:uid="{085A6024-0DA9-4CA3-9185-FE850195F03A}"/>
    <cellStyle name="Input 3 2 2 3 2 7" xfId="14927" xr:uid="{43BC593E-1607-447E-850E-1AE67630B730}"/>
    <cellStyle name="Input 3 2 2 3 2 8" xfId="16597" xr:uid="{21EE4AF1-C44B-4C58-BCE6-9CADC8E39862}"/>
    <cellStyle name="Input 3 2 2 3 3" xfId="6402" xr:uid="{C7AFFCBE-DF24-4E4D-98A9-C2C04A71875B}"/>
    <cellStyle name="Input 3 2 2 3 4" xfId="7653" xr:uid="{9A237811-E54F-45AC-AF46-18497FEE06A4}"/>
    <cellStyle name="Input 3 2 2 3 5" xfId="9341" xr:uid="{26D116D6-7D88-4E7B-ACB2-A452D325C261}"/>
    <cellStyle name="Input 3 2 2 3 6" xfId="11028" xr:uid="{589B58C5-DE66-4206-9213-8BCE32349741}"/>
    <cellStyle name="Input 3 2 2 3 7" xfId="12332" xr:uid="{018BED26-2349-4921-A511-D511A3515510}"/>
    <cellStyle name="Input 3 2 2 3 8" xfId="13984" xr:uid="{C1EC02C3-A1AC-4BC5-88F8-5B3800B80B7F}"/>
    <cellStyle name="Input 3 2 2 3 9" xfId="15672" xr:uid="{5E511343-EA98-4A51-95F2-89B0A604D4FC}"/>
    <cellStyle name="Input 3 2 2 4" xfId="8947" xr:uid="{A18989AE-FD7A-40D7-88B9-3C32F13989F8}"/>
    <cellStyle name="Input 3 2 3" xfId="3146" xr:uid="{D4F63B22-08C6-41EA-B4FD-228B77DD5557}"/>
    <cellStyle name="Input 3 2 3 2" xfId="4026" xr:uid="{2CE023C2-749B-41AB-BB98-77DACE57A904}"/>
    <cellStyle name="Input 3 2 3 2 2" xfId="4869" xr:uid="{06CA572C-E895-4AC1-926A-6D09540BBAA3}"/>
    <cellStyle name="Input 3 2 3 2 2 2" xfId="7364" xr:uid="{4807144D-716D-45FD-ADD5-0F4C92F39F3B}"/>
    <cellStyle name="Input 3 2 3 2 2 3" xfId="8777" xr:uid="{C087B36E-6C7A-4C33-8A8D-9F2E1FC17429}"/>
    <cellStyle name="Input 3 2 3 2 2 4" xfId="10486" xr:uid="{85133F5F-E9C0-4236-9B9F-3871BC67ED8D}"/>
    <cellStyle name="Input 3 2 3 2 2 5" xfId="11982" xr:uid="{727EF3C7-6150-4FDF-91E2-89483B020CA5}"/>
    <cellStyle name="Input 3 2 3 2 2 6" xfId="13454" xr:uid="{174E48C4-D967-4725-9FF4-4E1E4156AEDC}"/>
    <cellStyle name="Input 3 2 3 2 2 7" xfId="15129" xr:uid="{5033C12C-3689-4C6C-A4D4-2AD01EA10C84}"/>
    <cellStyle name="Input 3 2 3 2 2 8" xfId="16794" xr:uid="{E73F1FE1-1854-4257-9431-38DA5F75B8C1}"/>
    <cellStyle name="Input 3 2 3 2 3" xfId="6630" xr:uid="{6F0F97E6-6E2A-4111-9940-F84208834CF9}"/>
    <cellStyle name="Input 3 2 3 2 4" xfId="7952" xr:uid="{D7BED460-BDDA-4EFB-BC2B-BFED068774B0}"/>
    <cellStyle name="Input 3 2 3 2 5" xfId="9645" xr:uid="{4356D9A6-96CF-47E5-A9DA-43094D64F3C1}"/>
    <cellStyle name="Input 3 2 3 2 6" xfId="11256" xr:uid="{7C37D926-D5D2-44A5-A9CC-C8F820D6E790}"/>
    <cellStyle name="Input 3 2 3 2 7" xfId="12631" xr:uid="{657981C2-579D-450D-B71F-A016E44BAD50}"/>
    <cellStyle name="Input 3 2 3 2 8" xfId="14288" xr:uid="{47607DA3-B53F-4EE3-9D5A-C63D0F139B51}"/>
    <cellStyle name="Input 3 2 3 2 9" xfId="15971" xr:uid="{0692403C-22A6-4494-9B29-80F8103DAE75}"/>
    <cellStyle name="Input 3 2 3 3" xfId="3588" xr:uid="{6E3A4D91-68EC-40E2-9D8D-597ECF3254BD}"/>
    <cellStyle name="Input 3 2 3 3 2" xfId="4583" xr:uid="{B92F6588-36CF-4D42-BDAE-6FCB963E3AE9}"/>
    <cellStyle name="Input 3 2 3 3 2 2" xfId="7078" xr:uid="{40F53EE7-F090-4FB5-B072-AEF576A858D1}"/>
    <cellStyle name="Input 3 2 3 3 2 3" xfId="8497" xr:uid="{CF6277A6-17D3-421B-AFE0-B2CF8B208297}"/>
    <cellStyle name="Input 3 2 3 3 2 4" xfId="10200" xr:uid="{3D9F4AF1-2E5B-452E-9230-90697B1C456E}"/>
    <cellStyle name="Input 3 2 3 3 2 5" xfId="11696" xr:uid="{6B208732-4A39-4CF2-9DDF-EFF62E1D6811}"/>
    <cellStyle name="Input 3 2 3 3 2 6" xfId="13174" xr:uid="{DD31BAF3-B799-46AC-A74C-EED1BD86D615}"/>
    <cellStyle name="Input 3 2 3 3 2 7" xfId="14843" xr:uid="{02FD4677-FD6D-445F-BCA3-9D0001207AB3}"/>
    <cellStyle name="Input 3 2 3 3 2 8" xfId="16514" xr:uid="{39660E69-3098-492A-BE99-81B7543B18FE}"/>
    <cellStyle name="Input 3 2 3 3 3" xfId="6300" xr:uid="{F8E3FF6A-DA68-4830-8136-947BCD425E37}"/>
    <cellStyle name="Input 3 2 3 3 4" xfId="7520" xr:uid="{7133DF99-C626-471C-A906-4E254F4C73A5}"/>
    <cellStyle name="Input 3 2 3 3 5" xfId="9207" xr:uid="{680E4578-792D-430A-80B1-141391BECB9B}"/>
    <cellStyle name="Input 3 2 3 3 6" xfId="10931" xr:uid="{4D73BFFF-D2E2-47BE-AFC4-3B12DDC69B5F}"/>
    <cellStyle name="Input 3 2 3 3 7" xfId="12199" xr:uid="{9A8871DD-EA82-46BA-BA04-C8848EF5EAC4}"/>
    <cellStyle name="Input 3 2 3 3 8" xfId="13850" xr:uid="{15DD4EBB-00EF-4343-9715-535A7135BB7A}"/>
    <cellStyle name="Input 3 2 3 3 9" xfId="15539" xr:uid="{78DDE424-E3AD-4770-BCF3-4A268022FD43}"/>
    <cellStyle name="Input 3 2 3 4" xfId="6308" xr:uid="{B8E89A7C-69A4-41A7-87A0-A17B76B44DA2}"/>
    <cellStyle name="Input 3 2 4" xfId="3160" xr:uid="{3D8AF0FB-D431-4DCD-8FA0-AC66C75504C5}"/>
    <cellStyle name="Input 3 2 4 2" xfId="4040" xr:uid="{DC3D6B2C-A16E-410A-8362-170745F3A153}"/>
    <cellStyle name="Input 3 2 4 2 2" xfId="4875" xr:uid="{EC5D02A5-B61F-4909-99EF-1DAD69AD34CD}"/>
    <cellStyle name="Input 3 2 4 2 2 2" xfId="7370" xr:uid="{E0D1CB6C-E122-41E2-8CCB-B3E163336204}"/>
    <cellStyle name="Input 3 2 4 2 2 3" xfId="8783" xr:uid="{76FCB3B2-A2AA-4E75-9381-74FF9D345D07}"/>
    <cellStyle name="Input 3 2 4 2 2 4" xfId="10492" xr:uid="{C8A04EF3-D323-4B56-948C-97BC6301E62F}"/>
    <cellStyle name="Input 3 2 4 2 2 5" xfId="11988" xr:uid="{BCF02A8D-A28E-4639-9467-3216DDA832C2}"/>
    <cellStyle name="Input 3 2 4 2 2 6" xfId="13460" xr:uid="{D7EAB6B7-1635-4C63-A3B4-5D7B09779C6E}"/>
    <cellStyle name="Input 3 2 4 2 2 7" xfId="15135" xr:uid="{A21488CC-0405-4AAD-AD10-152145E7B3DD}"/>
    <cellStyle name="Input 3 2 4 2 2 8" xfId="16800" xr:uid="{F6B1E32A-3335-4945-94C9-84915C12AD69}"/>
    <cellStyle name="Input 3 2 4 2 3" xfId="6640" xr:uid="{B1A702B5-A486-41A3-8AD8-2FDA62BE8F40}"/>
    <cellStyle name="Input 3 2 4 2 4" xfId="7966" xr:uid="{6DBE6BAD-4F5E-4B3F-A790-F138A9E57765}"/>
    <cellStyle name="Input 3 2 4 2 5" xfId="9659" xr:uid="{7B7C4581-D595-40DD-A607-35E7B40C034B}"/>
    <cellStyle name="Input 3 2 4 2 6" xfId="11266" xr:uid="{ABB2D351-E065-4BE6-A5FF-194BC349AEA0}"/>
    <cellStyle name="Input 3 2 4 2 7" xfId="12645" xr:uid="{1042270C-0536-4F30-B70E-F9880A39249C}"/>
    <cellStyle name="Input 3 2 4 2 8" xfId="14302" xr:uid="{C1614844-719D-4AFE-A14E-3FCEAE5D474F}"/>
    <cellStyle name="Input 3 2 4 2 9" xfId="15985" xr:uid="{33D547E0-292C-4397-BBF5-14E3DE0BD81D}"/>
    <cellStyle name="Input 3 2 4 3" xfId="3602" xr:uid="{6239663E-6C57-49A8-A169-9905CB61FDF2}"/>
    <cellStyle name="Input 3 2 4 3 2" xfId="4589" xr:uid="{60A9F0CF-BA1A-4152-8BD8-DB325B384EAC}"/>
    <cellStyle name="Input 3 2 4 3 2 2" xfId="7084" xr:uid="{4EC1247C-0C0D-43A0-95D8-1FCEFE5A3666}"/>
    <cellStyle name="Input 3 2 4 3 2 3" xfId="8503" xr:uid="{2F922B1D-B9A5-4EEB-8C8D-1858CBC41D0E}"/>
    <cellStyle name="Input 3 2 4 3 2 4" xfId="10206" xr:uid="{E73AB89F-3DB0-477C-A092-13D28D3A3429}"/>
    <cellStyle name="Input 3 2 4 3 2 5" xfId="11702" xr:uid="{9F80C54E-24D4-41C5-8B65-50F57A71D357}"/>
    <cellStyle name="Input 3 2 4 3 2 6" xfId="13180" xr:uid="{B71BF5AA-42C4-49CA-9552-057A419A8C59}"/>
    <cellStyle name="Input 3 2 4 3 2 7" xfId="14849" xr:uid="{5EF95BD2-651E-4C86-AD6B-AE7BB600FCB7}"/>
    <cellStyle name="Input 3 2 4 3 2 8" xfId="16520" xr:uid="{D76A376B-62B6-47E5-886D-FC285F2ABBC5}"/>
    <cellStyle name="Input 3 2 4 3 3" xfId="6309" xr:uid="{36CEB173-7A7A-4D04-9E44-39A74DDBC61F}"/>
    <cellStyle name="Input 3 2 4 3 4" xfId="7534" xr:uid="{3EE1E13E-6099-4979-9D3E-B87BAABF244F}"/>
    <cellStyle name="Input 3 2 4 3 5" xfId="9221" xr:uid="{63E4802D-8015-4704-B893-199C8F6D0456}"/>
    <cellStyle name="Input 3 2 4 3 6" xfId="10940" xr:uid="{19158B8E-6702-47BC-82EB-444923425E17}"/>
    <cellStyle name="Input 3 2 4 3 7" xfId="12213" xr:uid="{488374CB-18B5-4002-BE51-B84F7EBBA433}"/>
    <cellStyle name="Input 3 2 4 3 8" xfId="13864" xr:uid="{A9A1AEA2-B069-49C5-A9AB-8D8CFBAB0614}"/>
    <cellStyle name="Input 3 2 4 3 9" xfId="15553" xr:uid="{4FFAD4FD-C9D9-4492-99F9-C8091A6B988A}"/>
    <cellStyle name="Input 3 2 4 4" xfId="6439" xr:uid="{FDC48BCA-2CE8-4845-8423-7B1914AA3A10}"/>
    <cellStyle name="Input 3 2 5" xfId="3318" xr:uid="{8D566100-3F70-4AC1-B8D9-69E66A529713}"/>
    <cellStyle name="Input 3 2 5 2" xfId="4198" xr:uid="{93C6F0C1-A93B-484D-9880-B29E5583F5AF}"/>
    <cellStyle name="Input 3 2 5 2 2" xfId="4982" xr:uid="{548E4970-F6DC-47BF-9CE9-9544A9678780}"/>
    <cellStyle name="Input 3 2 5 2 2 2" xfId="7477" xr:uid="{B7BED147-372E-451D-AFD6-48113EBF78DC}"/>
    <cellStyle name="Input 3 2 5 2 2 3" xfId="8888" xr:uid="{7FAFBF2A-C59A-43F0-BF54-B4FD5E7D693A}"/>
    <cellStyle name="Input 3 2 5 2 2 4" xfId="10599" xr:uid="{63BB29A7-1A16-48B8-AEA5-3EF6F41FE613}"/>
    <cellStyle name="Input 3 2 5 2 2 5" xfId="12095" xr:uid="{934F39B1-DFEB-4C61-805C-3732C1B110D7}"/>
    <cellStyle name="Input 3 2 5 2 2 6" xfId="13565" xr:uid="{B72F5DA4-1E20-4B49-BCC5-41213F45B600}"/>
    <cellStyle name="Input 3 2 5 2 2 7" xfId="15242" xr:uid="{56425C32-0CCC-4757-BE4E-FE313D906191}"/>
    <cellStyle name="Input 3 2 5 2 2 8" xfId="16905" xr:uid="{48511376-A38E-4EAC-AED0-88F86640793A}"/>
    <cellStyle name="Input 3 2 5 2 3" xfId="6758" xr:uid="{0E1E089D-F96A-40E8-8EAE-2A5278E6F5E9}"/>
    <cellStyle name="Input 3 2 5 2 4" xfId="8122" xr:uid="{41CF4DCC-82E0-4E65-8EB6-73F8E2E3E259}"/>
    <cellStyle name="Input 3 2 5 2 5" xfId="9817" xr:uid="{186BEC9E-CBD3-455A-B083-D789CC180072}"/>
    <cellStyle name="Input 3 2 5 2 6" xfId="11386" xr:uid="{8A0D8A7D-310A-4647-A144-A3CCBF8E0A97}"/>
    <cellStyle name="Input 3 2 5 2 7" xfId="12801" xr:uid="{44C84A90-E0D8-443F-8686-7A2C329E9CBC}"/>
    <cellStyle name="Input 3 2 5 2 8" xfId="14460" xr:uid="{B8BF8A53-D683-482E-B255-3BC807D3933B}"/>
    <cellStyle name="Input 3 2 5 2 9" xfId="16141" xr:uid="{9AB4348F-3F6A-46FA-A8ED-6903D11813D2}"/>
    <cellStyle name="Input 3 2 5 3" xfId="3759" xr:uid="{C80B1B60-F301-4D07-B8E8-BD47640E1433}"/>
    <cellStyle name="Input 3 2 5 3 2" xfId="4695" xr:uid="{6950D602-1AB5-4A7B-B0AD-337A1F1B7BEB}"/>
    <cellStyle name="Input 3 2 5 3 2 2" xfId="7190" xr:uid="{0239F80E-6041-43C9-8BF2-3EE106820AC5}"/>
    <cellStyle name="Input 3 2 5 3 2 3" xfId="8608" xr:uid="{D88C92B0-32FC-457A-8FE0-C28C3E85E709}"/>
    <cellStyle name="Input 3 2 5 3 2 4" xfId="10312" xr:uid="{30447A78-8345-4030-8D0D-5BA116E7BE29}"/>
    <cellStyle name="Input 3 2 5 3 2 5" xfId="11808" xr:uid="{6E13D27F-77C8-40A7-84D1-0667DDE5AB88}"/>
    <cellStyle name="Input 3 2 5 3 2 6" xfId="13285" xr:uid="{C506F08A-270F-4945-A177-84CF3774D22D}"/>
    <cellStyle name="Input 3 2 5 3 2 7" xfId="14955" xr:uid="{2C90D3E2-5DAA-42BC-A71D-1B4C10EF6AAB}"/>
    <cellStyle name="Input 3 2 5 3 2 8" xfId="16625" xr:uid="{0F94E151-E80D-43D1-A26F-B1BEF6111E62}"/>
    <cellStyle name="Input 3 2 5 3 3" xfId="6431" xr:uid="{122E09D0-8053-4A13-A30E-0E942D1639C0}"/>
    <cellStyle name="Input 3 2 5 3 4" xfId="7690" xr:uid="{8DD3011B-5C63-4B50-BADA-B251D8E97964}"/>
    <cellStyle name="Input 3 2 5 3 5" xfId="9378" xr:uid="{0B8EAAD1-4873-44CC-9716-A4F86E4ED1FB}"/>
    <cellStyle name="Input 3 2 5 3 6" xfId="11060" xr:uid="{DCB014D9-7A4A-4621-ACD6-7AADC0CEF6B5}"/>
    <cellStyle name="Input 3 2 5 3 7" xfId="12369" xr:uid="{F1A9AC0F-D721-469B-8851-173CB8DDF9E3}"/>
    <cellStyle name="Input 3 2 5 3 8" xfId="14021" xr:uid="{3A43B0DE-4567-4125-A833-B83C300711F9}"/>
    <cellStyle name="Input 3 2 5 3 9" xfId="15709" xr:uid="{F2C55B61-FF75-443F-B08F-679EF05320A1}"/>
    <cellStyle name="Input 3 2 5 4" xfId="8981" xr:uid="{A6B6B40C-1D1C-4A93-8495-5D27695AB778}"/>
    <cellStyle name="Input 3 2 6" xfId="3292" xr:uid="{F2A395E3-F21F-466B-A276-F83442ADFAA3}"/>
    <cellStyle name="Input 3 2 6 10" xfId="15297" xr:uid="{89EF94CD-CA83-45C0-AFEC-A7208CEB2D38}"/>
    <cellStyle name="Input 3 2 6 2" xfId="4172" xr:uid="{113A9140-FFDA-4344-8964-1FB3824B7EFF}"/>
    <cellStyle name="Input 3 2 6 2 2" xfId="4962" xr:uid="{2C5F0DFB-456D-4E57-8D3D-73DBA66BAE42}"/>
    <cellStyle name="Input 3 2 6 2 2 2" xfId="7457" xr:uid="{A5A8917B-76FD-4D7F-8142-2572E73D508F}"/>
    <cellStyle name="Input 3 2 6 2 2 3" xfId="8869" xr:uid="{C6039DF7-8DDE-4AD3-89B2-6F2C1D9E4B9E}"/>
    <cellStyle name="Input 3 2 6 2 2 4" xfId="10579" xr:uid="{43103190-18C2-429A-BB02-E1176AFBE5E8}"/>
    <cellStyle name="Input 3 2 6 2 2 5" xfId="12075" xr:uid="{B8EA4401-D359-4E7D-8A48-FA406C29C0EE}"/>
    <cellStyle name="Input 3 2 6 2 2 6" xfId="13546" xr:uid="{CEDF166C-CDA6-4EEF-B1DD-2F1195A379AD}"/>
    <cellStyle name="Input 3 2 6 2 2 7" xfId="15222" xr:uid="{92F758FE-AF3F-40EE-88C8-432084609176}"/>
    <cellStyle name="Input 3 2 6 2 2 8" xfId="16886" xr:uid="{E3385417-7CEC-4DB4-8AA0-2C35D8CA8436}"/>
    <cellStyle name="Input 3 2 6 2 3" xfId="6737" xr:uid="{18A553AB-1703-4BE9-8F02-90E5B829653A}"/>
    <cellStyle name="Input 3 2 6 2 4" xfId="8097" xr:uid="{7F392392-CC05-4BD6-84BC-2BB79FE30C6E}"/>
    <cellStyle name="Input 3 2 6 2 5" xfId="9791" xr:uid="{FB381495-D57F-4ADC-BF30-D20A3852AB36}"/>
    <cellStyle name="Input 3 2 6 2 6" xfId="11365" xr:uid="{8366EB83-FD5F-430D-8148-037463A9740B}"/>
    <cellStyle name="Input 3 2 6 2 7" xfId="12776" xr:uid="{7D3782FF-5941-427B-9882-A8F63071506C}"/>
    <cellStyle name="Input 3 2 6 2 8" xfId="14434" xr:uid="{F4ABE807-0041-455C-B0C9-AC0AC642A3DB}"/>
    <cellStyle name="Input 3 2 6 2 9" xfId="16116" xr:uid="{F79D5FC6-DAA9-4028-AADC-EBE38A1B4AA7}"/>
    <cellStyle name="Input 3 2 6 3" xfId="3734" xr:uid="{E6931D35-20CF-4C8F-9690-77128A2407A2}"/>
    <cellStyle name="Input 3 2 6 3 2" xfId="4676" xr:uid="{038D409E-4786-4435-BC12-F1B7B0FC7DA8}"/>
    <cellStyle name="Input 3 2 6 3 2 2" xfId="7171" xr:uid="{EF0CAE80-8331-4C20-BA7C-021662A34260}"/>
    <cellStyle name="Input 3 2 6 3 2 3" xfId="8589" xr:uid="{FC4E9760-A7BD-4E78-9BBB-E92E1B93C832}"/>
    <cellStyle name="Input 3 2 6 3 2 4" xfId="10293" xr:uid="{10A46DE5-FCD7-445A-B3C5-3FE5546675C8}"/>
    <cellStyle name="Input 3 2 6 3 2 5" xfId="11789" xr:uid="{0088F46A-CF19-4ABB-ACE9-30D243CFF2CD}"/>
    <cellStyle name="Input 3 2 6 3 2 6" xfId="13266" xr:uid="{052C6EA5-C6D3-4D5D-8764-4A0618E5BB9C}"/>
    <cellStyle name="Input 3 2 6 3 2 7" xfId="14936" xr:uid="{3182F2E3-361B-4A48-8165-6285DB924AB0}"/>
    <cellStyle name="Input 3 2 6 3 2 8" xfId="16606" xr:uid="{B5A71E60-D1C2-430B-AEBD-64167DE6884B}"/>
    <cellStyle name="Input 3 2 6 3 3" xfId="6411" xr:uid="{0E6E400C-F98A-4D4A-99C6-2011B8BA02F3}"/>
    <cellStyle name="Input 3 2 6 3 4" xfId="7665" xr:uid="{9F7C2F1D-E31A-4F7A-9CBF-F3ECCFF390ED}"/>
    <cellStyle name="Input 3 2 6 3 5" xfId="9353" xr:uid="{FEA16F43-50B6-4D77-A782-C4B1D685BAA0}"/>
    <cellStyle name="Input 3 2 6 3 6" xfId="11038" xr:uid="{0738153E-91C8-41D7-AF08-FD859A88AB0B}"/>
    <cellStyle name="Input 3 2 6 3 7" xfId="12344" xr:uid="{296E7108-5A72-44E8-8B5F-2B9C1BF8CB04}"/>
    <cellStyle name="Input 3 2 6 3 8" xfId="13996" xr:uid="{5CAE169A-A68B-439E-BC43-788A77086F24}"/>
    <cellStyle name="Input 3 2 6 3 9" xfId="15684" xr:uid="{2B5B50F3-B752-485B-A240-8CF604C83117}"/>
    <cellStyle name="Input 3 2 6 4" xfId="4394" xr:uid="{B480AD08-A3E6-4BC3-A113-F6684C86C2D9}"/>
    <cellStyle name="Input 3 2 6 4 2" xfId="6902" xr:uid="{6C86FB78-9E48-49FD-ABEB-735768377A15}"/>
    <cellStyle name="Input 3 2 6 4 3" xfId="8313" xr:uid="{1C5AADE7-782B-422B-88F7-9BA56FB2EDBC}"/>
    <cellStyle name="Input 3 2 6 4 4" xfId="10011" xr:uid="{F42E87D0-44D1-44B2-B7AE-8413B8B949A8}"/>
    <cellStyle name="Input 3 2 6 4 5" xfId="11522" xr:uid="{14951715-DCCF-47BD-90D4-B0E78832A8CF}"/>
    <cellStyle name="Input 3 2 6 4 6" xfId="12990" xr:uid="{C02319A4-1A26-4EB2-9AF6-DFD64C09A98D}"/>
    <cellStyle name="Input 3 2 6 4 7" xfId="14654" xr:uid="{45952BF3-75BF-4B98-84EB-29B8D4B2EC75}"/>
    <cellStyle name="Input 3 2 6 4 8" xfId="16330" xr:uid="{9A827416-0F55-4AC9-A8E5-FCC8AD74992D}"/>
    <cellStyle name="Input 3 2 6 5" xfId="6082" xr:uid="{F5C09EA6-5C60-47B8-A5C6-447266727644}"/>
    <cellStyle name="Input 3 2 6 6" xfId="5609" xr:uid="{3639C396-B3A8-4CC2-99BB-97E94CBF22BB}"/>
    <cellStyle name="Input 3 2 6 7" xfId="10719" xr:uid="{A5A15088-3647-47FA-8680-288D9E4BA76F}"/>
    <cellStyle name="Input 3 2 6 8" xfId="5298" xr:uid="{68CE2447-0559-4348-A796-B5F7BC6AD379}"/>
    <cellStyle name="Input 3 2 6 9" xfId="13603" xr:uid="{AFD70776-1E24-4C3C-8AC7-60B7D03480A9}"/>
    <cellStyle name="Input 3 2 7" xfId="3242" xr:uid="{6691E525-AC0B-47E0-B142-D0A44CD775AF}"/>
    <cellStyle name="Input 3 2 7 10" xfId="15290" xr:uid="{9984091C-5E01-4351-892B-52E42618A079}"/>
    <cellStyle name="Input 3 2 7 2" xfId="4122" xr:uid="{884BF66F-7792-4EA0-B207-669A501C4816}"/>
    <cellStyle name="Input 3 2 7 2 2" xfId="4925" xr:uid="{09EDBF69-2A92-496C-9909-777E89374995}"/>
    <cellStyle name="Input 3 2 7 2 2 2" xfId="7420" xr:uid="{305F00E8-2010-48CA-8EDC-078B60D0CB7E}"/>
    <cellStyle name="Input 3 2 7 2 2 3" xfId="8832" xr:uid="{F2773A51-F3BE-49B4-A6EE-05166CFEA1D3}"/>
    <cellStyle name="Input 3 2 7 2 2 4" xfId="10542" xr:uid="{0962F31C-9D01-4EA3-A81A-D4147D819B9D}"/>
    <cellStyle name="Input 3 2 7 2 2 5" xfId="12038" xr:uid="{5B91D3CF-BE60-41AF-8E9E-4D5387F0E85C}"/>
    <cellStyle name="Input 3 2 7 2 2 6" xfId="13509" xr:uid="{14A5931F-638A-448B-9137-FC25957EAE32}"/>
    <cellStyle name="Input 3 2 7 2 2 7" xfId="15185" xr:uid="{3D3735B1-EE53-4B2F-9C1A-8698165935F7}"/>
    <cellStyle name="Input 3 2 7 2 2 8" xfId="16849" xr:uid="{6CA9B812-43E9-4836-90F2-C1CF444B859B}"/>
    <cellStyle name="Input 3 2 7 2 3" xfId="6696" xr:uid="{C04BDC34-C216-45CD-8AEF-E48D3F31FF4C}"/>
    <cellStyle name="Input 3 2 7 2 4" xfId="8047" xr:uid="{B7001EB8-6379-41BD-AE38-0A1598524AC7}"/>
    <cellStyle name="Input 3 2 7 2 5" xfId="9741" xr:uid="{C224FEA8-0346-4037-8208-058E63E66752}"/>
    <cellStyle name="Input 3 2 7 2 6" xfId="11324" xr:uid="{6988DEB5-2028-4D43-8543-7FC89240BAA5}"/>
    <cellStyle name="Input 3 2 7 2 7" xfId="12726" xr:uid="{D78553DC-B314-49F8-8CB0-57CD2C9822E1}"/>
    <cellStyle name="Input 3 2 7 2 8" xfId="14384" xr:uid="{074300BA-15EA-4587-81B2-AA9EB7146C3C}"/>
    <cellStyle name="Input 3 2 7 2 9" xfId="16066" xr:uid="{FE2FD9DD-988C-4F19-9D03-4E886C38CD32}"/>
    <cellStyle name="Input 3 2 7 3" xfId="3684" xr:uid="{A0727672-A716-45F6-8159-9BDAFFBE5C76}"/>
    <cellStyle name="Input 3 2 7 3 2" xfId="4639" xr:uid="{70D9EF77-3302-4D42-8E42-C8409FCD8432}"/>
    <cellStyle name="Input 3 2 7 3 2 2" xfId="7134" xr:uid="{5170849C-3E57-4A2E-BF37-966D27EEA90E}"/>
    <cellStyle name="Input 3 2 7 3 2 3" xfId="8552" xr:uid="{67D3D6B4-C868-40F0-94A7-D3DDFA60ABB8}"/>
    <cellStyle name="Input 3 2 7 3 2 4" xfId="10256" xr:uid="{1269EF49-6CB8-4F58-959A-3B087A6AB154}"/>
    <cellStyle name="Input 3 2 7 3 2 5" xfId="11752" xr:uid="{D0A9B19D-8CAE-4504-8F8D-D04589B33826}"/>
    <cellStyle name="Input 3 2 7 3 2 6" xfId="13229" xr:uid="{66DD7CA6-DFF0-477A-A5CA-0A7E2087A3D2}"/>
    <cellStyle name="Input 3 2 7 3 2 7" xfId="14899" xr:uid="{8EE872C3-B261-4616-BE34-B5E707253ED4}"/>
    <cellStyle name="Input 3 2 7 3 2 8" xfId="16569" xr:uid="{5C879706-2FF0-4972-9205-C375A8A86EA7}"/>
    <cellStyle name="Input 3 2 7 3 3" xfId="6370" xr:uid="{BB4C2E47-CCC9-4236-9F62-92EE17FC836A}"/>
    <cellStyle name="Input 3 2 7 3 4" xfId="7615" xr:uid="{3D042DBB-E1EB-4281-8FEE-85F4550A75CA}"/>
    <cellStyle name="Input 3 2 7 3 5" xfId="9303" xr:uid="{C086281B-DA73-4719-BB96-85F392924898}"/>
    <cellStyle name="Input 3 2 7 3 6" xfId="10997" xr:uid="{6A0EE1DA-7790-47F2-A9C6-61B5341390A4}"/>
    <cellStyle name="Input 3 2 7 3 7" xfId="12294" xr:uid="{2CD73A04-C2C7-4EF7-9538-05E0E1DFC612}"/>
    <cellStyle name="Input 3 2 7 3 8" xfId="13946" xr:uid="{82800C53-FCD3-4407-BE3D-439C3289388C}"/>
    <cellStyle name="Input 3 2 7 3 9" xfId="15634" xr:uid="{53928BD3-1085-4079-8301-B6A77001C86F}"/>
    <cellStyle name="Input 3 2 7 4" xfId="4387" xr:uid="{D495DB80-A21B-4EED-9302-477A300D0CA5}"/>
    <cellStyle name="Input 3 2 7 4 2" xfId="6895" xr:uid="{A2220F6C-E028-4AD2-BD7F-B6B311472713}"/>
    <cellStyle name="Input 3 2 7 4 3" xfId="8306" xr:uid="{2BE9767F-216D-44C4-9A05-41E6E7D0EC50}"/>
    <cellStyle name="Input 3 2 7 4 4" xfId="10004" xr:uid="{FD39326A-C16A-495C-81CD-950AE6496FDF}"/>
    <cellStyle name="Input 3 2 7 4 5" xfId="11515" xr:uid="{BE1A747B-EB67-46DE-84D2-B58BAFE480BB}"/>
    <cellStyle name="Input 3 2 7 4 6" xfId="12983" xr:uid="{745DC3C8-5FB2-4C84-9A4A-CFE0BDE3BF78}"/>
    <cellStyle name="Input 3 2 7 4 7" xfId="14647" xr:uid="{8011BC1A-47CB-4B9E-BCF6-7D301A42F44C}"/>
    <cellStyle name="Input 3 2 7 4 8" xfId="16323" xr:uid="{166564DF-9FEB-4C31-87E3-FBD81BBB6D43}"/>
    <cellStyle name="Input 3 2 7 5" xfId="6061" xr:uid="{04A3687C-ADF9-43CF-A94B-3A82813487BC}"/>
    <cellStyle name="Input 3 2 7 6" xfId="5223" xr:uid="{C86943A9-37B8-4BE6-8B1C-36775824461D}"/>
    <cellStyle name="Input 3 2 7 7" xfId="10704" xr:uid="{4DA0B0CE-0056-466F-9D54-ACCE1EEEAE17}"/>
    <cellStyle name="Input 3 2 7 8" xfId="5492" xr:uid="{D5B1F05B-744D-4FBF-83D4-4653E7101139}"/>
    <cellStyle name="Input 3 2 7 9" xfId="11157" xr:uid="{ACB63177-E323-4485-B267-856F40693975}"/>
    <cellStyle name="Input 3 2 8" xfId="3379" xr:uid="{0251AED8-871D-41E3-8E85-F3E15387AE82}"/>
    <cellStyle name="Input 3 2 8 10" xfId="15336" xr:uid="{0FA922A6-689B-48AC-B6CE-43CD44D1FD2B}"/>
    <cellStyle name="Input 3 2 8 2" xfId="4259" xr:uid="{A2BF6EDD-12A7-4C97-9FAE-A00AB0570FCB}"/>
    <cellStyle name="Input 3 2 8 2 2" xfId="5011" xr:uid="{49286655-1FD2-41D2-B16B-EF79E9046F81}"/>
    <cellStyle name="Input 3 2 8 2 2 2" xfId="7506" xr:uid="{EFC1B23B-C232-4F94-942F-ED2C230C2DCE}"/>
    <cellStyle name="Input 3 2 8 2 2 3" xfId="8916" xr:uid="{69D73D58-3EE8-41DF-8273-C912FDFD8AC7}"/>
    <cellStyle name="Input 3 2 8 2 2 4" xfId="10628" xr:uid="{E6D2F6BE-6ABA-4A7C-A950-7299800E3B4D}"/>
    <cellStyle name="Input 3 2 8 2 2 5" xfId="12124" xr:uid="{BB700A53-2274-4589-AC4D-01A5F3D39605}"/>
    <cellStyle name="Input 3 2 8 2 2 6" xfId="13593" xr:uid="{6D6E1DB9-2038-42E4-8E57-C4A6670B0F8F}"/>
    <cellStyle name="Input 3 2 8 2 2 7" xfId="15271" xr:uid="{A0C59469-FDED-499F-81E5-813D44E6EB1A}"/>
    <cellStyle name="Input 3 2 8 2 2 8" xfId="16933" xr:uid="{6B642E1C-5EBB-442D-985E-9726D2D8F02F}"/>
    <cellStyle name="Input 3 2 8 2 3" xfId="6799" xr:uid="{3709F34D-7823-4803-AACE-9E12099F032B}"/>
    <cellStyle name="Input 3 2 8 2 4" xfId="8182" xr:uid="{E4FF5A65-9804-4484-A0F2-94B3A58C2540}"/>
    <cellStyle name="Input 3 2 8 2 5" xfId="9878" xr:uid="{10A78079-4350-4CA7-A6A6-2E24C9456FE3}"/>
    <cellStyle name="Input 3 2 8 2 6" xfId="11417" xr:uid="{55F14A86-619C-46EA-8A40-61A370F0CF68}"/>
    <cellStyle name="Input 3 2 8 2 7" xfId="12861" xr:uid="{89702993-9B9E-4442-9F60-1AAD789AEFE6}"/>
    <cellStyle name="Input 3 2 8 2 8" xfId="14521" xr:uid="{00B4815E-38F9-4D31-8702-04A03BF96BE2}"/>
    <cellStyle name="Input 3 2 8 2 9" xfId="16201" xr:uid="{51F0CDBE-D7E8-4A65-BDBD-18183478DE08}"/>
    <cellStyle name="Input 3 2 8 3" xfId="3819" xr:uid="{EAE57380-3605-4551-B4AE-3C838232020B}"/>
    <cellStyle name="Input 3 2 8 3 2" xfId="4723" xr:uid="{1672A731-D1FA-4D0B-9855-EF72265F0BCD}"/>
    <cellStyle name="Input 3 2 8 3 2 2" xfId="7218" xr:uid="{01472FCD-688C-440D-A883-35FCCF9392A3}"/>
    <cellStyle name="Input 3 2 8 3 2 3" xfId="8636" xr:uid="{3CCB0D10-075A-45B1-BED1-097CB5A10FF8}"/>
    <cellStyle name="Input 3 2 8 3 2 4" xfId="10340" xr:uid="{4800C93A-0804-4A77-B0D7-D51EDED74550}"/>
    <cellStyle name="Input 3 2 8 3 2 5" xfId="11836" xr:uid="{D8D25F3F-9894-4BC0-9F82-4AB4145B63B6}"/>
    <cellStyle name="Input 3 2 8 3 2 6" xfId="13313" xr:uid="{966CEC06-4526-46D7-921B-49FEA4282DF1}"/>
    <cellStyle name="Input 3 2 8 3 2 7" xfId="14983" xr:uid="{104782AE-706C-4EE2-9A6B-0B6C4FA77951}"/>
    <cellStyle name="Input 3 2 8 3 2 8" xfId="16653" xr:uid="{928F6E62-D3B7-4DF8-A3F0-6EB0168E4818}"/>
    <cellStyle name="Input 3 2 8 3 3" xfId="6469" xr:uid="{6C7BF09B-F247-4674-AF07-86AACA736CBF}"/>
    <cellStyle name="Input 3 2 8 3 4" xfId="7750" xr:uid="{5C0E037E-9547-44A3-8FE3-9709FEA773AC}"/>
    <cellStyle name="Input 3 2 8 3 5" xfId="9438" xr:uid="{8D865848-22E8-4262-8649-7ACB5BD327AA}"/>
    <cellStyle name="Input 3 2 8 3 6" xfId="11098" xr:uid="{F278BFBA-A63D-4D15-83D6-DFCE43BD6A24}"/>
    <cellStyle name="Input 3 2 8 3 7" xfId="12429" xr:uid="{6CF43B44-8DBC-44D7-BE5A-52958FDDC773}"/>
    <cellStyle name="Input 3 2 8 3 8" xfId="14081" xr:uid="{9F16DF16-706A-4BB3-98D1-09A623A61232}"/>
    <cellStyle name="Input 3 2 8 3 9" xfId="15769" xr:uid="{14AE9B47-FBBE-4B1A-8281-F568E6E21C8F}"/>
    <cellStyle name="Input 3 2 8 4" xfId="4435" xr:uid="{A3E2A88B-E18B-4D19-A007-43EE651F9E78}"/>
    <cellStyle name="Input 3 2 8 4 2" xfId="6933" xr:uid="{DB3DC439-E648-41FF-93DE-29234DB03ED8}"/>
    <cellStyle name="Input 3 2 8 4 3" xfId="8352" xr:uid="{72D8293F-F2FC-4654-A498-FFBC17C6CEDF}"/>
    <cellStyle name="Input 3 2 8 4 4" xfId="10052" xr:uid="{816392BC-B72B-432C-98A1-E571D4969557}"/>
    <cellStyle name="Input 3 2 8 4 5" xfId="11550" xr:uid="{A6AD550F-03E3-47D9-9F60-4D857E3BAB35}"/>
    <cellStyle name="Input 3 2 8 4 6" xfId="13029" xr:uid="{B2A3F5C3-3E88-4684-9920-C40C2733BA81}"/>
    <cellStyle name="Input 3 2 8 4 7" xfId="14695" xr:uid="{32D0A4A0-EF9E-4EBC-9EDD-FDD7DED09C3B}"/>
    <cellStyle name="Input 3 2 8 4 8" xfId="16369" xr:uid="{A99ACD6F-22FA-4465-B17D-8AEC18400ABB}"/>
    <cellStyle name="Input 3 2 8 5" xfId="6137" xr:uid="{D8A2ABE3-72AD-49BE-A90D-51B511525E8A}"/>
    <cellStyle name="Input 3 2 8 6" xfId="5675" xr:uid="{7112A0AC-BBE2-43F1-B80C-27E1090C40DA}"/>
    <cellStyle name="Input 3 2 8 7" xfId="10769" xr:uid="{05B385AF-2FD6-4994-A3F9-C260759F6064}"/>
    <cellStyle name="Input 3 2 8 8" xfId="5553" xr:uid="{7D4E9095-821B-4249-A36A-49B5E2184457}"/>
    <cellStyle name="Input 3 2 8 9" xfId="13645" xr:uid="{B3E1D4D8-9D59-47B4-B7B7-3864D47BC450}"/>
    <cellStyle name="Input 3 2 9" xfId="3877" xr:uid="{A232BE5E-FAED-4718-BE5A-19425B970B7F}"/>
    <cellStyle name="Input 3 2 9 2" xfId="4768" xr:uid="{DEF6D48F-AD17-419C-95C8-EEC80C71E40F}"/>
    <cellStyle name="Input 3 2 9 2 2" xfId="7263" xr:uid="{1FDBB5DF-BC17-42AD-9FE3-9F7BD1194174}"/>
    <cellStyle name="Input 3 2 9 2 3" xfId="8678" xr:uid="{CF15CB74-5984-439B-9593-A3C3A7CAFC48}"/>
    <cellStyle name="Input 3 2 9 2 4" xfId="10385" xr:uid="{C585FA7E-20BA-49BB-BCD5-693ECE5C1030}"/>
    <cellStyle name="Input 3 2 9 2 5" xfId="11881" xr:uid="{F58A7E06-ED59-429C-8EF9-7BA61E4C35DF}"/>
    <cellStyle name="Input 3 2 9 2 6" xfId="13355" xr:uid="{B2EDF0C5-8315-41E5-A8BC-A140BE528D6A}"/>
    <cellStyle name="Input 3 2 9 2 7" xfId="15028" xr:uid="{7BA85252-14C9-4D7A-BFAD-61EEBB7EF6C9}"/>
    <cellStyle name="Input 3 2 9 2 8" xfId="16695" xr:uid="{90ED9F9E-5704-4408-BD51-F10211080EA5}"/>
    <cellStyle name="Input 3 2 9 3" xfId="6518" xr:uid="{98CDD183-D586-4DD8-8A50-63499E410191}"/>
    <cellStyle name="Input 3 2 9 4" xfId="7805" xr:uid="{A67BAF0F-3BBE-41A6-AAB4-A34B7F541845}"/>
    <cellStyle name="Input 3 2 9 5" xfId="9496" xr:uid="{845AC490-B64C-468F-A563-A25E0BC436B7}"/>
    <cellStyle name="Input 3 2 9 6" xfId="11149" xr:uid="{F9D536B7-865F-42D0-BC76-E4A00B983003}"/>
    <cellStyle name="Input 3 2 9 7" xfId="12484" xr:uid="{2C816A17-EF52-446D-91C1-CF448D5496FE}"/>
    <cellStyle name="Input 3 2 9 8" xfId="14139" xr:uid="{7204276D-FAAE-4BD3-9FBF-29E84474957C}"/>
    <cellStyle name="Input 3 2 9 9" xfId="15824" xr:uid="{5BEB5C0B-F199-44DB-9048-C41DDD25B3F4}"/>
    <cellStyle name="Input 3 3" xfId="2974" xr:uid="{02C9A7BD-3FD9-4E23-8CE8-17F5B192D17D}"/>
    <cellStyle name="Input 3 3 10" xfId="3421" xr:uid="{DC94A9B3-42BE-41BF-8962-DACB2BCD22BD}"/>
    <cellStyle name="Input 3 3 10 2" xfId="4468" xr:uid="{0ED32423-91C5-4772-89C1-3F235B373EE0}"/>
    <cellStyle name="Input 3 3 10 2 2" xfId="6963" xr:uid="{86D7973F-67A2-4ED4-B986-79853A2DC751}"/>
    <cellStyle name="Input 3 3 10 2 3" xfId="8384" xr:uid="{451BFEEA-A206-4E2C-B947-5757E8353081}"/>
    <cellStyle name="Input 3 3 10 2 4" xfId="10085" xr:uid="{FDCB2E51-5D7B-4D16-914C-C3E2D6FCA1D3}"/>
    <cellStyle name="Input 3 3 10 2 5" xfId="11581" xr:uid="{AE653378-3B7C-4FC3-8C76-823CC0AA0B28}"/>
    <cellStyle name="Input 3 3 10 2 6" xfId="13061" xr:uid="{22B0FB6F-F4F5-4981-B821-5A46D1E1C391}"/>
    <cellStyle name="Input 3 3 10 2 7" xfId="14728" xr:uid="{F0EC7AD0-D70B-43A4-93E3-E7997C536265}"/>
    <cellStyle name="Input 3 3 10 2 8" xfId="16401" xr:uid="{071A0E76-E350-44F6-9494-D6BF9BF84C9D}"/>
    <cellStyle name="Input 3 3 10 3" xfId="6171" xr:uid="{984DCF6D-593B-4D1B-8B18-68B4D5285A89}"/>
    <cellStyle name="Input 3 3 10 4" xfId="5986" xr:uid="{6A6AD3E0-5D22-4422-8871-539AF0E9BA06}"/>
    <cellStyle name="Input 3 3 10 5" xfId="9040" xr:uid="{9056B8A5-3498-4F73-8CCF-7013FFD8DFDC}"/>
    <cellStyle name="Input 3 3 10 6" xfId="10804" xr:uid="{257B84CE-BAA5-4698-806D-F553F3942FE0}"/>
    <cellStyle name="Input 3 3 10 7" xfId="5319" xr:uid="{DF62D56F-4DA0-4ED4-A16A-F167D9E5693D}"/>
    <cellStyle name="Input 3 3 10 8" xfId="13683" xr:uid="{65A5721E-2500-42A9-B848-1A36D579798D}"/>
    <cellStyle name="Input 3 3 10 9" xfId="15374" xr:uid="{9BFD7628-0E46-4DF6-A182-BC0A13F2725C}"/>
    <cellStyle name="Input 3 3 11" xfId="5395" xr:uid="{D306D08E-1D73-4CB8-A100-A59A95AA57D8}"/>
    <cellStyle name="Input 3 3 12" xfId="5884" xr:uid="{F78657B8-4FA4-460E-A258-6FE4C7E3BA49}"/>
    <cellStyle name="Input 3 3 2" xfId="3262" xr:uid="{346DEF6A-52D2-414A-99B9-55A75F1DEA2B}"/>
    <cellStyle name="Input 3 3 2 2" xfId="4142" xr:uid="{5D86BC40-5A44-424A-8F8B-654DE1F5C144}"/>
    <cellStyle name="Input 3 3 2 2 2" xfId="4939" xr:uid="{6528CA59-9763-4151-8F8B-3D1C68F097CB}"/>
    <cellStyle name="Input 3 3 2 2 2 2" xfId="7434" xr:uid="{EA432144-2001-4593-9484-7A3FAE23BE4B}"/>
    <cellStyle name="Input 3 3 2 2 2 3" xfId="8846" xr:uid="{8A852B47-BD64-40A5-8EE6-4B5104AC2702}"/>
    <cellStyle name="Input 3 3 2 2 2 4" xfId="10556" xr:uid="{5D160F11-0FD6-43EF-ADC7-0783BF61A829}"/>
    <cellStyle name="Input 3 3 2 2 2 5" xfId="12052" xr:uid="{F4E5ADDD-C64C-46B8-BF90-8FC9712CF2E8}"/>
    <cellStyle name="Input 3 3 2 2 2 6" xfId="13523" xr:uid="{2B5801EC-0ADB-4954-93B4-C56FD7B46FF4}"/>
    <cellStyle name="Input 3 3 2 2 2 7" xfId="15199" xr:uid="{8DFE533A-CFC6-44EE-A575-0196BFB24FD4}"/>
    <cellStyle name="Input 3 3 2 2 2 8" xfId="16863" xr:uid="{6BA9269E-D695-4654-9EFD-D15A62218216}"/>
    <cellStyle name="Input 3 3 2 2 3" xfId="6713" xr:uid="{A41AF69D-48A1-4EBD-A4AE-7DB81CD65C85}"/>
    <cellStyle name="Input 3 3 2 2 4" xfId="8067" xr:uid="{6FBBB5E4-631E-401E-B2FA-0D7382C7A949}"/>
    <cellStyle name="Input 3 3 2 2 5" xfId="9761" xr:uid="{0872F010-CD8B-4AD8-97B0-C2142583F952}"/>
    <cellStyle name="Input 3 3 2 2 6" xfId="11341" xr:uid="{B85F70F2-9667-4FA4-89E4-DEB086073525}"/>
    <cellStyle name="Input 3 3 2 2 7" xfId="12746" xr:uid="{24A320A9-3477-4B2C-BB82-272CACD52BD5}"/>
    <cellStyle name="Input 3 3 2 2 8" xfId="14404" xr:uid="{319A4829-2DD9-48F9-8D50-67970BEBD526}"/>
    <cellStyle name="Input 3 3 2 2 9" xfId="16086" xr:uid="{F79AC315-0735-47B1-8F04-83DF901161A9}"/>
    <cellStyle name="Input 3 3 2 3" xfId="3704" xr:uid="{2DE0296D-2F75-4224-A7A3-F3DD967B04C1}"/>
    <cellStyle name="Input 3 3 2 3 2" xfId="4653" xr:uid="{CD166245-0E27-4F3C-A784-0293E1E6C3A1}"/>
    <cellStyle name="Input 3 3 2 3 2 2" xfId="7148" xr:uid="{1C774E4D-4742-45AE-B39A-ED6C3FA7E672}"/>
    <cellStyle name="Input 3 3 2 3 2 3" xfId="8566" xr:uid="{2BB0E955-E681-4A8E-9C6C-0DBED336887D}"/>
    <cellStyle name="Input 3 3 2 3 2 4" xfId="10270" xr:uid="{9951872C-19BC-4EAB-B555-5720693DEA84}"/>
    <cellStyle name="Input 3 3 2 3 2 5" xfId="11766" xr:uid="{B740CF8D-A539-41E1-A427-54D5C4E98B7B}"/>
    <cellStyle name="Input 3 3 2 3 2 6" xfId="13243" xr:uid="{1FAA2852-A0EC-498F-994C-EF3D4D1A581E}"/>
    <cellStyle name="Input 3 3 2 3 2 7" xfId="14913" xr:uid="{AA6C614E-78ED-4045-8125-F780666D4286}"/>
    <cellStyle name="Input 3 3 2 3 2 8" xfId="16583" xr:uid="{DC75EA51-313A-427B-8708-0178E4FF228C}"/>
    <cellStyle name="Input 3 3 2 3 3" xfId="6386" xr:uid="{94F13F70-07B9-42EC-8184-748CC4FAE5D4}"/>
    <cellStyle name="Input 3 3 2 3 4" xfId="7635" xr:uid="{36719915-B6B0-40FA-8559-FAACCEE84D45}"/>
    <cellStyle name="Input 3 3 2 3 5" xfId="9323" xr:uid="{1B56C6B8-140F-4D3E-BA41-66464BAA4585}"/>
    <cellStyle name="Input 3 3 2 3 6" xfId="11013" xr:uid="{382439B6-4422-47CC-9338-9C8725C29569}"/>
    <cellStyle name="Input 3 3 2 3 7" xfId="12314" xr:uid="{82E8F90D-B303-4DEE-B42A-1DB8EEA106DF}"/>
    <cellStyle name="Input 3 3 2 3 8" xfId="13966" xr:uid="{94889C41-6B94-4129-B99D-9A8A61EC9D07}"/>
    <cellStyle name="Input 3 3 2 3 9" xfId="15654" xr:uid="{B3101BFD-6C1C-4C50-9860-E2A01A487DE7}"/>
    <cellStyle name="Input 3 3 2 4" xfId="8929" xr:uid="{1C292D42-395B-4239-858D-0D164BE0500E}"/>
    <cellStyle name="Input 3 3 3" xfId="3212" xr:uid="{7DE91FDE-D623-4D85-A972-D2D6689D49AC}"/>
    <cellStyle name="Input 3 3 3 2" xfId="4092" xr:uid="{85CE9202-1C64-4A48-B3EE-BDE51CDEFA6E}"/>
    <cellStyle name="Input 3 3 3 2 2" xfId="4906" xr:uid="{6DEBBEA3-1334-43EE-9E22-E6844F0C693D}"/>
    <cellStyle name="Input 3 3 3 2 2 2" xfId="7401" xr:uid="{36B17DB3-5735-4A3B-BE1E-9FC0BA02DF5F}"/>
    <cellStyle name="Input 3 3 3 2 2 3" xfId="8813" xr:uid="{928C5E89-8244-4EF0-96DF-97A7A678F575}"/>
    <cellStyle name="Input 3 3 3 2 2 4" xfId="10523" xr:uid="{5B7CA7D8-B28F-410D-8A4D-A2F30E622BA1}"/>
    <cellStyle name="Input 3 3 3 2 2 5" xfId="12019" xr:uid="{2A0AE1F3-A998-4537-B0A3-5992A4372824}"/>
    <cellStyle name="Input 3 3 3 2 2 6" xfId="13490" xr:uid="{A41BE070-A33A-42F2-A333-70FF0AE1681B}"/>
    <cellStyle name="Input 3 3 3 2 2 7" xfId="15166" xr:uid="{A2107863-3ACC-4CAC-B9A0-36296DB8A264}"/>
    <cellStyle name="Input 3 3 3 2 2 8" xfId="16830" xr:uid="{90677FA8-BC4B-4892-A3E9-2FFD2E79C183}"/>
    <cellStyle name="Input 3 3 3 2 3" xfId="6674" xr:uid="{BBAC7ED0-F7FF-4B78-B403-A2127B8305A1}"/>
    <cellStyle name="Input 3 3 3 2 4" xfId="8017" xr:uid="{582136F2-2FD7-4E12-B3FC-0AB510D3443B}"/>
    <cellStyle name="Input 3 3 3 2 5" xfId="9711" xr:uid="{F6F9B44C-8047-4508-84B5-A6C7CD5BC0D8}"/>
    <cellStyle name="Input 3 3 3 2 6" xfId="11302" xr:uid="{13F3CCD1-8B6F-4A45-B0D3-6C1723A18C27}"/>
    <cellStyle name="Input 3 3 3 2 7" xfId="12696" xr:uid="{9192AF92-79DB-4F37-A3A8-E0928B98F82F}"/>
    <cellStyle name="Input 3 3 3 2 8" xfId="14354" xr:uid="{DB0DD3A9-F4F5-4057-8E3D-D41C9F7E7E3F}"/>
    <cellStyle name="Input 3 3 3 2 9" xfId="16036" xr:uid="{9F4CB9CB-E746-494D-8B9D-9FF96B0C27A0}"/>
    <cellStyle name="Input 3 3 3 3" xfId="3654" xr:uid="{0746A1F1-25A3-40E7-AFEA-7514288DF4D0}"/>
    <cellStyle name="Input 3 3 3 3 2" xfId="4620" xr:uid="{82C87E6C-CAE8-4AF2-87A1-0FB8BA9FE2B3}"/>
    <cellStyle name="Input 3 3 3 3 2 2" xfId="7115" xr:uid="{8C4B6C10-6489-48A1-83DE-BD2BA9C40264}"/>
    <cellStyle name="Input 3 3 3 3 2 3" xfId="8533" xr:uid="{E48E29A6-6E6A-4256-A852-A0E8F122826C}"/>
    <cellStyle name="Input 3 3 3 3 2 4" xfId="10237" xr:uid="{BB4C814E-36E6-4704-9E7C-74CAAD58CBEB}"/>
    <cellStyle name="Input 3 3 3 3 2 5" xfId="11733" xr:uid="{35FCF3DA-E186-46C7-B07C-5C66D5A3B3C2}"/>
    <cellStyle name="Input 3 3 3 3 2 6" xfId="13210" xr:uid="{3EE7F876-D0A3-440D-B2DF-CF2963EFAA68}"/>
    <cellStyle name="Input 3 3 3 3 2 7" xfId="14880" xr:uid="{3347D62C-892A-4A2E-9A0B-A5C33BDC3202}"/>
    <cellStyle name="Input 3 3 3 3 2 8" xfId="16550" xr:uid="{56929902-1675-4FDE-ADCF-993D8B9CEB17}"/>
    <cellStyle name="Input 3 3 3 3 3" xfId="6347" xr:uid="{F0CD7FFB-0A65-45E1-B055-0399FF55ADB7}"/>
    <cellStyle name="Input 3 3 3 3 4" xfId="7585" xr:uid="{91F01E64-4600-4783-883F-ABAF6FAAA56A}"/>
    <cellStyle name="Input 3 3 3 3 5" xfId="9273" xr:uid="{4EB7CF80-D19C-411D-AE16-42FC0264FE8B}"/>
    <cellStyle name="Input 3 3 3 3 6" xfId="10974" xr:uid="{53529569-1BE8-4F44-9CA4-7D195A213E6F}"/>
    <cellStyle name="Input 3 3 3 3 7" xfId="12264" xr:uid="{3102EFAF-32A6-41F9-A983-6673DF3E1C9E}"/>
    <cellStyle name="Input 3 3 3 3 8" xfId="13916" xr:uid="{101C5EA3-F826-439D-9411-ABE4E42645A3}"/>
    <cellStyle name="Input 3 3 3 3 9" xfId="15604" xr:uid="{D944B915-FD8A-4AD6-A7F1-93979311CFE1}"/>
    <cellStyle name="Input 3 3 3 4" xfId="6506" xr:uid="{AD16BEF2-6B44-4AAF-865E-9B111A691B4D}"/>
    <cellStyle name="Input 3 3 4" xfId="3171" xr:uid="{DCE11606-55B6-4016-990A-FD571D37000C}"/>
    <cellStyle name="Input 3 3 4 2" xfId="4051" xr:uid="{BCD343C2-3E2C-4504-9038-899F3436B4A9}"/>
    <cellStyle name="Input 3 3 4 2 2" xfId="4880" xr:uid="{8E2403A6-2732-4137-AB2D-A02D31A6402C}"/>
    <cellStyle name="Input 3 3 4 2 2 2" xfId="7375" xr:uid="{81A85F61-1D33-464D-A6E5-2AD6893201EC}"/>
    <cellStyle name="Input 3 3 4 2 2 3" xfId="8787" xr:uid="{23659AEC-4134-4134-B814-1E8C0A152007}"/>
    <cellStyle name="Input 3 3 4 2 2 4" xfId="10497" xr:uid="{1D8A51A3-1B89-497C-801A-C1C97377C905}"/>
    <cellStyle name="Input 3 3 4 2 2 5" xfId="11993" xr:uid="{CE5F4822-1205-474D-B60D-3DEF04C367CA}"/>
    <cellStyle name="Input 3 3 4 2 2 6" xfId="13464" xr:uid="{C6BAEABD-4004-4DC1-991D-1E34A4AF4154}"/>
    <cellStyle name="Input 3 3 4 2 2 7" xfId="15140" xr:uid="{223E3EF1-43FB-44AE-8A3F-9D564197169C}"/>
    <cellStyle name="Input 3 3 4 2 2 8" xfId="16804" xr:uid="{96BA0A5A-3E74-4AE1-A4A2-8B92199C0B49}"/>
    <cellStyle name="Input 3 3 4 2 3" xfId="6646" xr:uid="{17D12F8F-CCF2-46DD-A611-E254223AC006}"/>
    <cellStyle name="Input 3 3 4 2 4" xfId="7976" xr:uid="{D20B0B86-39DC-47B9-8D66-4AAD8ECD507F}"/>
    <cellStyle name="Input 3 3 4 2 5" xfId="9670" xr:uid="{7815CA31-4E3E-4034-8491-A8EA86DDB412}"/>
    <cellStyle name="Input 3 3 4 2 6" xfId="11273" xr:uid="{3CC14B2C-DBE5-43B0-BEF4-FC226E291A8A}"/>
    <cellStyle name="Input 3 3 4 2 7" xfId="12655" xr:uid="{1160FE1E-C00E-4FC7-B897-94D29330F38B}"/>
    <cellStyle name="Input 3 3 4 2 8" xfId="14313" xr:uid="{B7726B84-1AAC-4060-BED0-187A9235D32F}"/>
    <cellStyle name="Input 3 3 4 2 9" xfId="15995" xr:uid="{37EE5620-64E0-427B-BE14-1536B488C884}"/>
    <cellStyle name="Input 3 3 4 3" xfId="3613" xr:uid="{3DE436C8-C236-47A8-A4E3-A1598C5976E0}"/>
    <cellStyle name="Input 3 3 4 3 2" xfId="4594" xr:uid="{4B0EA020-26B1-402D-A5F8-5C3A313681E6}"/>
    <cellStyle name="Input 3 3 4 3 2 2" xfId="7089" xr:uid="{0D211493-A662-47D1-9B4E-65722C6B0982}"/>
    <cellStyle name="Input 3 3 4 3 2 3" xfId="8507" xr:uid="{12EEC180-6CEF-4703-BCDF-B537E77651D3}"/>
    <cellStyle name="Input 3 3 4 3 2 4" xfId="10211" xr:uid="{1B3C8CCF-2C82-4EC4-B503-2917DD8408EC}"/>
    <cellStyle name="Input 3 3 4 3 2 5" xfId="11707" xr:uid="{63D77A37-E773-4767-B921-FE06C025917B}"/>
    <cellStyle name="Input 3 3 4 3 2 6" xfId="13184" xr:uid="{1E65BB72-306C-47CE-8971-E8B0E8128156}"/>
    <cellStyle name="Input 3 3 4 3 2 7" xfId="14854" xr:uid="{D2EE236B-3BCE-41EA-A3CA-58504554167A}"/>
    <cellStyle name="Input 3 3 4 3 2 8" xfId="16524" xr:uid="{A037CB39-CAFC-4524-85B4-4A862115125B}"/>
    <cellStyle name="Input 3 3 4 3 3" xfId="6317" xr:uid="{E9BB4017-491E-4138-81BD-11039CEB573F}"/>
    <cellStyle name="Input 3 3 4 3 4" xfId="7544" xr:uid="{C163A4EE-9101-4EB9-90D0-4E6CA23AD738}"/>
    <cellStyle name="Input 3 3 4 3 5" xfId="9232" xr:uid="{F88D7E0A-E52D-48D5-AFA9-B8C141D345A6}"/>
    <cellStyle name="Input 3 3 4 3 6" xfId="10946" xr:uid="{B9AF9E93-2CCA-45D7-90D0-CDAB96A34DA5}"/>
    <cellStyle name="Input 3 3 4 3 7" xfId="12223" xr:uid="{6486CDA6-78F2-44C7-86B3-AA166655054B}"/>
    <cellStyle name="Input 3 3 4 3 8" xfId="13875" xr:uid="{C383E0DC-22A6-4840-A328-1E35D66191AC}"/>
    <cellStyle name="Input 3 3 4 3 9" xfId="15563" xr:uid="{63E4F77F-0879-4A15-8819-30D58589BB89}"/>
    <cellStyle name="Input 3 3 4 4" xfId="6376" xr:uid="{37CF41F8-7A3F-45C5-A220-7AB7F0E4CEFC}"/>
    <cellStyle name="Input 3 3 5" xfId="3300" xr:uid="{021BFE07-3EC3-473B-96D0-61579EC374C0}"/>
    <cellStyle name="Input 3 3 5 2" xfId="4180" xr:uid="{DDF93F72-E774-4B79-8051-26074DA8081D}"/>
    <cellStyle name="Input 3 3 5 2 2" xfId="4968" xr:uid="{373E3E6E-D2F3-4B33-9EE6-E91022E69E93}"/>
    <cellStyle name="Input 3 3 5 2 2 2" xfId="7463" xr:uid="{142E6764-82BF-4CED-8453-40E6B719344B}"/>
    <cellStyle name="Input 3 3 5 2 2 3" xfId="8874" xr:uid="{A03916FD-8322-4D8A-846F-EEFEE540F0F8}"/>
    <cellStyle name="Input 3 3 5 2 2 4" xfId="10585" xr:uid="{BD59F6D3-3B5C-4A29-815F-F87E1B946A8D}"/>
    <cellStyle name="Input 3 3 5 2 2 5" xfId="12081" xr:uid="{BCBFF6FC-53F3-494C-ACFA-60F5526EF02A}"/>
    <cellStyle name="Input 3 3 5 2 2 6" xfId="13551" xr:uid="{5AF5892B-3677-409C-BF60-10BD5762BB9D}"/>
    <cellStyle name="Input 3 3 5 2 2 7" xfId="15228" xr:uid="{03773465-664B-41DF-9FF2-49D2FBB47913}"/>
    <cellStyle name="Input 3 3 5 2 2 8" xfId="16891" xr:uid="{949600E2-D8FD-44B8-A25D-01C0BEC1C558}"/>
    <cellStyle name="Input 3 3 5 2 3" xfId="6743" xr:uid="{5874146F-A77B-4633-9C3C-37F2A7895B1B}"/>
    <cellStyle name="Input 3 3 5 2 4" xfId="8104" xr:uid="{F8DA8B61-D44F-4F11-B8F8-ED4EF645402E}"/>
    <cellStyle name="Input 3 3 5 2 5" xfId="9799" xr:uid="{6ACD77B1-81EF-4506-BCC7-63CD334DC61C}"/>
    <cellStyle name="Input 3 3 5 2 6" xfId="11371" xr:uid="{E93F4A40-CE13-435D-803D-7F7D2E58B12F}"/>
    <cellStyle name="Input 3 3 5 2 7" xfId="12783" xr:uid="{AF46CB51-D175-46AB-B40F-7465BBEFD203}"/>
    <cellStyle name="Input 3 3 5 2 8" xfId="14442" xr:uid="{F2CDF077-7C9A-459E-BFE3-35E5C2391764}"/>
    <cellStyle name="Input 3 3 5 2 9" xfId="16123" xr:uid="{5F72BA2A-B050-49D2-B98D-4A771D69EF96}"/>
    <cellStyle name="Input 3 3 5 3" xfId="3741" xr:uid="{3AFC223C-0D6A-49EB-A0BF-9773B25A44BB}"/>
    <cellStyle name="Input 3 3 5 3 2" xfId="4681" xr:uid="{87CD4C96-621E-4FAA-8A45-D8205FDCC4A3}"/>
    <cellStyle name="Input 3 3 5 3 2 2" xfId="7176" xr:uid="{192303AA-CCA0-4E85-B50D-AE55BC1037B3}"/>
    <cellStyle name="Input 3 3 5 3 2 3" xfId="8594" xr:uid="{B74D1351-290B-4BCD-99A4-A0A546F28A4D}"/>
    <cellStyle name="Input 3 3 5 3 2 4" xfId="10298" xr:uid="{DAEA4C8D-AB3A-4C5A-A15C-7F141B263466}"/>
    <cellStyle name="Input 3 3 5 3 2 5" xfId="11794" xr:uid="{3474EF00-722D-43A7-A9E5-16E846D4E68A}"/>
    <cellStyle name="Input 3 3 5 3 2 6" xfId="13271" xr:uid="{63AD85E9-C3E9-466F-BB35-618EE6BED22A}"/>
    <cellStyle name="Input 3 3 5 3 2 7" xfId="14941" xr:uid="{BE7CB65B-4660-4C2C-973D-FA802FAFA879}"/>
    <cellStyle name="Input 3 3 5 3 2 8" xfId="16611" xr:uid="{525D8DA5-187C-4961-B6FB-54F2A8FA0CEF}"/>
    <cellStyle name="Input 3 3 5 3 3" xfId="6416" xr:uid="{C242FC3D-306D-4510-98B6-36B4B93CB211}"/>
    <cellStyle name="Input 3 3 5 3 4" xfId="7672" xr:uid="{B87B0449-ACD3-4680-A14F-5047051473B0}"/>
    <cellStyle name="Input 3 3 5 3 5" xfId="9360" xr:uid="{39C30BB0-2BFB-47C7-9038-B7ADE0ADF377}"/>
    <cellStyle name="Input 3 3 5 3 6" xfId="11044" xr:uid="{E56C4F1E-6CC9-4E85-97BB-D0AA016E35A2}"/>
    <cellStyle name="Input 3 3 5 3 7" xfId="12351" xr:uid="{EEBD894B-2269-4216-9D78-AE54DCE50596}"/>
    <cellStyle name="Input 3 3 5 3 8" xfId="14003" xr:uid="{FE5859C7-FA63-47A6-9F32-F57E7AC5D051}"/>
    <cellStyle name="Input 3 3 5 3 9" xfId="15691" xr:uid="{72738EF2-391F-4037-8CD9-BC8189932AA5}"/>
    <cellStyle name="Input 3 3 5 4" xfId="8963" xr:uid="{8788C9B7-E668-463A-89F7-09A237FD4EA4}"/>
    <cellStyle name="Input 3 3 6" xfId="3193" xr:uid="{DEBA9F1F-78B2-44BF-B5EF-815A89AD70CD}"/>
    <cellStyle name="Input 3 3 6 10" xfId="10799" xr:uid="{182D9C60-1E95-4B04-B054-6F15C2F43540}"/>
    <cellStyle name="Input 3 3 6 2" xfId="4073" xr:uid="{161EBDA1-4151-4F9B-90F3-639761CDFA5B}"/>
    <cellStyle name="Input 3 3 6 2 2" xfId="4895" xr:uid="{2A0A52B6-BDAA-430E-B2D6-5455E5A2DFBF}"/>
    <cellStyle name="Input 3 3 6 2 2 2" xfId="7390" xr:uid="{701890D1-7A28-4863-9974-CFE894A8E8CF}"/>
    <cellStyle name="Input 3 3 6 2 2 3" xfId="8802" xr:uid="{91F3D277-AFA9-49B5-8462-960E951A7212}"/>
    <cellStyle name="Input 3 3 6 2 2 4" xfId="10512" xr:uid="{BB2C8DC8-255A-4A5B-974F-80759AD21EED}"/>
    <cellStyle name="Input 3 3 6 2 2 5" xfId="12008" xr:uid="{75C40440-4DDB-4740-82FF-02398EABE8EE}"/>
    <cellStyle name="Input 3 3 6 2 2 6" xfId="13479" xr:uid="{EE2E8D4C-D36D-47A6-B7C6-5B3BEA15DBD2}"/>
    <cellStyle name="Input 3 3 6 2 2 7" xfId="15155" xr:uid="{C5909942-BDBC-4A39-BF45-B0306AB96B54}"/>
    <cellStyle name="Input 3 3 6 2 2 8" xfId="16819" xr:uid="{34AACF8C-A8DD-4CBA-B486-C0E4C29C258C}"/>
    <cellStyle name="Input 3 3 6 2 3" xfId="6662" xr:uid="{AAFA36A8-F89F-496D-9FFE-7AA5E575575A}"/>
    <cellStyle name="Input 3 3 6 2 4" xfId="7998" xr:uid="{97E9CEF9-C134-4FF0-9EBF-21D7D154B970}"/>
    <cellStyle name="Input 3 3 6 2 5" xfId="9692" xr:uid="{E76C1121-DA5B-4A85-BAB4-697C4A5D6DCF}"/>
    <cellStyle name="Input 3 3 6 2 6" xfId="11289" xr:uid="{B2E1DC87-E581-41BF-8362-83FEB00590B1}"/>
    <cellStyle name="Input 3 3 6 2 7" xfId="12677" xr:uid="{997C71DF-E2D6-4A42-9AB5-CC2630D544AE}"/>
    <cellStyle name="Input 3 3 6 2 8" xfId="14335" xr:uid="{CE1361BE-FEE8-4A4A-835D-4F1D34ACF867}"/>
    <cellStyle name="Input 3 3 6 2 9" xfId="16017" xr:uid="{4FF4CC90-AC02-4790-93AD-0B6C4A15E28A}"/>
    <cellStyle name="Input 3 3 6 3" xfId="3635" xr:uid="{8E88973C-EB86-4A18-9758-762D5A99EFD0}"/>
    <cellStyle name="Input 3 3 6 3 2" xfId="4609" xr:uid="{223D38DE-9310-4E8A-8F92-08E6D2D5228A}"/>
    <cellStyle name="Input 3 3 6 3 2 2" xfId="7104" xr:uid="{F72BE906-ECC9-49BC-AD38-ECB95F744E0E}"/>
    <cellStyle name="Input 3 3 6 3 2 3" xfId="8522" xr:uid="{F7CCF359-5ED1-429E-B3F4-35D0D5C7EC57}"/>
    <cellStyle name="Input 3 3 6 3 2 4" xfId="10226" xr:uid="{BF8C6764-35D5-474E-B074-71B9DEB2B5B5}"/>
    <cellStyle name="Input 3 3 6 3 2 5" xfId="11722" xr:uid="{B12DA4B9-5CE6-4994-97F6-74BAFDB86ED5}"/>
    <cellStyle name="Input 3 3 6 3 2 6" xfId="13199" xr:uid="{55B81855-F26D-4BD7-A45F-FB98058F96C2}"/>
    <cellStyle name="Input 3 3 6 3 2 7" xfId="14869" xr:uid="{3DF06CDB-DBE1-4A4D-81F2-D3144E51F7CF}"/>
    <cellStyle name="Input 3 3 6 3 2 8" xfId="16539" xr:uid="{BAC0DBE1-849B-4D5E-B068-F1DDC4482948}"/>
    <cellStyle name="Input 3 3 6 3 3" xfId="6335" xr:uid="{4C047950-9932-4CFE-9E23-CB09AD86B17F}"/>
    <cellStyle name="Input 3 3 6 3 4" xfId="7566" xr:uid="{02133E95-D936-48B9-9B3E-471CD562E28E}"/>
    <cellStyle name="Input 3 3 6 3 5" xfId="9254" xr:uid="{D98FC01E-FB58-407A-8C70-F8CE02972004}"/>
    <cellStyle name="Input 3 3 6 3 6" xfId="10962" xr:uid="{25091FCB-A7C0-429E-B616-BF7F9AA2827F}"/>
    <cellStyle name="Input 3 3 6 3 7" xfId="12245" xr:uid="{921FB784-F1D4-4927-8F24-6B75BF70B451}"/>
    <cellStyle name="Input 3 3 6 3 8" xfId="13897" xr:uid="{AECA0F99-2D9D-4E87-A3F9-AE06FCC1A161}"/>
    <cellStyle name="Input 3 3 6 3 9" xfId="15585" xr:uid="{9218CF72-2485-4DC7-9CF0-3EC6565EFBED}"/>
    <cellStyle name="Input 3 3 6 4" xfId="4354" xr:uid="{80FA19CE-EF6C-429B-BFDD-7C3C946E48D4}"/>
    <cellStyle name="Input 3 3 6 4 2" xfId="6871" xr:uid="{13C19E5B-4910-4768-9508-4DDCCF1E0B8E}"/>
    <cellStyle name="Input 3 3 6 4 3" xfId="8273" xr:uid="{EA97886C-5BE9-4375-8B35-FA7B605D5B7E}"/>
    <cellStyle name="Input 3 3 6 4 4" xfId="9971" xr:uid="{B1BB29C2-20A9-44D9-93B3-A8DF52C06DD3}"/>
    <cellStyle name="Input 3 3 6 4 5" xfId="11490" xr:uid="{88ED1862-E983-4ED9-AD20-087720452D91}"/>
    <cellStyle name="Input 3 3 6 4 6" xfId="12950" xr:uid="{7CBD3379-DC9C-42EF-AEF5-F0343F714485}"/>
    <cellStyle name="Input 3 3 6 4 7" xfId="14614" xr:uid="{59F87109-CB25-47C2-8F52-3D0DE6675499}"/>
    <cellStyle name="Input 3 3 6 4 8" xfId="16290" xr:uid="{F9E3DAD7-D1D4-4859-B3BC-E37B8C3D1FC2}"/>
    <cellStyle name="Input 3 3 6 5" xfId="6020" xr:uid="{AD80EE81-C0B6-4EA8-BBD6-CAB35CB2101E}"/>
    <cellStyle name="Input 3 3 6 6" xfId="5234" xr:uid="{47A45170-84C3-4CE1-B50C-38C32ED95D43}"/>
    <cellStyle name="Input 3 3 6 7" xfId="10666" xr:uid="{0491EC41-D5C5-42DA-8C0A-9F0B40C05354}"/>
    <cellStyle name="Input 3 3 6 8" xfId="5026" xr:uid="{177717E8-B172-4C7D-AA89-64A8B327D421}"/>
    <cellStyle name="Input 3 3 6 9" xfId="5221" xr:uid="{1A61DE23-42D6-48DF-B541-ED679B5DDFCE}"/>
    <cellStyle name="Input 3 3 7" xfId="3176" xr:uid="{1A5283F2-21DF-4710-9ACE-10DF8C35041A}"/>
    <cellStyle name="Input 3 3 7 10" xfId="5783" xr:uid="{BFEF09EA-D14D-4BC9-8296-B8EA6DF6E584}"/>
    <cellStyle name="Input 3 3 7 2" xfId="4056" xr:uid="{9556CAFF-4B88-4DF6-A977-5F38A6A55183}"/>
    <cellStyle name="Input 3 3 7 2 2" xfId="4883" xr:uid="{41E1AB5F-0F39-4821-A0D1-013A2E895C8D}"/>
    <cellStyle name="Input 3 3 7 2 2 2" xfId="7378" xr:uid="{E0412E8B-E1E5-457A-8CF7-58D6361B9544}"/>
    <cellStyle name="Input 3 3 7 2 2 3" xfId="8790" xr:uid="{E0622FB7-4815-40E7-B8D6-652496855700}"/>
    <cellStyle name="Input 3 3 7 2 2 4" xfId="10500" xr:uid="{70A29089-843B-47E8-8805-8047CF530F0A}"/>
    <cellStyle name="Input 3 3 7 2 2 5" xfId="11996" xr:uid="{9B8F45A6-998C-4790-9D5B-AF2B6179918D}"/>
    <cellStyle name="Input 3 3 7 2 2 6" xfId="13467" xr:uid="{1864D680-A15C-4D8E-9B04-B729ED201FF7}"/>
    <cellStyle name="Input 3 3 7 2 2 7" xfId="15143" xr:uid="{40C6D95B-094E-454C-B768-76D53AD7CAAD}"/>
    <cellStyle name="Input 3 3 7 2 2 8" xfId="16807" xr:uid="{8B96AA7E-8568-4C8E-925B-434FE523302E}"/>
    <cellStyle name="Input 3 3 7 2 3" xfId="6649" xr:uid="{FDBC56B9-D866-4D06-A783-B41188420CE1}"/>
    <cellStyle name="Input 3 3 7 2 4" xfId="7981" xr:uid="{17912FA4-8E2D-4700-8226-ABF78A34625E}"/>
    <cellStyle name="Input 3 3 7 2 5" xfId="9675" xr:uid="{19D9F216-EBF6-4777-99B2-6C90C2DE42CD}"/>
    <cellStyle name="Input 3 3 7 2 6" xfId="11276" xr:uid="{0B1FD0EC-E979-4836-95E8-61E70BBB891A}"/>
    <cellStyle name="Input 3 3 7 2 7" xfId="12660" xr:uid="{836B4269-215C-4C91-87CF-8974A3AE0091}"/>
    <cellStyle name="Input 3 3 7 2 8" xfId="14318" xr:uid="{5E9D63C4-A9A5-4C18-B406-71064FF6E8CA}"/>
    <cellStyle name="Input 3 3 7 2 9" xfId="16000" xr:uid="{40D49656-1ECB-4D6E-8DA0-2F913A0CB240}"/>
    <cellStyle name="Input 3 3 7 3" xfId="3618" xr:uid="{485CD76A-3780-499E-B6E7-F874D8B80D3A}"/>
    <cellStyle name="Input 3 3 7 3 2" xfId="4597" xr:uid="{5ACF8FEA-39C2-45C3-8C52-6C9F432C51CE}"/>
    <cellStyle name="Input 3 3 7 3 2 2" xfId="7092" xr:uid="{2CE2AFFE-2EB0-4B36-B6FF-DFD025759379}"/>
    <cellStyle name="Input 3 3 7 3 2 3" xfId="8510" xr:uid="{70EB7272-33CA-4956-9252-977999B83494}"/>
    <cellStyle name="Input 3 3 7 3 2 4" xfId="10214" xr:uid="{AAE727D9-05D0-4EA2-8CEB-564E5E0264CF}"/>
    <cellStyle name="Input 3 3 7 3 2 5" xfId="11710" xr:uid="{55F7493C-1D01-434C-B423-EC5C60B46B41}"/>
    <cellStyle name="Input 3 3 7 3 2 6" xfId="13187" xr:uid="{AB2F1DCC-E2F0-4035-95DB-EF541C623EE8}"/>
    <cellStyle name="Input 3 3 7 3 2 7" xfId="14857" xr:uid="{9BB2792F-9AD5-4ECA-82B2-C7F2E07010E3}"/>
    <cellStyle name="Input 3 3 7 3 2 8" xfId="16527" xr:uid="{BA7D98AF-E3D3-4FAF-877B-F91DFF889D44}"/>
    <cellStyle name="Input 3 3 7 3 3" xfId="6322" xr:uid="{2C9DBA0D-145F-4B92-9876-B45F660BA9A1}"/>
    <cellStyle name="Input 3 3 7 3 4" xfId="7549" xr:uid="{7D11260B-24D7-44EE-8422-88444B8458AC}"/>
    <cellStyle name="Input 3 3 7 3 5" xfId="9237" xr:uid="{DE0800D9-DD7F-48E5-A4C5-8ECDE2032264}"/>
    <cellStyle name="Input 3 3 7 3 6" xfId="10949" xr:uid="{5040F1E5-6CB6-4920-A7EE-13A489EAD4DB}"/>
    <cellStyle name="Input 3 3 7 3 7" xfId="12228" xr:uid="{0E7CE91E-5C98-4F6A-97F1-2CC011FC969A}"/>
    <cellStyle name="Input 3 3 7 3 8" xfId="13880" xr:uid="{A094A2EB-977A-4062-9015-ED05B9F9ED9E}"/>
    <cellStyle name="Input 3 3 7 3 9" xfId="15568" xr:uid="{AC580DA3-1E4D-412C-AE65-E23F0F1BC35C}"/>
    <cellStyle name="Input 3 3 7 4" xfId="4342" xr:uid="{65A12CDF-7972-4A03-8F80-C062E8DBC857}"/>
    <cellStyle name="Input 3 3 7 4 2" xfId="6861" xr:uid="{A9561241-AA69-4CFE-9C3F-5AEDEEEAA0F9}"/>
    <cellStyle name="Input 3 3 7 4 3" xfId="8261" xr:uid="{25842E9D-F007-4192-B5B5-06D7F4C96AAE}"/>
    <cellStyle name="Input 3 3 7 4 4" xfId="9959" xr:uid="{BD88C824-A178-44AE-A5A5-4CFE3FC654BE}"/>
    <cellStyle name="Input 3 3 7 4 5" xfId="11480" xr:uid="{270C7171-EE84-4E7B-A204-45B54C9AA309}"/>
    <cellStyle name="Input 3 3 7 4 6" xfId="12938" xr:uid="{DED2309D-71D5-44D6-9D24-A31CB77CC4CF}"/>
    <cellStyle name="Input 3 3 7 4 7" xfId="14602" xr:uid="{D2E21493-300D-469E-80BA-2EF8B621EC7B}"/>
    <cellStyle name="Input 3 3 7 4 8" xfId="16278" xr:uid="{1B881707-BF3E-4653-8022-354DB5DD077B}"/>
    <cellStyle name="Input 3 3 7 5" xfId="6006" xr:uid="{3B863FBF-02A5-4B9E-A5C4-B9BEB54661CB}"/>
    <cellStyle name="Input 3 3 7 6" xfId="5772" xr:uid="{3687FD62-5F69-44B9-BD0C-9ED1D87BFCDC}"/>
    <cellStyle name="Input 3 3 7 7" xfId="10653" xr:uid="{9E4A24D0-E2D4-44E3-BB01-76A07C67F38C}"/>
    <cellStyle name="Input 3 3 7 8" xfId="5040" xr:uid="{C16BF568-C9CA-44D6-8E23-DB5235BF5874}"/>
    <cellStyle name="Input 3 3 7 9" xfId="10644" xr:uid="{3B5E0C7C-1351-4B75-AD8A-D2C82D8BAFEF}"/>
    <cellStyle name="Input 3 3 8" xfId="3361" xr:uid="{A9F2C055-FA00-4E34-9EFA-62FA1EB06BBE}"/>
    <cellStyle name="Input 3 3 8 10" xfId="15318" xr:uid="{4B0AE9A4-C3CE-4FDF-A280-F020C62044B8}"/>
    <cellStyle name="Input 3 3 8 2" xfId="4241" xr:uid="{D68900BA-F4F6-43A4-B755-2229B617D270}"/>
    <cellStyle name="Input 3 3 8 2 2" xfId="4997" xr:uid="{E00A3316-61DB-4DFA-8303-F1949B42742E}"/>
    <cellStyle name="Input 3 3 8 2 2 2" xfId="7492" xr:uid="{123D01A0-25D0-46DF-B00C-04FFD1D86039}"/>
    <cellStyle name="Input 3 3 8 2 2 3" xfId="8902" xr:uid="{712301E4-B6C3-4400-8AAC-D0EAE9F591D1}"/>
    <cellStyle name="Input 3 3 8 2 2 4" xfId="10614" xr:uid="{561EEB7F-C2DF-4B08-9BC1-5F0751A71BE3}"/>
    <cellStyle name="Input 3 3 8 2 2 5" xfId="12110" xr:uid="{9C4DF0B2-C28F-4F6D-A4EE-A40F05719726}"/>
    <cellStyle name="Input 3 3 8 2 2 6" xfId="13579" xr:uid="{A49C8E1C-9F7A-4DF6-952C-EB4022952B52}"/>
    <cellStyle name="Input 3 3 8 2 2 7" xfId="15257" xr:uid="{97EF8C1F-1E5C-43DB-9D99-BC71907A5DB6}"/>
    <cellStyle name="Input 3 3 8 2 2 8" xfId="16919" xr:uid="{3D3330C0-4F39-4A9C-B0D6-4684C7B78370}"/>
    <cellStyle name="Input 3 3 8 2 3" xfId="6783" xr:uid="{679B1E2C-A1F9-43C9-81A8-A7FA80E845FD}"/>
    <cellStyle name="Input 3 3 8 2 4" xfId="8164" xr:uid="{6E4BC44A-DBF1-46DA-BAA9-3F9315542320}"/>
    <cellStyle name="Input 3 3 8 2 5" xfId="9860" xr:uid="{ABB191A3-9F05-40D7-BC0E-143D73630A38}"/>
    <cellStyle name="Input 3 3 8 2 6" xfId="11403" xr:uid="{1793AB4D-6C1A-4BF9-A405-6B3F37442DEF}"/>
    <cellStyle name="Input 3 3 8 2 7" xfId="12843" xr:uid="{BB8BE59B-5D3B-4A2C-93D1-684254F43FFE}"/>
    <cellStyle name="Input 3 3 8 2 8" xfId="14503" xr:uid="{B025F1E1-ADC6-4CDE-97FC-443C5C17E4F8}"/>
    <cellStyle name="Input 3 3 8 2 9" xfId="16183" xr:uid="{00CE519C-67EC-4A0C-ADC6-9CBD11EBC6F9}"/>
    <cellStyle name="Input 3 3 8 3" xfId="3801" xr:uid="{ABD15B07-72BE-4B43-8F21-23699088D4B2}"/>
    <cellStyle name="Input 3 3 8 3 2" xfId="4709" xr:uid="{F9CC416B-F04B-4538-AC61-0A30AA9BD616}"/>
    <cellStyle name="Input 3 3 8 3 2 2" xfId="7204" xr:uid="{8FC0446D-8008-4CD0-B86B-4FECF818A6CA}"/>
    <cellStyle name="Input 3 3 8 3 2 3" xfId="8622" xr:uid="{D6E67A2D-8AB6-442E-956E-60FB7E5C14EB}"/>
    <cellStyle name="Input 3 3 8 3 2 4" xfId="10326" xr:uid="{20481FE4-DB5A-4555-9A4D-6EFE12BC0A2C}"/>
    <cellStyle name="Input 3 3 8 3 2 5" xfId="11822" xr:uid="{29C751EA-5545-4D0A-B3D5-318595D52DA8}"/>
    <cellStyle name="Input 3 3 8 3 2 6" xfId="13299" xr:uid="{42C398E8-07C5-49E1-ACCD-41D59519B80F}"/>
    <cellStyle name="Input 3 3 8 3 2 7" xfId="14969" xr:uid="{EF91AC1F-F168-4AF3-A756-4E2AD577B8BA}"/>
    <cellStyle name="Input 3 3 8 3 2 8" xfId="16639" xr:uid="{3C166DED-E2EF-40F8-972B-B8376E3760F1}"/>
    <cellStyle name="Input 3 3 8 3 3" xfId="6454" xr:uid="{BE9B9992-1F65-43D2-AA4E-49BCE95EA4E1}"/>
    <cellStyle name="Input 3 3 8 3 4" xfId="7732" xr:uid="{0187E9F4-28EB-4108-B832-E637FDD84F6C}"/>
    <cellStyle name="Input 3 3 8 3 5" xfId="9420" xr:uid="{86985E10-CA32-497C-85E6-0D6B11FE8BED}"/>
    <cellStyle name="Input 3 3 8 3 6" xfId="11083" xr:uid="{C848CA64-DDB3-4877-80E3-532CA27C7E5A}"/>
    <cellStyle name="Input 3 3 8 3 7" xfId="12411" xr:uid="{1E35F2EA-4A0C-40D5-95A0-5186880A8429}"/>
    <cellStyle name="Input 3 3 8 3 8" xfId="14063" xr:uid="{5016FFAA-BE96-477E-8D61-2DE16AA1863C}"/>
    <cellStyle name="Input 3 3 8 3 9" xfId="15751" xr:uid="{C78C4007-9270-4D97-BA10-574037762754}"/>
    <cellStyle name="Input 3 3 8 4" xfId="4417" xr:uid="{1BD21DDD-07E8-44B0-AD9F-F13982AD7263}"/>
    <cellStyle name="Input 3 3 8 4 2" xfId="6918" xr:uid="{89E5B73C-D6EE-49F0-B941-15611E3DD5F6}"/>
    <cellStyle name="Input 3 3 8 4 3" xfId="8334" xr:uid="{7DE998AC-D96C-49BF-8A8E-FFF76196E7D8}"/>
    <cellStyle name="Input 3 3 8 4 4" xfId="10034" xr:uid="{0999E249-6737-45D7-89DF-0D59FFA4BBC8}"/>
    <cellStyle name="Input 3 3 8 4 5" xfId="11535" xr:uid="{05F057E7-6E01-459E-BA04-53197CABF98A}"/>
    <cellStyle name="Input 3 3 8 4 6" xfId="13011" xr:uid="{FA2123E4-70D0-48CC-9EF1-BD2C0B2CC7B3}"/>
    <cellStyle name="Input 3 3 8 4 7" xfId="14677" xr:uid="{0423CDB9-139E-4A01-8713-0FA87C09EB6B}"/>
    <cellStyle name="Input 3 3 8 4 8" xfId="16351" xr:uid="{D781A926-19FE-4BDE-8779-17FF13D72D31}"/>
    <cellStyle name="Input 3 3 8 5" xfId="6119" xr:uid="{B75C3900-3890-48AB-8C72-066FA89D23A8}"/>
    <cellStyle name="Input 3 3 8 6" xfId="5652" xr:uid="{EF38FE3E-B5A0-42F4-BA07-32ECFB055928}"/>
    <cellStyle name="Input 3 3 8 7" xfId="10751" xr:uid="{C226C46F-704F-4A7E-8AEE-3330E15F528A}"/>
    <cellStyle name="Input 3 3 8 8" xfId="6650" xr:uid="{30C3B8D6-726C-44F3-8BBB-2AFD0EB1E508}"/>
    <cellStyle name="Input 3 3 8 9" xfId="13627" xr:uid="{866AB2C8-3CD6-474A-98ED-5D35BD573061}"/>
    <cellStyle name="Input 3 3 9" xfId="3858" xr:uid="{5D1696B3-469C-434A-BBE5-4A2FA5DF954A}"/>
    <cellStyle name="Input 3 3 9 2" xfId="4753" xr:uid="{A4FB01A6-39C9-4E9B-ACAA-ECF5794D14EB}"/>
    <cellStyle name="Input 3 3 9 2 2" xfId="7248" xr:uid="{51EEBFEC-DEBF-4E77-9009-912B7095B20E}"/>
    <cellStyle name="Input 3 3 9 2 3" xfId="8664" xr:uid="{11A582CF-8771-4FAD-B2C1-BB1A2D079B1F}"/>
    <cellStyle name="Input 3 3 9 2 4" xfId="10370" xr:uid="{DC827601-03E4-49B0-8C62-DE6FAB973852}"/>
    <cellStyle name="Input 3 3 9 2 5" xfId="11866" xr:uid="{8DE0842A-7FAB-43FD-B77A-BE5BF0AAF202}"/>
    <cellStyle name="Input 3 3 9 2 6" xfId="13341" xr:uid="{351B878F-6E9B-4FB2-A353-F29BD5CCD9EE}"/>
    <cellStyle name="Input 3 3 9 2 7" xfId="15013" xr:uid="{81F83FC8-91E5-4C45-B429-737FF2D58CA1}"/>
    <cellStyle name="Input 3 3 9 2 8" xfId="16681" xr:uid="{C583C0D3-EEEF-48AC-B70C-1C82DF482EEE}"/>
    <cellStyle name="Input 3 3 9 3" xfId="6501" xr:uid="{F53AC64F-1F31-446C-B1E0-DACEA5198DBB}"/>
    <cellStyle name="Input 3 3 9 4" xfId="7787" xr:uid="{6517C752-CCC2-421D-A93D-A59E26B75981}"/>
    <cellStyle name="Input 3 3 9 5" xfId="9477" xr:uid="{575002EE-CAA2-41F6-B652-71014F4A1C71}"/>
    <cellStyle name="Input 3 3 9 6" xfId="11131" xr:uid="{5AD7CF67-6AB1-460F-823F-4757C190A786}"/>
    <cellStyle name="Input 3 3 9 7" xfId="12466" xr:uid="{D879A690-EC0B-4A25-9D70-5786CDB8E05C}"/>
    <cellStyle name="Input 3 3 9 8" xfId="14120" xr:uid="{A262E458-680B-41C8-9852-E241254AEFFA}"/>
    <cellStyle name="Input 3 3 9 9" xfId="15806" xr:uid="{9CFB1C4E-DB8A-40F7-BD44-1A2032B4B1ED}"/>
    <cellStyle name="Input 3 4" xfId="3066" xr:uid="{775D6A11-280E-4EC6-BB9C-16DB61F18C46}"/>
    <cellStyle name="Input 3 4 2" xfId="3946" xr:uid="{34605133-C811-44B1-B01D-47B8A138AA1C}"/>
    <cellStyle name="Input 3 4 2 2" xfId="4811" xr:uid="{0FE8B1D4-AC2C-4E64-A787-ED5C51A34451}"/>
    <cellStyle name="Input 3 4 2 2 2" xfId="7306" xr:uid="{9C96BB2D-3CA5-4EA4-9BE1-4935740A3897}"/>
    <cellStyle name="Input 3 4 2 2 3" xfId="8720" xr:uid="{AA68F10B-DD4B-475A-988C-2A273BA37653}"/>
    <cellStyle name="Input 3 4 2 2 4" xfId="10428" xr:uid="{DD5A972D-982A-43B6-A32A-CEF9D8C563D4}"/>
    <cellStyle name="Input 3 4 2 2 5" xfId="11924" xr:uid="{C142D49D-7895-4E5A-93F5-DD9953ABB417}"/>
    <cellStyle name="Input 3 4 2 2 6" xfId="13397" xr:uid="{86AC0DAA-FD3E-47E7-9F2C-79B36A92B930}"/>
    <cellStyle name="Input 3 4 2 2 7" xfId="15071" xr:uid="{8FD9988A-6212-4D90-950D-23BD4BCC6585}"/>
    <cellStyle name="Input 3 4 2 2 8" xfId="16737" xr:uid="{30FE59E4-4592-42BD-A715-49673F112D5F}"/>
    <cellStyle name="Input 3 4 2 3" xfId="6568" xr:uid="{D906D801-2B66-4D42-A13D-6AEFD8A8A4F4}"/>
    <cellStyle name="Input 3 4 2 4" xfId="7873" xr:uid="{1C140CC3-5786-4227-BA9B-9328341EB1C9}"/>
    <cellStyle name="Input 3 4 2 5" xfId="9565" xr:uid="{38F529E2-A129-4355-83FF-218F550CA917}"/>
    <cellStyle name="Input 3 4 2 6" xfId="11198" xr:uid="{572EF940-DED4-4727-89F7-59E294E52FB6}"/>
    <cellStyle name="Input 3 4 2 7" xfId="12552" xr:uid="{AE16CD51-A3E2-42DB-8728-0E88467824C0}"/>
    <cellStyle name="Input 3 4 2 8" xfId="14208" xr:uid="{723722CE-C71A-4D58-B819-2D32100FBFA5}"/>
    <cellStyle name="Input 3 4 2 9" xfId="15892" xr:uid="{AC777F90-D2AF-4B47-B0A5-3CAAE9D87F44}"/>
    <cellStyle name="Input 3 4 3" xfId="3508" xr:uid="{65ABCA5D-E79A-44B8-86D9-DE4014C65BD4}"/>
    <cellStyle name="Input 3 4 3 2" xfId="4525" xr:uid="{2779DCC2-3E92-4B6F-8120-24B54400E8EB}"/>
    <cellStyle name="Input 3 4 3 2 2" xfId="7020" xr:uid="{8648D17A-2DC9-4B22-9962-980CD26ACC93}"/>
    <cellStyle name="Input 3 4 3 2 3" xfId="8440" xr:uid="{D52E133B-AD85-406D-B5C6-1F685CE7B301}"/>
    <cellStyle name="Input 3 4 3 2 4" xfId="10142" xr:uid="{E57C050A-F45B-45DC-8316-95633988E353}"/>
    <cellStyle name="Input 3 4 3 2 5" xfId="11638" xr:uid="{5463C5CC-71AD-4485-B089-5FC7902DF294}"/>
    <cellStyle name="Input 3 4 3 2 6" xfId="13117" xr:uid="{B93F101E-4E2E-462D-8BCD-F42349706C18}"/>
    <cellStyle name="Input 3 4 3 2 7" xfId="14785" xr:uid="{80CFBD08-F26D-4036-8B67-A26518F24F02}"/>
    <cellStyle name="Input 3 4 3 2 8" xfId="16457" xr:uid="{FF83959D-8535-4200-A90E-92CF2984FC86}"/>
    <cellStyle name="Input 3 4 3 3" xfId="6238" xr:uid="{A6ECEFFA-9CEB-413B-BD58-2CB9BBCF0B28}"/>
    <cellStyle name="Input 3 4 3 4" xfId="5149" xr:uid="{B1EC8563-8182-4FE7-90D3-D2CEEC36FBFF}"/>
    <cellStyle name="Input 3 4 3 5" xfId="9127" xr:uid="{9BAEF30B-B4CB-4CFB-BB8E-E1605DEFD3D7}"/>
    <cellStyle name="Input 3 4 3 6" xfId="10869" xr:uid="{3305C1D0-0DFE-4A02-B631-C1E6ADAE8CC8}"/>
    <cellStyle name="Input 3 4 3 7" xfId="5525" xr:uid="{895D4757-702B-40D7-A98A-4A708091970A}"/>
    <cellStyle name="Input 3 4 3 8" xfId="13770" xr:uid="{D06E9154-D0AE-4186-90EB-0CAB060F8C54}"/>
    <cellStyle name="Input 3 4 3 9" xfId="15460" xr:uid="{AC868EBF-BA38-4592-B589-4A84B802CBDA}"/>
    <cellStyle name="Input 3 4 4" xfId="6074" xr:uid="{8D0AA292-712C-4EF1-8E21-B2A70B5EF303}"/>
    <cellStyle name="Input 3 5" xfId="3217" xr:uid="{E0009A0B-755B-4F21-9FCB-0AE747266852}"/>
    <cellStyle name="Input 3 5 10" xfId="10926" xr:uid="{07128EB0-B592-43C6-805C-1D758CF997AC}"/>
    <cellStyle name="Input 3 5 2" xfId="4097" xr:uid="{83255A56-5749-4C34-8D87-FAB3AAD5E3BF}"/>
    <cellStyle name="Input 3 5 2 2" xfId="4909" xr:uid="{BDBFF5F5-EAFA-45DB-B103-C5D1654D87A7}"/>
    <cellStyle name="Input 3 5 2 2 2" xfId="7404" xr:uid="{8625DEDC-92FE-408F-973F-D8F8C4FE9937}"/>
    <cellStyle name="Input 3 5 2 2 3" xfId="8816" xr:uid="{8A7470E6-3776-499C-8BE0-DC5BBC030200}"/>
    <cellStyle name="Input 3 5 2 2 4" xfId="10526" xr:uid="{E7D5B7C8-2571-4BB1-98DB-F84488EC9D69}"/>
    <cellStyle name="Input 3 5 2 2 5" xfId="12022" xr:uid="{78DD26D3-233A-40CF-8D08-8CD34CA581F9}"/>
    <cellStyle name="Input 3 5 2 2 6" xfId="13493" xr:uid="{B7DBA17D-4416-474B-B490-72507C319AEA}"/>
    <cellStyle name="Input 3 5 2 2 7" xfId="15169" xr:uid="{7A835375-8D51-4557-934A-F2405965B6E1}"/>
    <cellStyle name="Input 3 5 2 2 8" xfId="16833" xr:uid="{AFC79D8B-D07D-4963-95BD-017FA005C0C3}"/>
    <cellStyle name="Input 3 5 2 3" xfId="6678" xr:uid="{0F85F216-CF70-4993-9E18-11D7CE5FFBD9}"/>
    <cellStyle name="Input 3 5 2 4" xfId="8022" xr:uid="{CADB2FEC-C138-4B28-8C5A-2D75B9631758}"/>
    <cellStyle name="Input 3 5 2 5" xfId="9716" xr:uid="{26AA69E5-A7C4-45D5-AAA7-16A269505A11}"/>
    <cellStyle name="Input 3 5 2 6" xfId="11306" xr:uid="{52D73872-2BD6-45AB-A40D-054B4C855CB1}"/>
    <cellStyle name="Input 3 5 2 7" xfId="12701" xr:uid="{07D9C075-6FED-4897-9451-4AFC456D3BE1}"/>
    <cellStyle name="Input 3 5 2 8" xfId="14359" xr:uid="{C16F58DC-88EF-4482-811E-4C2BFAB1EFF4}"/>
    <cellStyle name="Input 3 5 2 9" xfId="16041" xr:uid="{F53AF57E-7AE7-48EE-88E7-8795639A7DC6}"/>
    <cellStyle name="Input 3 5 3" xfId="3659" xr:uid="{72F45D57-89FD-4A75-B9A0-3D2DB79686DF}"/>
    <cellStyle name="Input 3 5 3 2" xfId="4623" xr:uid="{5D80D1C6-7720-48D3-9350-27B61C98CA0F}"/>
    <cellStyle name="Input 3 5 3 2 2" xfId="7118" xr:uid="{C51B9F54-2B5C-4F88-9DB8-ED2DF4904D13}"/>
    <cellStyle name="Input 3 5 3 2 3" xfId="8536" xr:uid="{3CD181DB-AED4-41E2-A757-465EB556E88D}"/>
    <cellStyle name="Input 3 5 3 2 4" xfId="10240" xr:uid="{78C8FD1C-71CA-4D53-8347-C70E36E17283}"/>
    <cellStyle name="Input 3 5 3 2 5" xfId="11736" xr:uid="{12C2197A-3501-413D-AF5F-3BF481646A9C}"/>
    <cellStyle name="Input 3 5 3 2 6" xfId="13213" xr:uid="{094D5138-6188-41E3-98D5-BF9048B0162D}"/>
    <cellStyle name="Input 3 5 3 2 7" xfId="14883" xr:uid="{0C608626-1B5B-48FD-A2BD-AF0BCF022609}"/>
    <cellStyle name="Input 3 5 3 2 8" xfId="16553" xr:uid="{171B78A0-B97E-4C96-96B8-95841A243DF2}"/>
    <cellStyle name="Input 3 5 3 3" xfId="6351" xr:uid="{3E14B096-BA3F-46ED-900F-2C3017FAFB3C}"/>
    <cellStyle name="Input 3 5 3 4" xfId="7590" xr:uid="{8CAB4CBC-2927-46BB-8B5F-D4558D8DFC67}"/>
    <cellStyle name="Input 3 5 3 5" xfId="9278" xr:uid="{AA3CD400-B003-4089-A782-88C3AC0C8738}"/>
    <cellStyle name="Input 3 5 3 6" xfId="10978" xr:uid="{BECB8814-DFDA-4229-95F0-BCC60B3E544A}"/>
    <cellStyle name="Input 3 5 3 7" xfId="12269" xr:uid="{CF214F62-1DD5-44CF-864D-3C0CF8F24446}"/>
    <cellStyle name="Input 3 5 3 8" xfId="13921" xr:uid="{60894715-B897-4A7D-B7DF-195CB9E283C3}"/>
    <cellStyle name="Input 3 5 3 9" xfId="15609" xr:uid="{B023F07A-D4EA-434C-B7B2-D80366F5CBB2}"/>
    <cellStyle name="Input 3 5 4" xfId="4373" xr:uid="{A89B1A6C-2367-4D29-9A14-5C4C7DCD7507}"/>
    <cellStyle name="Input 3 5 4 2" xfId="6885" xr:uid="{1269B567-1DA4-4E4F-B0CC-F44270068DE6}"/>
    <cellStyle name="Input 3 5 4 3" xfId="8292" xr:uid="{79BEFA96-3D96-4734-BAF1-3D3CC09B8360}"/>
    <cellStyle name="Input 3 5 4 4" xfId="9990" xr:uid="{F840127D-EDC5-4C6E-94B0-A95A080221E5}"/>
    <cellStyle name="Input 3 5 4 5" xfId="11504" xr:uid="{FEBF9B0D-BD7B-4366-83EE-7F81BA6ECB77}"/>
    <cellStyle name="Input 3 5 4 6" xfId="12969" xr:uid="{7AEA5F23-1925-4ACA-87AF-BAF7371E01EE}"/>
    <cellStyle name="Input 3 5 4 7" xfId="14633" xr:uid="{A3E4E8AE-71C9-43DF-9E6A-F6D01DA26FA7}"/>
    <cellStyle name="Input 3 5 4 8" xfId="16309" xr:uid="{C5F9B897-4169-4DF4-8C4A-6310A7FE28D2}"/>
    <cellStyle name="Input 3 5 5" xfId="6041" xr:uid="{482337E6-3B26-4E52-9698-79BFF2B67BB8}"/>
    <cellStyle name="Input 3 5 6" xfId="5700" xr:uid="{69698FCC-135C-4BBF-93E5-4DEE450E7E03}"/>
    <cellStyle name="Input 3 5 7" xfId="10686" xr:uid="{7E3A01ED-840E-463D-BB91-D954144ED89A}"/>
    <cellStyle name="Input 3 5 8" xfId="6581" xr:uid="{629185DE-4D8D-4C81-B2AF-911849694025}"/>
    <cellStyle name="Input 3 5 9" xfId="10642" xr:uid="{96C5FF82-3620-4BF4-A73A-5B85CB66146D}"/>
    <cellStyle name="Input 3 6" xfId="3036" xr:uid="{BA2A94A2-3DCD-4820-AA37-0DD50AFA70E9}"/>
    <cellStyle name="Input 3 6 10" xfId="5366" xr:uid="{67DE84CD-4306-4068-97DC-D5B2C92A9ADA}"/>
    <cellStyle name="Input 3 6 2" xfId="3916" xr:uid="{D92313EB-2A67-4F25-A93C-C0C96DBDE6FC}"/>
    <cellStyle name="Input 3 6 2 2" xfId="4790" xr:uid="{D7A31862-EF36-41EE-AC31-C268EFEC7F05}"/>
    <cellStyle name="Input 3 6 2 2 2" xfId="7285" xr:uid="{AE6BFADB-CA0A-46F5-A050-54EFB8EDAC07}"/>
    <cellStyle name="Input 3 6 2 2 3" xfId="8700" xr:uid="{47C05F1F-3E49-49D9-8CDE-BC5DCC54B801}"/>
    <cellStyle name="Input 3 6 2 2 4" xfId="10407" xr:uid="{0FFCFE22-CFE6-4361-BCDA-539A7B809F3A}"/>
    <cellStyle name="Input 3 6 2 2 5" xfId="11903" xr:uid="{DC217372-5ED6-4C60-B0C1-0A24D4DD55EB}"/>
    <cellStyle name="Input 3 6 2 2 6" xfId="13377" xr:uid="{2DAEBA8E-7105-42DF-824E-3FEBF7AE5CE9}"/>
    <cellStyle name="Input 3 6 2 2 7" xfId="15050" xr:uid="{55151B6B-B6FE-43E0-8077-9DB51037636F}"/>
    <cellStyle name="Input 3 6 2 2 8" xfId="16717" xr:uid="{FCA7FA0C-7BC5-4649-BB63-EF75E961F39B}"/>
    <cellStyle name="Input 3 6 2 3" xfId="6544" xr:uid="{0592F42C-580F-4053-80A5-26FAC721632A}"/>
    <cellStyle name="Input 3 6 2 4" xfId="7844" xr:uid="{CF082098-E393-4F30-95AD-6E0C86029B91}"/>
    <cellStyle name="Input 3 6 2 5" xfId="9535" xr:uid="{6E3D1D8E-810E-42BB-A829-9CF56AC188FF}"/>
    <cellStyle name="Input 3 6 2 6" xfId="11175" xr:uid="{560EFE06-2437-4D64-A300-35228BB40584}"/>
    <cellStyle name="Input 3 6 2 7" xfId="12523" xr:uid="{FCF9AD66-887B-4C81-9BBC-7AD771A27229}"/>
    <cellStyle name="Input 3 6 2 8" xfId="14178" xr:uid="{AE990AB2-1B8E-4438-9F95-D80F4A25DBA6}"/>
    <cellStyle name="Input 3 6 2 9" xfId="15863" xr:uid="{E56FCF14-D223-4768-9CC5-66A8714E9A1F}"/>
    <cellStyle name="Input 3 6 3" xfId="3478" xr:uid="{020E0947-F9C2-49D8-9546-139258154AB0}"/>
    <cellStyle name="Input 3 6 3 2" xfId="4504" xr:uid="{686ED1A4-BE42-4F1C-9BCD-35C2531ADC6C}"/>
    <cellStyle name="Input 3 6 3 2 2" xfId="6999" xr:uid="{74A048A2-3710-4467-B327-7B8BBD367FE1}"/>
    <cellStyle name="Input 3 6 3 2 3" xfId="8420" xr:uid="{40E38752-0963-44E4-982D-5C80D52A34A2}"/>
    <cellStyle name="Input 3 6 3 2 4" xfId="10121" xr:uid="{853B393E-238C-44EE-92DD-89A324F62C55}"/>
    <cellStyle name="Input 3 6 3 2 5" xfId="11617" xr:uid="{357C033F-E2CA-450A-B401-CD84ED56D705}"/>
    <cellStyle name="Input 3 6 3 2 6" xfId="13097" xr:uid="{670F3867-44BF-4B25-928F-1F76C91F4DE3}"/>
    <cellStyle name="Input 3 6 3 2 7" xfId="14764" xr:uid="{23038DAE-7C08-460C-9C30-CA35CF3C19A8}"/>
    <cellStyle name="Input 3 6 3 2 8" xfId="16437" xr:uid="{EBD39186-3246-463A-8D69-F24D02C2F8D4}"/>
    <cellStyle name="Input 3 6 3 3" xfId="6212" xr:uid="{79588460-4F04-422D-8D89-9E7FDA3F5441}"/>
    <cellStyle name="Input 3 6 3 4" xfId="5067" xr:uid="{DA6C0C8E-850A-4477-9552-BE25827C1BCE}"/>
    <cellStyle name="Input 3 6 3 5" xfId="9097" xr:uid="{683AA82E-C030-4690-8477-23FE71B00DAB}"/>
    <cellStyle name="Input 3 6 3 6" xfId="10846" xr:uid="{74A88766-DCD7-48C8-AB2A-B178B005DE4D}"/>
    <cellStyle name="Input 3 6 3 7" xfId="6438" xr:uid="{D2DDC39E-698F-4D81-A280-47A641381BF3}"/>
    <cellStyle name="Input 3 6 3 8" xfId="13740" xr:uid="{BB72037A-64AC-4E91-ADD4-6304F39F0FF7}"/>
    <cellStyle name="Input 3 6 3 9" xfId="15431" xr:uid="{A112D45E-7720-4297-B8B1-3745369637DC}"/>
    <cellStyle name="Input 3 6 4" xfId="4287" xr:uid="{FA50AFAE-607B-495D-8BE4-9A64DB8D7F38}"/>
    <cellStyle name="Input 3 6 4 2" xfId="6817" xr:uid="{F054C9B5-F7F2-4611-8845-BA760C024F27}"/>
    <cellStyle name="Input 3 6 4 3" xfId="8209" xr:uid="{85A1B292-0E9C-4C85-86B3-C8911295D813}"/>
    <cellStyle name="Input 3 6 4 4" xfId="9904" xr:uid="{8F36F331-BED7-4232-B17B-EF356820A974}"/>
    <cellStyle name="Input 3 6 4 5" xfId="11437" xr:uid="{6FF74DAE-1F28-4DC0-BE19-3B9143600314}"/>
    <cellStyle name="Input 3 6 4 6" xfId="12886" xr:uid="{AEC8B358-CF2B-4A8D-BB5F-23B9FEDC023F}"/>
    <cellStyle name="Input 3 6 4 7" xfId="14547" xr:uid="{D35A907D-3EEA-43B9-AEB9-17F055B82AC5}"/>
    <cellStyle name="Input 3 6 4 8" xfId="16226" xr:uid="{3411E3D0-89A9-420B-828D-831F0B2500C1}"/>
    <cellStyle name="Input 3 6 5" xfId="5921" xr:uid="{1D92B185-D7D9-440A-9130-4E8EEDA664F3}"/>
    <cellStyle name="Input 3 6 6" xfId="5257" xr:uid="{E779C426-BC28-4754-B42A-BC6FA0E57BB8}"/>
    <cellStyle name="Input 3 6 7" xfId="5813" xr:uid="{3D97C673-2211-4E50-8D7F-3E572B4E0A94}"/>
    <cellStyle name="Input 3 6 8" xfId="5274" xr:uid="{815EED78-4F10-4D74-B9BB-13067F2093E6}"/>
    <cellStyle name="Input 3 6 9" xfId="5509" xr:uid="{72D2126B-9C5F-4493-B687-5BEA171C0106}"/>
    <cellStyle name="Input 3 7" xfId="3840" xr:uid="{51625288-22A1-47AF-817C-F0C2154DC1EC}"/>
    <cellStyle name="Input 3 7 2" xfId="4739" xr:uid="{0BD42305-7080-4C96-A98F-8A258297C24A}"/>
    <cellStyle name="Input 3 7 2 2" xfId="7234" xr:uid="{48C62199-C231-45D7-AA63-F9BA220C170B}"/>
    <cellStyle name="Input 3 7 2 3" xfId="8650" xr:uid="{CC17C4E2-0050-4112-AE81-50DA009C6ACC}"/>
    <cellStyle name="Input 3 7 2 4" xfId="10356" xr:uid="{368AECDA-C130-468B-9A0B-B80240AFC0E7}"/>
    <cellStyle name="Input 3 7 2 5" xfId="11852" xr:uid="{91C03EA5-0543-4E28-A206-EC94F4D8DED3}"/>
    <cellStyle name="Input 3 7 2 6" xfId="13327" xr:uid="{2B691E67-21B3-4D97-8F0A-CE073F4509CF}"/>
    <cellStyle name="Input 3 7 2 7" xfId="14999" xr:uid="{A388DB11-5E5A-44E4-A3B9-95CBD4995343}"/>
    <cellStyle name="Input 3 7 2 8" xfId="16667" xr:uid="{4AFAC978-F60C-4B75-80F9-D07427540C55}"/>
    <cellStyle name="Input 3 7 3" xfId="6485" xr:uid="{3B9B5C2B-BBFE-4A87-B35D-6F17A99E6CFB}"/>
    <cellStyle name="Input 3 7 4" xfId="7769" xr:uid="{295B994D-281C-4AEA-B0E0-34A24491C550}"/>
    <cellStyle name="Input 3 7 5" xfId="9459" xr:uid="{6DB7333B-7948-4C55-9700-2CC173867787}"/>
    <cellStyle name="Input 3 7 6" xfId="11116" xr:uid="{59AE2F67-6A34-4110-A4EF-FED178120E66}"/>
    <cellStyle name="Input 3 7 7" xfId="12448" xr:uid="{C5E6FFE5-BAF6-45CC-9DB7-30AA38681426}"/>
    <cellStyle name="Input 3 7 8" xfId="14102" xr:uid="{A707BC50-D9A6-417C-9190-9B3DB8863D59}"/>
    <cellStyle name="Input 3 7 9" xfId="15788" xr:uid="{9975BFE5-A850-45D4-AD57-94DEC2A7161A}"/>
    <cellStyle name="Input 3 8" xfId="3403" xr:uid="{72CDB67A-BE3E-47C3-BFDE-9F5D18B1DF88}"/>
    <cellStyle name="Input 3 8 2" xfId="4454" xr:uid="{5F5257C5-4236-4CB8-96B7-EFCE1E0133BD}"/>
    <cellStyle name="Input 3 8 2 2" xfId="6949" xr:uid="{6FF5FAF8-FA61-4A85-81C7-1529FD8ED048}"/>
    <cellStyle name="Input 3 8 2 3" xfId="8370" xr:uid="{084C09B9-9A73-4FAA-85EB-5E4190230DA8}"/>
    <cellStyle name="Input 3 8 2 4" xfId="10071" xr:uid="{B94517B1-2C6E-43B9-8A67-852B92C1C668}"/>
    <cellStyle name="Input 3 8 2 5" xfId="11567" xr:uid="{10318D06-E71B-4CB2-BFDC-DF073AABEC73}"/>
    <cellStyle name="Input 3 8 2 6" xfId="13047" xr:uid="{AA99C115-C673-4909-9262-A552688FE3AE}"/>
    <cellStyle name="Input 3 8 2 7" xfId="14714" xr:uid="{B2A39A36-9CA7-43E3-8E9D-5FB4BA988605}"/>
    <cellStyle name="Input 3 8 2 8" xfId="16387" xr:uid="{68CC6084-D703-4E97-8AB6-B313D46019FD}"/>
    <cellStyle name="Input 3 8 3" xfId="6156" xr:uid="{6FFE60C3-4207-4371-829F-2E3238718134}"/>
    <cellStyle name="Input 3 8 4" xfId="6079" xr:uid="{A67D3FE3-7091-4A44-9A4B-36F0F747D911}"/>
    <cellStyle name="Input 3 8 5" xfId="9022" xr:uid="{94C22FF9-FABE-473F-98AD-063767632628}"/>
    <cellStyle name="Input 3 8 6" xfId="10789" xr:uid="{EB07E4D0-23D3-4BD9-874A-9139240CD18B}"/>
    <cellStyle name="Input 3 8 7" xfId="6459" xr:uid="{076A8167-BA39-427C-9EDD-F5FC85058C18}"/>
    <cellStyle name="Input 3 8 8" xfId="13665" xr:uid="{DFDCF822-F2A3-4E1E-B734-6443D4927E39}"/>
    <cellStyle name="Input 3 8 9" xfId="15356" xr:uid="{342FBC88-659B-4356-AC75-C0F77BCEC837}"/>
    <cellStyle name="Input 3 9" xfId="5455" xr:uid="{AE5D9FFA-C874-4EB8-94D4-76CB4022F2B6}"/>
    <cellStyle name="Input 4" xfId="1114" xr:uid="{307D3216-0EEC-4658-B393-887EAE41CD60}"/>
    <cellStyle name="Input 4 10" xfId="5692" xr:uid="{351BD8B0-36FE-48E3-94BA-4E7ED284750A}"/>
    <cellStyle name="Input 4 2" xfId="2995" xr:uid="{67B6F7BE-891A-4F85-8965-AA08AFB7355B}"/>
    <cellStyle name="Input 4 2 10" xfId="3440" xr:uid="{E28478C0-9F4C-46B1-9883-7C609CA96491}"/>
    <cellStyle name="Input 4 2 10 2" xfId="4483" xr:uid="{B683C744-9979-4CDA-89A8-B1D123C43982}"/>
    <cellStyle name="Input 4 2 10 2 2" xfId="6978" xr:uid="{5B484564-B5FF-4173-B2E2-75175E463203}"/>
    <cellStyle name="Input 4 2 10 2 3" xfId="8399" xr:uid="{D0B6F8D2-CC8B-48A8-BFCA-60DE07A74609}"/>
    <cellStyle name="Input 4 2 10 2 4" xfId="10100" xr:uid="{A68BC53C-EE25-4972-B169-A817B5491888}"/>
    <cellStyle name="Input 4 2 10 2 5" xfId="11596" xr:uid="{2CC0335A-F099-411C-9386-92C844302995}"/>
    <cellStyle name="Input 4 2 10 2 6" xfId="13076" xr:uid="{D00EB8C4-C63B-4634-8E31-3B3E21502A81}"/>
    <cellStyle name="Input 4 2 10 2 7" xfId="14743" xr:uid="{17BD13F3-4BD3-465E-8C3B-7327D80FA825}"/>
    <cellStyle name="Input 4 2 10 2 8" xfId="16416" xr:uid="{A9739493-0062-4661-A7EB-CB655D941A5F}"/>
    <cellStyle name="Input 4 2 10 3" xfId="6187" xr:uid="{48EC2315-9918-4240-A310-ACA5C1055729}"/>
    <cellStyle name="Input 4 2 10 4" xfId="5200" xr:uid="{5DC3C1FA-4782-4BB4-B86C-E9C7568CCBD9}"/>
    <cellStyle name="Input 4 2 10 5" xfId="9059" xr:uid="{013D28A6-0D21-4A06-92FD-038B8458AA58}"/>
    <cellStyle name="Input 4 2 10 6" xfId="10821" xr:uid="{49DFD18D-9EE1-47A6-9310-3A6B7D59A71A}"/>
    <cellStyle name="Input 4 2 10 7" xfId="5464" xr:uid="{E6F2E8F5-77A3-47DE-A266-16E7041DB261}"/>
    <cellStyle name="Input 4 2 10 8" xfId="13702" xr:uid="{BDA612F0-635E-4BAA-AF5C-9C9BF4AE97BC}"/>
    <cellStyle name="Input 4 2 10 9" xfId="15393" xr:uid="{6B24C521-B323-4F67-A7FF-817BE3E64FD1}"/>
    <cellStyle name="Input 4 2 11" xfId="5565" xr:uid="{9FAC3FD5-1B63-4533-8525-DDBB69023695}"/>
    <cellStyle name="Input 4 2 12" xfId="5238" xr:uid="{BC247B7D-8D37-49AD-BF29-9A35AC8A7A91}"/>
    <cellStyle name="Input 4 2 2" xfId="3281" xr:uid="{7CEA9313-5943-4039-A370-EB56CC27922D}"/>
    <cellStyle name="Input 4 2 2 2" xfId="4161" xr:uid="{013712AB-6DDE-46F7-9312-49AB6C9B757F}"/>
    <cellStyle name="Input 4 2 2 2 2" xfId="4954" xr:uid="{BA1BE418-2127-4955-B697-1BA80A9B3BF3}"/>
    <cellStyle name="Input 4 2 2 2 2 2" xfId="7449" xr:uid="{42FAAB3B-0F85-48B3-9757-D7524A4AFDBC}"/>
    <cellStyle name="Input 4 2 2 2 2 3" xfId="8861" xr:uid="{6B1435A9-CF32-4029-9BF3-59C886FC730B}"/>
    <cellStyle name="Input 4 2 2 2 2 4" xfId="10571" xr:uid="{14197F85-E7E6-4905-B449-A3E9BE11763C}"/>
    <cellStyle name="Input 4 2 2 2 2 5" xfId="12067" xr:uid="{B06DAD18-68ED-4631-851F-5FDA9059BA19}"/>
    <cellStyle name="Input 4 2 2 2 2 6" xfId="13538" xr:uid="{8F1C356D-FB99-4B95-8111-F6E37966A3AA}"/>
    <cellStyle name="Input 4 2 2 2 2 7" xfId="15214" xr:uid="{4A048044-D438-4755-9CEB-3608CD2AA44C}"/>
    <cellStyle name="Input 4 2 2 2 2 8" xfId="16878" xr:uid="{73536460-DE72-466A-802F-82824CF0DDA6}"/>
    <cellStyle name="Input 4 2 2 2 3" xfId="6729" xr:uid="{7D802AE5-A3B8-410C-9C22-727AC354AF45}"/>
    <cellStyle name="Input 4 2 2 2 4" xfId="8086" xr:uid="{7AFDA798-F203-4F2E-B64A-284ADA6A6D11}"/>
    <cellStyle name="Input 4 2 2 2 5" xfId="9780" xr:uid="{7B9C30D5-D319-4014-8478-7AA9C9E86EED}"/>
    <cellStyle name="Input 4 2 2 2 6" xfId="11356" xr:uid="{8CECD7BF-303E-49F7-8A5B-7F5A1F6576F3}"/>
    <cellStyle name="Input 4 2 2 2 7" xfId="12765" xr:uid="{FC4F5151-EAC4-48F6-90FC-B792A60E1F11}"/>
    <cellStyle name="Input 4 2 2 2 8" xfId="14423" xr:uid="{40B63A66-5E5B-4B21-88E1-3AFC1FE1E26C}"/>
    <cellStyle name="Input 4 2 2 2 9" xfId="16105" xr:uid="{C303D0DE-814A-4E53-BFE8-6A97D8F78DDA}"/>
    <cellStyle name="Input 4 2 2 3" xfId="3723" xr:uid="{14A40D8D-8EBC-4601-B13A-0A8ED06EE421}"/>
    <cellStyle name="Input 4 2 2 3 2" xfId="4668" xr:uid="{2CF9D55C-2CD7-4958-BEFB-98D75F5239AA}"/>
    <cellStyle name="Input 4 2 2 3 2 2" xfId="7163" xr:uid="{19C3AD6F-C6ED-4EB6-9A03-8E4824B19F84}"/>
    <cellStyle name="Input 4 2 2 3 2 3" xfId="8581" xr:uid="{B96B2E23-AE25-4053-9ACE-397E4A6F9649}"/>
    <cellStyle name="Input 4 2 2 3 2 4" xfId="10285" xr:uid="{6A3B4139-DC70-483B-AC1C-CE5AA89B28E4}"/>
    <cellStyle name="Input 4 2 2 3 2 5" xfId="11781" xr:uid="{D895973E-FE6B-4E32-B8B1-C074691475FE}"/>
    <cellStyle name="Input 4 2 2 3 2 6" xfId="13258" xr:uid="{72734CC5-1597-49EC-8B9B-A5CF5BDF9488}"/>
    <cellStyle name="Input 4 2 2 3 2 7" xfId="14928" xr:uid="{7E9B599A-98DA-43A3-9526-5C84F4F25598}"/>
    <cellStyle name="Input 4 2 2 3 2 8" xfId="16598" xr:uid="{3F49CE78-362C-4060-998E-0438D93194EE}"/>
    <cellStyle name="Input 4 2 2 3 3" xfId="6403" xr:uid="{6B8F7576-8DA7-40DD-A8C7-9DBF28413799}"/>
    <cellStyle name="Input 4 2 2 3 4" xfId="7654" xr:uid="{2C22E6FA-AE26-448F-B49E-ADC102872535}"/>
    <cellStyle name="Input 4 2 2 3 5" xfId="9342" xr:uid="{019C4D2E-FF81-4873-A034-03FBEDBA3170}"/>
    <cellStyle name="Input 4 2 2 3 6" xfId="11029" xr:uid="{EDC4332D-1338-4C4C-8932-4EE3D30EDD07}"/>
    <cellStyle name="Input 4 2 2 3 7" xfId="12333" xr:uid="{25917E21-DB5C-4485-9887-32962EC608DB}"/>
    <cellStyle name="Input 4 2 2 3 8" xfId="13985" xr:uid="{634A961C-1F2B-4EFB-BD49-48410F2AAE49}"/>
    <cellStyle name="Input 4 2 2 3 9" xfId="15673" xr:uid="{32994E4F-B512-4EA3-A74A-F12B17E73493}"/>
    <cellStyle name="Input 4 2 2 4" xfId="8948" xr:uid="{A0139222-B1AE-40EC-B6BF-091932562CE3}"/>
    <cellStyle name="Input 4 2 3" xfId="3147" xr:uid="{8182CAB8-5B9C-4C41-BD99-9EA8F94AA15D}"/>
    <cellStyle name="Input 4 2 3 2" xfId="4027" xr:uid="{3FD9A31A-8DE3-46F9-B4EF-D7EB1C8046BE}"/>
    <cellStyle name="Input 4 2 3 2 2" xfId="4870" xr:uid="{5FD7C9D7-B6BA-4945-97D0-279478F30306}"/>
    <cellStyle name="Input 4 2 3 2 2 2" xfId="7365" xr:uid="{7051EF32-0D05-4469-8D3F-238E4B0C27C7}"/>
    <cellStyle name="Input 4 2 3 2 2 3" xfId="8778" xr:uid="{4F11FBDF-EB16-49FC-A734-071A6D2C08C9}"/>
    <cellStyle name="Input 4 2 3 2 2 4" xfId="10487" xr:uid="{00AB4FAF-9D33-4FE5-A4E8-884153097AF6}"/>
    <cellStyle name="Input 4 2 3 2 2 5" xfId="11983" xr:uid="{0D5E7466-987E-425E-BF16-4B5F9397FBA5}"/>
    <cellStyle name="Input 4 2 3 2 2 6" xfId="13455" xr:uid="{CF5117F7-7F1D-4F4F-8F33-D56CB633A831}"/>
    <cellStyle name="Input 4 2 3 2 2 7" xfId="15130" xr:uid="{3548504A-4622-41D6-AB56-1B4A726A70E6}"/>
    <cellStyle name="Input 4 2 3 2 2 8" xfId="16795" xr:uid="{A616A244-6504-4BB8-9651-685834017075}"/>
    <cellStyle name="Input 4 2 3 2 3" xfId="6631" xr:uid="{D9EFB033-6DC8-47D5-9112-8644286D8540}"/>
    <cellStyle name="Input 4 2 3 2 4" xfId="7953" xr:uid="{C508D0EC-8D42-4022-B59D-EE9D377C68DE}"/>
    <cellStyle name="Input 4 2 3 2 5" xfId="9646" xr:uid="{9EEAD881-BB78-4E22-9538-B0CDB219463F}"/>
    <cellStyle name="Input 4 2 3 2 6" xfId="11257" xr:uid="{011A23B8-6EFE-4C62-9298-5DD4356C0173}"/>
    <cellStyle name="Input 4 2 3 2 7" xfId="12632" xr:uid="{6146557A-5CE5-420A-B7BB-48E9E53C3DD3}"/>
    <cellStyle name="Input 4 2 3 2 8" xfId="14289" xr:uid="{62CBA87C-49AF-453C-A06F-CD82881B7E00}"/>
    <cellStyle name="Input 4 2 3 2 9" xfId="15972" xr:uid="{B396E6C4-3499-4FE8-963D-EA0C0DC197AD}"/>
    <cellStyle name="Input 4 2 3 3" xfId="3589" xr:uid="{D112B810-7A78-4DF2-B4A8-C17452EB06A7}"/>
    <cellStyle name="Input 4 2 3 3 2" xfId="4584" xr:uid="{1D62B734-1462-4BFB-BBD2-A85FE985AE04}"/>
    <cellStyle name="Input 4 2 3 3 2 2" xfId="7079" xr:uid="{A5912C8E-5E12-45E9-BC11-E474307E1A28}"/>
    <cellStyle name="Input 4 2 3 3 2 3" xfId="8498" xr:uid="{36E705AA-F481-4CF9-A921-AED687DC302D}"/>
    <cellStyle name="Input 4 2 3 3 2 4" xfId="10201" xr:uid="{437DD340-E552-4B21-AB75-15D342797FCA}"/>
    <cellStyle name="Input 4 2 3 3 2 5" xfId="11697" xr:uid="{A108B1F3-9F5E-4DE5-8199-A5E1D780A8FC}"/>
    <cellStyle name="Input 4 2 3 3 2 6" xfId="13175" xr:uid="{3DA4B95C-48B5-47D6-9BE1-546A1AF1C9F0}"/>
    <cellStyle name="Input 4 2 3 3 2 7" xfId="14844" xr:uid="{49828CFB-248C-4919-ABF3-F7C1AB59214A}"/>
    <cellStyle name="Input 4 2 3 3 2 8" xfId="16515" xr:uid="{ED036B1D-866F-4166-B3A8-3374B668859E}"/>
    <cellStyle name="Input 4 2 3 3 3" xfId="6301" xr:uid="{A6F7B7B3-3D43-45C7-BE4F-879ABFEBF789}"/>
    <cellStyle name="Input 4 2 3 3 4" xfId="7521" xr:uid="{B10A1101-FB07-4A94-9AD7-BE1AED3B7189}"/>
    <cellStyle name="Input 4 2 3 3 5" xfId="9208" xr:uid="{2501899D-65CA-4C9D-807F-04EADC0C86BA}"/>
    <cellStyle name="Input 4 2 3 3 6" xfId="10932" xr:uid="{1392AFEF-2AE3-4D58-B037-E8E19957159A}"/>
    <cellStyle name="Input 4 2 3 3 7" xfId="12200" xr:uid="{2CD9A1AD-5714-459C-90E7-1D01E148D64C}"/>
    <cellStyle name="Input 4 2 3 3 8" xfId="13851" xr:uid="{338497D2-FC2F-4D43-BAAB-AEFCF3DBB373}"/>
    <cellStyle name="Input 4 2 3 3 9" xfId="15540" xr:uid="{1E9B6FF5-1628-4B82-87B7-E00633A736F5}"/>
    <cellStyle name="Input 4 2 3 4" xfId="5861" xr:uid="{5666F905-48AC-4082-B958-EACA0245CE3D}"/>
    <cellStyle name="Input 4 2 4" xfId="3220" xr:uid="{782081FA-70E1-4617-876C-E25342A93A0B}"/>
    <cellStyle name="Input 4 2 4 2" xfId="4100" xr:uid="{A85B82E5-70DE-4A1A-ABE4-302428C4A6DF}"/>
    <cellStyle name="Input 4 2 4 2 2" xfId="4911" xr:uid="{DA5B85E5-6067-4237-8A1A-AB69555A40FB}"/>
    <cellStyle name="Input 4 2 4 2 2 2" xfId="7406" xr:uid="{4C9D8CAF-8F60-44CE-B35B-C9B6C8EDAC7F}"/>
    <cellStyle name="Input 4 2 4 2 2 3" xfId="8818" xr:uid="{3B74CF30-E6EB-47EC-81C7-2930395E7ABF}"/>
    <cellStyle name="Input 4 2 4 2 2 4" xfId="10528" xr:uid="{6390AE71-686B-4B30-810D-53FAB54AC000}"/>
    <cellStyle name="Input 4 2 4 2 2 5" xfId="12024" xr:uid="{27BE24B5-1780-4376-B4F3-BB50DAB7C966}"/>
    <cellStyle name="Input 4 2 4 2 2 6" xfId="13495" xr:uid="{29542671-72BD-4C3E-9417-F7A030CB7246}"/>
    <cellStyle name="Input 4 2 4 2 2 7" xfId="15171" xr:uid="{BBAB7A9A-847C-43B0-884F-BE69CD1DEB56}"/>
    <cellStyle name="Input 4 2 4 2 2 8" xfId="16835" xr:uid="{28750B5E-1ABF-4471-B917-D2E5AD1562C2}"/>
    <cellStyle name="Input 4 2 4 2 3" xfId="6680" xr:uid="{7ADFD2F4-AC6F-48A0-8C31-4EC57815C6FB}"/>
    <cellStyle name="Input 4 2 4 2 4" xfId="8025" xr:uid="{038E4B7E-131C-4EDE-8E5C-5A355F7703E0}"/>
    <cellStyle name="Input 4 2 4 2 5" xfId="9719" xr:uid="{F9B2CF26-6D52-4033-A234-CF73C141564F}"/>
    <cellStyle name="Input 4 2 4 2 6" xfId="11308" xr:uid="{37FDCA17-D7BD-4E05-A4C2-9354ABB6541B}"/>
    <cellStyle name="Input 4 2 4 2 7" xfId="12704" xr:uid="{11FA741C-74F9-4D7B-98AC-266D025203E6}"/>
    <cellStyle name="Input 4 2 4 2 8" xfId="14362" xr:uid="{760CFA73-BE04-4612-8DBC-6948A9D03450}"/>
    <cellStyle name="Input 4 2 4 2 9" xfId="16044" xr:uid="{F25CD34D-C3F5-40BB-86A9-0127282471B5}"/>
    <cellStyle name="Input 4 2 4 3" xfId="3662" xr:uid="{9CD3C0D7-1EEF-4525-9919-440E649834A3}"/>
    <cellStyle name="Input 4 2 4 3 2" xfId="4625" xr:uid="{C0ABA7E5-3C19-41D0-B746-77C466ABBB03}"/>
    <cellStyle name="Input 4 2 4 3 2 2" xfId="7120" xr:uid="{E7FED483-E7D9-4208-A324-F7BFBF16EFBB}"/>
    <cellStyle name="Input 4 2 4 3 2 3" xfId="8538" xr:uid="{E9A7A388-C3A2-4389-A99F-06BEC90E4145}"/>
    <cellStyle name="Input 4 2 4 3 2 4" xfId="10242" xr:uid="{9466CECA-7932-4D4F-8B45-3A06C9F2AD9A}"/>
    <cellStyle name="Input 4 2 4 3 2 5" xfId="11738" xr:uid="{E6E93E39-2C4E-410E-9CAC-DC504A92ABD6}"/>
    <cellStyle name="Input 4 2 4 3 2 6" xfId="13215" xr:uid="{091B93AA-D0E5-4652-A5A2-910092EE59A0}"/>
    <cellStyle name="Input 4 2 4 3 2 7" xfId="14885" xr:uid="{C74584DE-4B11-49A7-9A32-8EA1C105551A}"/>
    <cellStyle name="Input 4 2 4 3 2 8" xfId="16555" xr:uid="{54C147E2-3F6E-4D7F-AE7D-8396B14E35F9}"/>
    <cellStyle name="Input 4 2 4 3 3" xfId="6353" xr:uid="{53C8A162-3067-468A-9479-90FC5805095E}"/>
    <cellStyle name="Input 4 2 4 3 4" xfId="7593" xr:uid="{EA534403-1FA4-4F55-A43E-3BEAE35774C4}"/>
    <cellStyle name="Input 4 2 4 3 5" xfId="9281" xr:uid="{89046B79-6172-44D0-8A78-CDBA2828D9EA}"/>
    <cellStyle name="Input 4 2 4 3 6" xfId="10980" xr:uid="{E2B4B8EC-B740-42E9-9731-377E796F042B}"/>
    <cellStyle name="Input 4 2 4 3 7" xfId="12272" xr:uid="{A9DCE46F-F91A-4580-91E3-3ED24B1AA4CD}"/>
    <cellStyle name="Input 4 2 4 3 8" xfId="13924" xr:uid="{511C10C4-10D3-45AB-861C-F5D4F93CEB4E}"/>
    <cellStyle name="Input 4 2 4 3 9" xfId="15612" xr:uid="{CC925059-91E5-4D09-B74A-845F3F183BC9}"/>
    <cellStyle name="Input 4 2 4 4" xfId="5532" xr:uid="{1AAA0F8A-6F96-48E7-B869-3D99C1D4FB7C}"/>
    <cellStyle name="Input 4 2 5" xfId="3319" xr:uid="{82B4A09A-9D0D-4AD8-A6F7-B5EC2E0396ED}"/>
    <cellStyle name="Input 4 2 5 2" xfId="4199" xr:uid="{C3165426-0DE5-40FA-BCB0-F9EEF6681016}"/>
    <cellStyle name="Input 4 2 5 2 2" xfId="4983" xr:uid="{CC670421-178D-4BFE-B3A4-5EF3BBC46D5F}"/>
    <cellStyle name="Input 4 2 5 2 2 2" xfId="7478" xr:uid="{966B8713-6295-40B9-A872-C2C006BC3779}"/>
    <cellStyle name="Input 4 2 5 2 2 3" xfId="8889" xr:uid="{2B29FD28-38CF-4B11-9168-46723E028DD6}"/>
    <cellStyle name="Input 4 2 5 2 2 4" xfId="10600" xr:uid="{1ECE2483-4F45-4ACD-8F11-72CF1CD78542}"/>
    <cellStyle name="Input 4 2 5 2 2 5" xfId="12096" xr:uid="{E15435AF-3185-4068-BEDB-5D6601D9A601}"/>
    <cellStyle name="Input 4 2 5 2 2 6" xfId="13566" xr:uid="{2DFD2213-2A41-49DF-874C-F6D82948CF99}"/>
    <cellStyle name="Input 4 2 5 2 2 7" xfId="15243" xr:uid="{7FDF0681-3A83-4BAD-A448-8A3AF7042155}"/>
    <cellStyle name="Input 4 2 5 2 2 8" xfId="16906" xr:uid="{72763C39-0BA8-47CB-B797-D5D86840883A}"/>
    <cellStyle name="Input 4 2 5 2 3" xfId="6759" xr:uid="{47225CD6-7179-42CB-A54F-106A8DB3BB4E}"/>
    <cellStyle name="Input 4 2 5 2 4" xfId="8123" xr:uid="{69DD9803-373F-4CB8-85D4-EA1449458B98}"/>
    <cellStyle name="Input 4 2 5 2 5" xfId="9818" xr:uid="{09C2FBB8-74F8-441B-952F-6776DA0245EB}"/>
    <cellStyle name="Input 4 2 5 2 6" xfId="11387" xr:uid="{FC7B041D-9FF9-47F7-89F1-B88EE7280DFE}"/>
    <cellStyle name="Input 4 2 5 2 7" xfId="12802" xr:uid="{09B69DD6-2D3D-4122-9EAC-60EE894BB18A}"/>
    <cellStyle name="Input 4 2 5 2 8" xfId="14461" xr:uid="{53819CEE-0BEC-4444-9C0B-1D65537F35B6}"/>
    <cellStyle name="Input 4 2 5 2 9" xfId="16142" xr:uid="{42FC4A29-D55B-4343-942B-AACF000BF9AB}"/>
    <cellStyle name="Input 4 2 5 3" xfId="3760" xr:uid="{500D27A7-317B-49C3-AC4B-81E61555A3BD}"/>
    <cellStyle name="Input 4 2 5 3 2" xfId="4696" xr:uid="{1735FBB0-5425-4692-AF25-7EF6DFE1119E}"/>
    <cellStyle name="Input 4 2 5 3 2 2" xfId="7191" xr:uid="{889FAEE0-8708-4B91-B24E-31C8A7B42DF8}"/>
    <cellStyle name="Input 4 2 5 3 2 3" xfId="8609" xr:uid="{53BC7858-78D6-4CB5-BEAD-D53C045BF55E}"/>
    <cellStyle name="Input 4 2 5 3 2 4" xfId="10313" xr:uid="{791001D7-C102-4EB8-95B1-9BF813BBFA96}"/>
    <cellStyle name="Input 4 2 5 3 2 5" xfId="11809" xr:uid="{F7E00719-F94C-4920-B1A3-31E012E97722}"/>
    <cellStyle name="Input 4 2 5 3 2 6" xfId="13286" xr:uid="{F7A1C889-FB33-4977-9D97-8CCDF0C859F7}"/>
    <cellStyle name="Input 4 2 5 3 2 7" xfId="14956" xr:uid="{7E94263C-38AF-443C-B1A6-01C0FFF8E015}"/>
    <cellStyle name="Input 4 2 5 3 2 8" xfId="16626" xr:uid="{90A45775-ABEC-4161-8E88-B71559976548}"/>
    <cellStyle name="Input 4 2 5 3 3" xfId="6432" xr:uid="{96BD39A7-7B64-46E0-B7B1-433C31A5ACBD}"/>
    <cellStyle name="Input 4 2 5 3 4" xfId="7691" xr:uid="{207EF88F-6183-4D80-A9EF-BF89096C8E6B}"/>
    <cellStyle name="Input 4 2 5 3 5" xfId="9379" xr:uid="{AE7AE766-10A7-4587-A6D3-2DF71FC17BAB}"/>
    <cellStyle name="Input 4 2 5 3 6" xfId="11061" xr:uid="{CBE01791-14A1-442D-B04A-B22515A7176A}"/>
    <cellStyle name="Input 4 2 5 3 7" xfId="12370" xr:uid="{D8C8DC61-F9B2-4D79-A3CB-E634776D2195}"/>
    <cellStyle name="Input 4 2 5 3 8" xfId="14022" xr:uid="{A54EBEB1-C1ED-4CBE-BDD1-DD5DD1ABD213}"/>
    <cellStyle name="Input 4 2 5 3 9" xfId="15710" xr:uid="{CB866F3B-92D4-41C7-8B32-736C2C7F2339}"/>
    <cellStyle name="Input 4 2 5 4" xfId="8982" xr:uid="{685545BD-63C8-4808-BC49-EAB4A03D8540}"/>
    <cellStyle name="Input 4 2 6" xfId="3199" xr:uid="{5917BA4B-85E6-4C12-82F1-0F1BDE2889CA}"/>
    <cellStyle name="Input 4 2 6 10" xfId="11263" xr:uid="{53EEA7A3-CD93-4C13-9FA5-D61D996F402D}"/>
    <cellStyle name="Input 4 2 6 2" xfId="4079" xr:uid="{F37E6684-805A-4108-BACE-7CABE8283D43}"/>
    <cellStyle name="Input 4 2 6 2 2" xfId="4899" xr:uid="{45716D58-D013-48FA-B43C-D4D0F8861651}"/>
    <cellStyle name="Input 4 2 6 2 2 2" xfId="7394" xr:uid="{43FE7A45-D9E9-4C2C-8C9C-DE89997B19F5}"/>
    <cellStyle name="Input 4 2 6 2 2 3" xfId="8806" xr:uid="{C91E78B7-07AC-476B-BDD8-10D71A96D03A}"/>
    <cellStyle name="Input 4 2 6 2 2 4" xfId="10516" xr:uid="{9A06EFD3-B0D1-4824-B601-8BC8C361875C}"/>
    <cellStyle name="Input 4 2 6 2 2 5" xfId="12012" xr:uid="{B7754AB5-7C12-48BA-8233-FDBA7BF88EDA}"/>
    <cellStyle name="Input 4 2 6 2 2 6" xfId="13483" xr:uid="{C72D1100-959E-4395-B175-ABFE78B89F0A}"/>
    <cellStyle name="Input 4 2 6 2 2 7" xfId="15159" xr:uid="{5DA2D5E2-E846-4DF1-95E9-566C6C42A953}"/>
    <cellStyle name="Input 4 2 6 2 2 8" xfId="16823" xr:uid="{CDCDFC7D-1741-4EB0-8F13-9715649723F1}"/>
    <cellStyle name="Input 4 2 6 2 3" xfId="6666" xr:uid="{BB828B21-A162-47C8-B357-2264CF4D84CA}"/>
    <cellStyle name="Input 4 2 6 2 4" xfId="8004" xr:uid="{7BE66293-EAD9-4A8C-82CC-891C295E2444}"/>
    <cellStyle name="Input 4 2 6 2 5" xfId="9698" xr:uid="{9A39E134-A517-43E3-A825-B7DA7672A2F5}"/>
    <cellStyle name="Input 4 2 6 2 6" xfId="11293" xr:uid="{15D40DBD-2B5D-427B-9477-F01F03EE3CD9}"/>
    <cellStyle name="Input 4 2 6 2 7" xfId="12683" xr:uid="{BDA5FBE6-10D9-47E6-9EEB-367C72152F8B}"/>
    <cellStyle name="Input 4 2 6 2 8" xfId="14341" xr:uid="{B1384F60-BFA9-403B-A3F6-B4570E2B982F}"/>
    <cellStyle name="Input 4 2 6 2 9" xfId="16023" xr:uid="{F6D9D3DC-F04C-462B-9FC8-0301CCD95EB6}"/>
    <cellStyle name="Input 4 2 6 3" xfId="3641" xr:uid="{246C30CA-20B2-4E32-8AA8-8BDBEED80C75}"/>
    <cellStyle name="Input 4 2 6 3 2" xfId="4613" xr:uid="{E0F830E4-409E-40E1-A860-B77C3C96E108}"/>
    <cellStyle name="Input 4 2 6 3 2 2" xfId="7108" xr:uid="{30416D4D-DE4A-4C5A-A20C-381946560EA7}"/>
    <cellStyle name="Input 4 2 6 3 2 3" xfId="8526" xr:uid="{B6DC0D4B-8DAC-442D-B2D1-AAB5BE31EB40}"/>
    <cellStyle name="Input 4 2 6 3 2 4" xfId="10230" xr:uid="{17C195DA-142A-4B37-B98D-27EC53122B92}"/>
    <cellStyle name="Input 4 2 6 3 2 5" xfId="11726" xr:uid="{1BF47E75-C6C3-4E5E-B386-B041FC23BF60}"/>
    <cellStyle name="Input 4 2 6 3 2 6" xfId="13203" xr:uid="{4D677395-7830-47FF-879F-929EEFDE01F9}"/>
    <cellStyle name="Input 4 2 6 3 2 7" xfId="14873" xr:uid="{65DC881C-136D-49AF-92EE-9AD9198CD993}"/>
    <cellStyle name="Input 4 2 6 3 2 8" xfId="16543" xr:uid="{EFA63649-9B2D-4F87-BB3E-14356BD1C7B9}"/>
    <cellStyle name="Input 4 2 6 3 3" xfId="6340" xr:uid="{E9F7DE6F-8B74-43C2-88C3-D0AE202A9567}"/>
    <cellStyle name="Input 4 2 6 3 4" xfId="7572" xr:uid="{11F5FC84-F242-4B64-9FC5-18AB2FEA51B4}"/>
    <cellStyle name="Input 4 2 6 3 5" xfId="9260" xr:uid="{85C57D6E-E4D9-4AE8-AF94-4FCA8572B509}"/>
    <cellStyle name="Input 4 2 6 3 6" xfId="10966" xr:uid="{C86E3291-CE26-4B64-98E3-B8E8E65063FD}"/>
    <cellStyle name="Input 4 2 6 3 7" xfId="12251" xr:uid="{8DADF7B0-90FF-45F4-9C73-EDBB9A240FB0}"/>
    <cellStyle name="Input 4 2 6 3 8" xfId="13903" xr:uid="{B2F98C62-992D-4320-AA51-C0C1001AAEEF}"/>
    <cellStyle name="Input 4 2 6 3 9" xfId="15591" xr:uid="{24241B9B-997E-45CF-872E-A4AE326D8384}"/>
    <cellStyle name="Input 4 2 6 4" xfId="4358" xr:uid="{EA46BA5A-0E59-4E7F-BC05-E7C3B74B93B2}"/>
    <cellStyle name="Input 4 2 6 4 2" xfId="6874" xr:uid="{9D792A27-647D-49F4-AF04-A06942C8A35C}"/>
    <cellStyle name="Input 4 2 6 4 3" xfId="8277" xr:uid="{F9D1CCF2-C62E-4862-9C29-CE93C31ECB37}"/>
    <cellStyle name="Input 4 2 6 4 4" xfId="9975" xr:uid="{70E23FBA-B98F-483C-9C20-522815BAF121}"/>
    <cellStyle name="Input 4 2 6 4 5" xfId="11493" xr:uid="{A0B6C1F4-EEFF-4046-8EE2-FF12637ED580}"/>
    <cellStyle name="Input 4 2 6 4 6" xfId="12954" xr:uid="{8770D103-4AF3-478D-A684-30399797ACFA}"/>
    <cellStyle name="Input 4 2 6 4 7" xfId="14618" xr:uid="{6573AB02-01FB-49A3-9A7E-AB9EA9BAD0C5}"/>
    <cellStyle name="Input 4 2 6 4 8" xfId="16294" xr:uid="{EDF1B7F5-1F94-4187-9A12-F868AD300E59}"/>
    <cellStyle name="Input 4 2 6 5" xfId="6025" xr:uid="{752848E2-2885-4135-A2AB-15BE1F231797}"/>
    <cellStyle name="Input 4 2 6 6" xfId="5232" xr:uid="{88648D89-1B89-4E01-B1B1-B2B54899ECA3}"/>
    <cellStyle name="Input 4 2 6 7" xfId="10670" xr:uid="{5BC8EAF9-34C9-4193-B7C0-8490680BCA93}"/>
    <cellStyle name="Input 4 2 6 8" xfId="5495" xr:uid="{3E2E7E35-EAC2-46B6-AA38-E03018B8ABC7}"/>
    <cellStyle name="Input 4 2 6 9" xfId="11049" xr:uid="{9C89FCA4-B844-48FA-8BA9-3D7D98E774AD}"/>
    <cellStyle name="Input 4 2 7" xfId="3228" xr:uid="{73BE827A-6295-4BDB-A563-0DA1A92BE945}"/>
    <cellStyle name="Input 4 2 7 10" xfId="15280" xr:uid="{FD61C322-A11D-4BF5-A513-13FC8521038B}"/>
    <cellStyle name="Input 4 2 7 2" xfId="4108" xr:uid="{4064BA53-9FA3-4C42-B520-79C132D326DC}"/>
    <cellStyle name="Input 4 2 7 2 2" xfId="4917" xr:uid="{6FF9AADD-4AAA-4653-AE98-19F0343644D3}"/>
    <cellStyle name="Input 4 2 7 2 2 2" xfId="7412" xr:uid="{7C208190-4A9E-44DD-9206-C354D5F3604B}"/>
    <cellStyle name="Input 4 2 7 2 2 3" xfId="8824" xr:uid="{E1C1BFAD-A895-4C9C-B008-DB951BD6A71C}"/>
    <cellStyle name="Input 4 2 7 2 2 4" xfId="10534" xr:uid="{1F415A9F-1E74-4AE6-9408-A58035AE2708}"/>
    <cellStyle name="Input 4 2 7 2 2 5" xfId="12030" xr:uid="{6D4BAD4C-21E1-4780-81C6-A726DD26A5E6}"/>
    <cellStyle name="Input 4 2 7 2 2 6" xfId="13501" xr:uid="{C9BAFC78-DD43-4FB6-ACB6-ED2942ADCE1E}"/>
    <cellStyle name="Input 4 2 7 2 2 7" xfId="15177" xr:uid="{9F2A0921-F2CC-4873-BB97-146A9C06814F}"/>
    <cellStyle name="Input 4 2 7 2 2 8" xfId="16841" xr:uid="{35AEDA33-683D-4ECA-87C1-E216E3DF490A}"/>
    <cellStyle name="Input 4 2 7 2 3" xfId="6687" xr:uid="{29DFAD0C-6BC4-4174-AC6A-0EEA303B9FC7}"/>
    <cellStyle name="Input 4 2 7 2 4" xfId="8033" xr:uid="{A9D802BC-B7DA-4EA0-89E9-C1886580C220}"/>
    <cellStyle name="Input 4 2 7 2 5" xfId="9727" xr:uid="{30C1B75C-E23A-41FD-B819-BB5A4E016B96}"/>
    <cellStyle name="Input 4 2 7 2 6" xfId="11314" xr:uid="{C9FD437C-DC19-4CDB-829F-55E3C7CFB217}"/>
    <cellStyle name="Input 4 2 7 2 7" xfId="12712" xr:uid="{D0C4A50E-531C-4AD1-A198-FA7C8CBCF9A0}"/>
    <cellStyle name="Input 4 2 7 2 8" xfId="14370" xr:uid="{AC306594-78B5-4A96-A054-202601CD3A43}"/>
    <cellStyle name="Input 4 2 7 2 9" xfId="16052" xr:uid="{46E9E886-7B81-4C22-A70B-4723E44275FC}"/>
    <cellStyle name="Input 4 2 7 3" xfId="3670" xr:uid="{8F1F03E1-7246-491F-B01E-D835E71A4A76}"/>
    <cellStyle name="Input 4 2 7 3 2" xfId="4631" xr:uid="{6F7345D3-7329-44CA-9E5B-70E1C4720A0A}"/>
    <cellStyle name="Input 4 2 7 3 2 2" xfId="7126" xr:uid="{11684BBD-95C6-439B-9683-24BBE8281085}"/>
    <cellStyle name="Input 4 2 7 3 2 3" xfId="8544" xr:uid="{0CA13852-6EBE-4AA4-A277-60A28E275AA1}"/>
    <cellStyle name="Input 4 2 7 3 2 4" xfId="10248" xr:uid="{47AF1024-490B-48DD-814C-79A1CD2D17EC}"/>
    <cellStyle name="Input 4 2 7 3 2 5" xfId="11744" xr:uid="{E0F084E2-54DF-49DF-A403-37C15025F5A0}"/>
    <cellStyle name="Input 4 2 7 3 2 6" xfId="13221" xr:uid="{28928CB8-7861-453A-B104-4A26782A0CDE}"/>
    <cellStyle name="Input 4 2 7 3 2 7" xfId="14891" xr:uid="{3052FBDE-E73C-40D5-9BD4-1B7D6FF4CF88}"/>
    <cellStyle name="Input 4 2 7 3 2 8" xfId="16561" xr:uid="{3C1B0A61-719A-4B05-88D5-916A2E2CF12C}"/>
    <cellStyle name="Input 4 2 7 3 3" xfId="6361" xr:uid="{917E68C3-2B50-402F-B2E3-AFDFD7B53E9C}"/>
    <cellStyle name="Input 4 2 7 3 4" xfId="7601" xr:uid="{1711CCAC-1C84-4FCB-A3A9-C68AB68E4939}"/>
    <cellStyle name="Input 4 2 7 3 5" xfId="9289" xr:uid="{FE519388-3871-4202-B30A-466226BD95DF}"/>
    <cellStyle name="Input 4 2 7 3 6" xfId="10986" xr:uid="{75A1FD22-0600-4E8F-8DD3-594655443D33}"/>
    <cellStyle name="Input 4 2 7 3 7" xfId="12280" xr:uid="{96750976-1035-43D5-AFF1-E62AEE686D22}"/>
    <cellStyle name="Input 4 2 7 3 8" xfId="13932" xr:uid="{AD677E67-F610-4381-B52D-1BDB439BB7E3}"/>
    <cellStyle name="Input 4 2 7 3 9" xfId="15620" xr:uid="{C4C19450-E2EF-4FE7-9137-384D52E8E351}"/>
    <cellStyle name="Input 4 2 7 4" xfId="4377" xr:uid="{B6071252-4651-4958-8948-F7A123017A36}"/>
    <cellStyle name="Input 4 2 7 4 2" xfId="6889" xr:uid="{502C1305-E94E-4399-87AF-EB6AEFC1E61D}"/>
    <cellStyle name="Input 4 2 7 4 3" xfId="8296" xr:uid="{EB0C1648-9268-4824-858B-ADD7BBBD20CC}"/>
    <cellStyle name="Input 4 2 7 4 4" xfId="9994" xr:uid="{F75A2151-1190-4409-BBD1-9C8BE6DFFE76}"/>
    <cellStyle name="Input 4 2 7 4 5" xfId="11507" xr:uid="{11B892B4-9A16-4542-A617-4D0DD2C93788}"/>
    <cellStyle name="Input 4 2 7 4 6" xfId="12973" xr:uid="{DA2F6B49-74F0-4CC7-BB03-EEF73010E2A9}"/>
    <cellStyle name="Input 4 2 7 4 7" xfId="14637" xr:uid="{014BE96A-A5BF-4F14-A631-9A2D75D29A0A}"/>
    <cellStyle name="Input 4 2 7 4 8" xfId="16313" xr:uid="{6437444B-A797-422F-A5D5-E04114D2A212}"/>
    <cellStyle name="Input 4 2 7 5" xfId="6050" xr:uid="{1AFC5BC7-59DC-469C-A1E0-A9F7AAB62B40}"/>
    <cellStyle name="Input 4 2 7 6" xfId="5747" xr:uid="{C5253859-559E-4BFC-8A7A-1F9B1D679208}"/>
    <cellStyle name="Input 4 2 7 7" xfId="10692" xr:uid="{D7533D34-464D-47D6-B015-AC93D5A6CA53}"/>
    <cellStyle name="Input 4 2 7 8" xfId="5774" xr:uid="{CC5EAE89-8EE6-4015-8B58-69B2F851FC52}"/>
    <cellStyle name="Input 4 2 7 9" xfId="5870" xr:uid="{5AACA777-F16A-41C1-AD46-07FDE42DCC27}"/>
    <cellStyle name="Input 4 2 8" xfId="3380" xr:uid="{7B0AA64E-AEB9-4C73-83E8-DBCB6E2C5F9C}"/>
    <cellStyle name="Input 4 2 8 10" xfId="15337" xr:uid="{3D061140-1A40-477A-B7FC-D5C95B2F31DF}"/>
    <cellStyle name="Input 4 2 8 2" xfId="4260" xr:uid="{336CAA32-1607-4B8B-AFD9-CF9E398DBB4C}"/>
    <cellStyle name="Input 4 2 8 2 2" xfId="5012" xr:uid="{F1D0548C-A5D2-42B4-960F-1FB855AD3494}"/>
    <cellStyle name="Input 4 2 8 2 2 2" xfId="7507" xr:uid="{E81EE729-DF84-4DE6-897D-94044EEC99D1}"/>
    <cellStyle name="Input 4 2 8 2 2 3" xfId="8917" xr:uid="{4EE4A176-C57D-4C48-9B99-9ADE1A97467D}"/>
    <cellStyle name="Input 4 2 8 2 2 4" xfId="10629" xr:uid="{419C4AE0-0333-4503-954B-A30C00B59214}"/>
    <cellStyle name="Input 4 2 8 2 2 5" xfId="12125" xr:uid="{4C61DFF3-1BA3-477E-920A-E07D5107448F}"/>
    <cellStyle name="Input 4 2 8 2 2 6" xfId="13594" xr:uid="{5B38D061-4F09-4D92-9B2C-A4E6E89644C7}"/>
    <cellStyle name="Input 4 2 8 2 2 7" xfId="15272" xr:uid="{FF920CFC-1C21-4EA6-8334-E483A3872E82}"/>
    <cellStyle name="Input 4 2 8 2 2 8" xfId="16934" xr:uid="{8CBF7C30-39FF-429A-844E-BBACFC1BB813}"/>
    <cellStyle name="Input 4 2 8 2 3" xfId="6800" xr:uid="{9220197B-8C04-44D5-A320-451082EF63AA}"/>
    <cellStyle name="Input 4 2 8 2 4" xfId="8183" xr:uid="{ED3DA819-904D-4EF3-AEBF-49C754F9DA90}"/>
    <cellStyle name="Input 4 2 8 2 5" xfId="9879" xr:uid="{F984DA7A-B214-4AC0-A6A9-0A88B726D009}"/>
    <cellStyle name="Input 4 2 8 2 6" xfId="11418" xr:uid="{1B6293CF-B99E-40FB-93A7-EDA6AC459009}"/>
    <cellStyle name="Input 4 2 8 2 7" xfId="12862" xr:uid="{4AE1EA40-09AC-4BD9-86C3-A7D1ED14A97C}"/>
    <cellStyle name="Input 4 2 8 2 8" xfId="14522" xr:uid="{F1A9CB82-FDB6-47A9-BBDA-9D0182E9B528}"/>
    <cellStyle name="Input 4 2 8 2 9" xfId="16202" xr:uid="{5A96B8C7-5E1F-47A8-B426-D67EB90B1025}"/>
    <cellStyle name="Input 4 2 8 3" xfId="3820" xr:uid="{598B7790-8B73-42ED-A5C3-8701BB4C410A}"/>
    <cellStyle name="Input 4 2 8 3 2" xfId="4724" xr:uid="{A490C1C3-298F-4DBD-9686-1BB5CF30E21B}"/>
    <cellStyle name="Input 4 2 8 3 2 2" xfId="7219" xr:uid="{C1B443C7-3933-4B65-A76F-6B512D18135B}"/>
    <cellStyle name="Input 4 2 8 3 2 3" xfId="8637" xr:uid="{FF73FED1-9A38-4984-991B-17A8C785D057}"/>
    <cellStyle name="Input 4 2 8 3 2 4" xfId="10341" xr:uid="{64014861-86D9-46ED-A0DC-79B9FBE3526F}"/>
    <cellStyle name="Input 4 2 8 3 2 5" xfId="11837" xr:uid="{37116947-F6E3-4581-9F06-870E38D3275B}"/>
    <cellStyle name="Input 4 2 8 3 2 6" xfId="13314" xr:uid="{B483654A-7676-44F8-A693-01386E85E151}"/>
    <cellStyle name="Input 4 2 8 3 2 7" xfId="14984" xr:uid="{60A8CB44-0DC6-4892-BA16-26A45745E6CC}"/>
    <cellStyle name="Input 4 2 8 3 2 8" xfId="16654" xr:uid="{48C9C274-6D8C-4CE8-9781-36C8AF91CD87}"/>
    <cellStyle name="Input 4 2 8 3 3" xfId="6470" xr:uid="{10EDB3FE-26A2-4AAA-B4C8-23E08BEDF23F}"/>
    <cellStyle name="Input 4 2 8 3 4" xfId="7751" xr:uid="{E1B9B8F0-4656-4382-83BC-520A379F3462}"/>
    <cellStyle name="Input 4 2 8 3 5" xfId="9439" xr:uid="{F1C6A51F-2D95-477B-BE7B-A40250782B38}"/>
    <cellStyle name="Input 4 2 8 3 6" xfId="11099" xr:uid="{23A62D14-E341-4977-B52F-5FB2694AB65B}"/>
    <cellStyle name="Input 4 2 8 3 7" xfId="12430" xr:uid="{12E743BA-54DA-4BB8-8E93-1899BC3FFEBE}"/>
    <cellStyle name="Input 4 2 8 3 8" xfId="14082" xr:uid="{CAB93FA0-7289-48B9-B1FC-7EC4508051FE}"/>
    <cellStyle name="Input 4 2 8 3 9" xfId="15770" xr:uid="{B06C3726-B504-4FF9-99E6-92408DD6632F}"/>
    <cellStyle name="Input 4 2 8 4" xfId="4436" xr:uid="{5E1D4A58-18BD-4365-BA9E-9BC587C30D83}"/>
    <cellStyle name="Input 4 2 8 4 2" xfId="6934" xr:uid="{8E67538C-FF79-46A2-A481-F95B21C4FF99}"/>
    <cellStyle name="Input 4 2 8 4 3" xfId="8353" xr:uid="{DD7BB34C-085C-4BF6-82C4-F7EFA00D038D}"/>
    <cellStyle name="Input 4 2 8 4 4" xfId="10053" xr:uid="{D06B8B21-0507-46A7-9CF5-6247223595BC}"/>
    <cellStyle name="Input 4 2 8 4 5" xfId="11551" xr:uid="{53DB4CA4-79D2-4AD6-9337-9FF70EC0C810}"/>
    <cellStyle name="Input 4 2 8 4 6" xfId="13030" xr:uid="{B5092817-2F8E-468E-8C84-43AA4CD9E590}"/>
    <cellStyle name="Input 4 2 8 4 7" xfId="14696" xr:uid="{8CB45E00-8491-4FAB-A9C2-A46838F41A4D}"/>
    <cellStyle name="Input 4 2 8 4 8" xfId="16370" xr:uid="{F72C7743-9E17-4BA5-A270-A97D53454C3D}"/>
    <cellStyle name="Input 4 2 8 5" xfId="6138" xr:uid="{7D1EDEA0-D886-4EF9-A4F2-E2FF29CE9768}"/>
    <cellStyle name="Input 4 2 8 6" xfId="5674" xr:uid="{B76D0FC7-7CA4-4646-B434-972CAE1954F0}"/>
    <cellStyle name="Input 4 2 8 7" xfId="10770" xr:uid="{0FE2346C-1AD1-4891-A1BD-31F602B835FF}"/>
    <cellStyle name="Input 4 2 8 8" xfId="5869" xr:uid="{C7CE0054-E908-4E8B-83FE-96D4395A7C00}"/>
    <cellStyle name="Input 4 2 8 9" xfId="13646" xr:uid="{828DC718-59E5-4D99-A2C4-547000728140}"/>
    <cellStyle name="Input 4 2 9" xfId="3878" xr:uid="{CDB03822-7122-4937-A779-3025E0EDA2AC}"/>
    <cellStyle name="Input 4 2 9 2" xfId="4769" xr:uid="{BE409987-0EB7-45B7-96B3-A43AEDC5396C}"/>
    <cellStyle name="Input 4 2 9 2 2" xfId="7264" xr:uid="{59767392-99FD-494A-B58F-6018B7F1718C}"/>
    <cellStyle name="Input 4 2 9 2 3" xfId="8679" xr:uid="{A04CC54B-0DEE-4334-B461-CB77477A2D90}"/>
    <cellStyle name="Input 4 2 9 2 4" xfId="10386" xr:uid="{D0603D05-09D4-44FE-B34F-D34F7FA39ACF}"/>
    <cellStyle name="Input 4 2 9 2 5" xfId="11882" xr:uid="{2D773D24-B659-46AF-A58B-C619D5F31321}"/>
    <cellStyle name="Input 4 2 9 2 6" xfId="13356" xr:uid="{12D526F2-1959-43EC-918D-FC05041795C8}"/>
    <cellStyle name="Input 4 2 9 2 7" xfId="15029" xr:uid="{87943488-8FEC-4C88-BE08-79AB8AB61940}"/>
    <cellStyle name="Input 4 2 9 2 8" xfId="16696" xr:uid="{DA2A7880-CF9D-4746-B0DF-0B2052715E5D}"/>
    <cellStyle name="Input 4 2 9 3" xfId="6519" xr:uid="{8E7E8941-2294-4BCD-B311-559E9A09CD13}"/>
    <cellStyle name="Input 4 2 9 4" xfId="7806" xr:uid="{C3D3D95C-1296-4DB9-8ABE-AAE669B7D5CD}"/>
    <cellStyle name="Input 4 2 9 5" xfId="9497" xr:uid="{438B7430-3202-4069-8780-DFCEBE231747}"/>
    <cellStyle name="Input 4 2 9 6" xfId="11150" xr:uid="{75E2C601-2734-48B7-9B7E-DB52FB709600}"/>
    <cellStyle name="Input 4 2 9 7" xfId="12485" xr:uid="{556E256C-A5DC-44D6-A95A-7F1F4F98B797}"/>
    <cellStyle name="Input 4 2 9 8" xfId="14140" xr:uid="{6C93F9C0-3AEC-4134-9A28-27A4017EDB04}"/>
    <cellStyle name="Input 4 2 9 9" xfId="15825" xr:uid="{5F1E6B63-F3F0-4EC5-A589-A8C4DE677EF1}"/>
    <cellStyle name="Input 4 3" xfId="2975" xr:uid="{5D2096F1-692C-429C-BC8D-B4F2CA41FF6E}"/>
    <cellStyle name="Input 4 3 10" xfId="3422" xr:uid="{662B1395-68E4-4C82-811D-432E55D4E397}"/>
    <cellStyle name="Input 4 3 10 2" xfId="4469" xr:uid="{8D1F3F58-BF6D-4226-94CA-EF914A473268}"/>
    <cellStyle name="Input 4 3 10 2 2" xfId="6964" xr:uid="{CD7EE025-CD2E-4185-A115-00EEF9FEC57E}"/>
    <cellStyle name="Input 4 3 10 2 3" xfId="8385" xr:uid="{102E080E-0121-4F2D-9087-DDD4AE57B0BA}"/>
    <cellStyle name="Input 4 3 10 2 4" xfId="10086" xr:uid="{FB791979-1DC6-42AE-942A-5E48972EA100}"/>
    <cellStyle name="Input 4 3 10 2 5" xfId="11582" xr:uid="{8A4C346D-BC28-454D-8BB1-E38710BD838A}"/>
    <cellStyle name="Input 4 3 10 2 6" xfId="13062" xr:uid="{2F89AD09-6C32-45EB-B005-EE7F2D5A1EA1}"/>
    <cellStyle name="Input 4 3 10 2 7" xfId="14729" xr:uid="{B5A5BBD9-DC3E-43D1-B260-ED62F1449DFF}"/>
    <cellStyle name="Input 4 3 10 2 8" xfId="16402" xr:uid="{98AE0768-9E00-4C00-BA3B-5F0B9F4EDDBB}"/>
    <cellStyle name="Input 4 3 10 3" xfId="6172" xr:uid="{E79FF3AF-474A-490C-9095-858FB974CD81}"/>
    <cellStyle name="Input 4 3 10 4" xfId="6071" xr:uid="{1733F598-1268-4F56-87F8-5FB4E5D3D957}"/>
    <cellStyle name="Input 4 3 10 5" xfId="9041" xr:uid="{440986B4-BEBE-44CD-AB15-7C1E1E0ADA35}"/>
    <cellStyle name="Input 4 3 10 6" xfId="10805" xr:uid="{590DC6F5-5F8D-4EA4-8DC1-3A57AF538A4E}"/>
    <cellStyle name="Input 4 3 10 7" xfId="5320" xr:uid="{F8A08250-728D-41B4-B0E8-464AAE6D5E06}"/>
    <cellStyle name="Input 4 3 10 8" xfId="13684" xr:uid="{949184ED-D7C8-4562-89BA-8899F1A4E541}"/>
    <cellStyle name="Input 4 3 10 9" xfId="15375" xr:uid="{69EA947A-1D17-4E3E-B68A-3723CC569FA6}"/>
    <cellStyle name="Input 4 3 11" xfId="6910" xr:uid="{2E23E9C1-8F72-4A1A-AB56-F68384500D6D}"/>
    <cellStyle name="Input 4 3 12" xfId="5883" xr:uid="{9042FBB2-C8C3-464F-98C1-C4F868A47997}"/>
    <cellStyle name="Input 4 3 2" xfId="3263" xr:uid="{AC34FCC6-6EF2-4449-8B09-E45ABE68D4F2}"/>
    <cellStyle name="Input 4 3 2 2" xfId="4143" xr:uid="{9E9BE0A1-874C-4AF5-B9CA-22DC453446BD}"/>
    <cellStyle name="Input 4 3 2 2 2" xfId="4940" xr:uid="{53635291-0AF7-4363-A333-941025A9F557}"/>
    <cellStyle name="Input 4 3 2 2 2 2" xfId="7435" xr:uid="{98A0570A-F75C-42ED-8454-A17E098E9FCA}"/>
    <cellStyle name="Input 4 3 2 2 2 3" xfId="8847" xr:uid="{3D286712-6E25-4627-9A04-F4F45B4F645F}"/>
    <cellStyle name="Input 4 3 2 2 2 4" xfId="10557" xr:uid="{7A13BDB3-0594-4531-99F4-2A600DF2B08C}"/>
    <cellStyle name="Input 4 3 2 2 2 5" xfId="12053" xr:uid="{E1209405-4744-4348-895B-B611E67883CD}"/>
    <cellStyle name="Input 4 3 2 2 2 6" xfId="13524" xr:uid="{AA28972E-145B-48B1-BC6C-20401C904C44}"/>
    <cellStyle name="Input 4 3 2 2 2 7" xfId="15200" xr:uid="{2394C689-1581-4C54-86BD-5251F5FC2F2C}"/>
    <cellStyle name="Input 4 3 2 2 2 8" xfId="16864" xr:uid="{131F6583-7E38-4850-A4A1-DC30219F6AE7}"/>
    <cellStyle name="Input 4 3 2 2 3" xfId="6714" xr:uid="{178B7366-6AC8-4A7D-A5C9-B56189CF3168}"/>
    <cellStyle name="Input 4 3 2 2 4" xfId="8068" xr:uid="{518FA2DF-C045-486E-A2BA-634395146E02}"/>
    <cellStyle name="Input 4 3 2 2 5" xfId="9762" xr:uid="{2FF71026-E6AA-4F41-9AB4-1FC5C58E1702}"/>
    <cellStyle name="Input 4 3 2 2 6" xfId="11342" xr:uid="{330A23FF-41F1-43E9-8DC3-8DE688184B71}"/>
    <cellStyle name="Input 4 3 2 2 7" xfId="12747" xr:uid="{7ECCFC79-C7CA-47DA-9825-4D59138F4E0C}"/>
    <cellStyle name="Input 4 3 2 2 8" xfId="14405" xr:uid="{5ED2752E-BBE3-4922-9B1E-B45A84F3B890}"/>
    <cellStyle name="Input 4 3 2 2 9" xfId="16087" xr:uid="{AD068988-0042-46E9-A183-5FF6F0E30634}"/>
    <cellStyle name="Input 4 3 2 3" xfId="3705" xr:uid="{CA92C51A-EEC8-4A7D-9CF7-C2AAF7211636}"/>
    <cellStyle name="Input 4 3 2 3 2" xfId="4654" xr:uid="{3CA114E5-92C2-4C3D-9B3B-A25F4EB0C8DB}"/>
    <cellStyle name="Input 4 3 2 3 2 2" xfId="7149" xr:uid="{504E0A4C-1B21-4599-BE51-148860F0C30C}"/>
    <cellStyle name="Input 4 3 2 3 2 3" xfId="8567" xr:uid="{0E8F8BE3-C500-46D5-BE0B-4AA6899AFBC8}"/>
    <cellStyle name="Input 4 3 2 3 2 4" xfId="10271" xr:uid="{9B6CD5C4-E9B0-49CF-A110-59E06E91F4E8}"/>
    <cellStyle name="Input 4 3 2 3 2 5" xfId="11767" xr:uid="{41B48F75-E194-4B6F-ACF6-F20A3D401D2B}"/>
    <cellStyle name="Input 4 3 2 3 2 6" xfId="13244" xr:uid="{BAD236D5-09CC-4746-A0C4-57FD61DD8F58}"/>
    <cellStyle name="Input 4 3 2 3 2 7" xfId="14914" xr:uid="{FE8A5B84-B5C1-41B3-A4F5-EBF40685947C}"/>
    <cellStyle name="Input 4 3 2 3 2 8" xfId="16584" xr:uid="{BA6928D5-62D9-44B5-B833-3DF693274C3B}"/>
    <cellStyle name="Input 4 3 2 3 3" xfId="6387" xr:uid="{0631681E-48D7-44FE-AEFD-DAD7420317F2}"/>
    <cellStyle name="Input 4 3 2 3 4" xfId="7636" xr:uid="{32B7400F-96A4-4411-A5AE-017C47DDA414}"/>
    <cellStyle name="Input 4 3 2 3 5" xfId="9324" xr:uid="{C0B998FF-9286-4962-A44B-A99A0CB3150A}"/>
    <cellStyle name="Input 4 3 2 3 6" xfId="11014" xr:uid="{39C14529-AC73-4EDA-A427-39709A86369E}"/>
    <cellStyle name="Input 4 3 2 3 7" xfId="12315" xr:uid="{B58427CD-A0BF-4746-A659-255E92D28AAB}"/>
    <cellStyle name="Input 4 3 2 3 8" xfId="13967" xr:uid="{9DFEEFB9-0ADF-4139-9033-F1656E4D69D3}"/>
    <cellStyle name="Input 4 3 2 3 9" xfId="15655" xr:uid="{5608B0E8-EC85-4DD9-A4F5-519DBEE6EAF9}"/>
    <cellStyle name="Input 4 3 2 4" xfId="8930" xr:uid="{E60483D4-FD91-4271-9779-1DB85DA81113}"/>
    <cellStyle name="Input 4 3 3" xfId="3134" xr:uid="{B520663E-6AC6-4753-A573-001C09D5A5A5}"/>
    <cellStyle name="Input 4 3 3 2" xfId="4014" xr:uid="{3A385AEC-BC07-4654-B37C-48ED7EC464F1}"/>
    <cellStyle name="Input 4 3 3 2 2" xfId="4859" xr:uid="{95F2F685-3215-469A-B66E-781CD84BAE08}"/>
    <cellStyle name="Input 4 3 3 2 2 2" xfId="7354" xr:uid="{3653BD3F-D70F-434F-9F07-134DFA2F9B13}"/>
    <cellStyle name="Input 4 3 3 2 2 3" xfId="8767" xr:uid="{26CFCA75-69C5-4734-9744-D774A4B58087}"/>
    <cellStyle name="Input 4 3 3 2 2 4" xfId="10476" xr:uid="{27B9ED77-94FB-4895-AE0F-7910385B57C1}"/>
    <cellStyle name="Input 4 3 3 2 2 5" xfId="11972" xr:uid="{62F213B7-1551-4003-BC3E-827098839205}"/>
    <cellStyle name="Input 4 3 3 2 2 6" xfId="13444" xr:uid="{D10D30DB-2D9A-4E0B-954E-F368064883E7}"/>
    <cellStyle name="Input 4 3 3 2 2 7" xfId="15119" xr:uid="{C0B93A84-098C-4C99-8154-87EABFBFA323}"/>
    <cellStyle name="Input 4 3 3 2 2 8" xfId="16784" xr:uid="{BBDCC4E1-975C-4CB6-8ED8-16E558FD35E2}"/>
    <cellStyle name="Input 4 3 3 2 3" xfId="6620" xr:uid="{2EB49685-F783-4312-A1EB-27F0EF0B2629}"/>
    <cellStyle name="Input 4 3 3 2 4" xfId="7940" xr:uid="{98998803-D8AA-4DE3-A8A2-218131D218C3}"/>
    <cellStyle name="Input 4 3 3 2 5" xfId="9633" xr:uid="{E800DDB8-7F5B-4C4B-8D16-B7B8861EEE31}"/>
    <cellStyle name="Input 4 3 3 2 6" xfId="11246" xr:uid="{11E1C817-46E1-4CC8-843A-DF34B48D9A18}"/>
    <cellStyle name="Input 4 3 3 2 7" xfId="12619" xr:uid="{068C029B-99D1-46E5-B623-1C63992B5E1E}"/>
    <cellStyle name="Input 4 3 3 2 8" xfId="14276" xr:uid="{7B9F4418-4CC6-47F3-A377-39FF6FA65F62}"/>
    <cellStyle name="Input 4 3 3 2 9" xfId="15959" xr:uid="{2B418E40-6389-44C8-8620-A9A28A98EAAF}"/>
    <cellStyle name="Input 4 3 3 3" xfId="3576" xr:uid="{B6A8C5FD-3A1D-459F-8C9C-7233EDBC7414}"/>
    <cellStyle name="Input 4 3 3 3 2" xfId="4573" xr:uid="{2DF5D61E-D681-4383-9F26-2D7DAF9D73BE}"/>
    <cellStyle name="Input 4 3 3 3 2 2" xfId="7068" xr:uid="{73A014AB-BAEA-4293-A1E8-D86AB5A4F7CE}"/>
    <cellStyle name="Input 4 3 3 3 2 3" xfId="8487" xr:uid="{D9674796-D47D-4711-83E5-C46EA8846C73}"/>
    <cellStyle name="Input 4 3 3 3 2 4" xfId="10190" xr:uid="{9798BBEB-03CB-4A3E-A173-3E539672F6DB}"/>
    <cellStyle name="Input 4 3 3 3 2 5" xfId="11686" xr:uid="{38B4C1E3-787C-4836-B478-8A2846CB9739}"/>
    <cellStyle name="Input 4 3 3 3 2 6" xfId="13164" xr:uid="{90F9DC8C-48E2-4A12-88C5-071E30DE04D8}"/>
    <cellStyle name="Input 4 3 3 3 2 7" xfId="14833" xr:uid="{DAC133B4-4EB0-4A44-9B70-DA0F1FB3C876}"/>
    <cellStyle name="Input 4 3 3 3 2 8" xfId="16504" xr:uid="{82E0D9E4-BF7A-4E9C-9BDE-10C8CF649121}"/>
    <cellStyle name="Input 4 3 3 3 3" xfId="6290" xr:uid="{B60AE7AD-75F9-44C5-BA2D-AB21BB59FAA7}"/>
    <cellStyle name="Input 4 3 3 3 4" xfId="5505" xr:uid="{AF1F2996-72BF-4F58-B9A2-6242744E9A64}"/>
    <cellStyle name="Input 4 3 3 3 5" xfId="9195" xr:uid="{878F8D62-4957-4D27-B762-B0B1DE41C2E6}"/>
    <cellStyle name="Input 4 3 3 3 6" xfId="10920" xr:uid="{6B54B182-D098-447B-B2C4-CEB539B3899C}"/>
    <cellStyle name="Input 4 3 3 3 7" xfId="12187" xr:uid="{3401D03F-A0FD-4D18-BEB5-54BC40DFA4E8}"/>
    <cellStyle name="Input 4 3 3 3 8" xfId="13838" xr:uid="{73DC442A-8AD6-42A0-995A-0306ED59F1C0}"/>
    <cellStyle name="Input 4 3 3 3 9" xfId="15527" xr:uid="{FADC9E1A-373D-4BAE-B834-AE426A00D234}"/>
    <cellStyle name="Input 4 3 3 4" xfId="6884" xr:uid="{0DB3D903-D3D5-4E6E-B4C8-59E9C5B2B747}"/>
    <cellStyle name="Input 4 3 4" xfId="3054" xr:uid="{979BD965-FB5E-4454-9982-6FC00E5E9905}"/>
    <cellStyle name="Input 4 3 4 2" xfId="3934" xr:uid="{F0A40666-31AC-4793-8BE3-109FF3E941F5}"/>
    <cellStyle name="Input 4 3 4 2 2" xfId="4803" xr:uid="{A654D5BF-594C-438F-8A88-58176496D19E}"/>
    <cellStyle name="Input 4 3 4 2 2 2" xfId="7298" xr:uid="{7C3D6FF1-AA65-430A-9FB9-E3D5C7A1BE09}"/>
    <cellStyle name="Input 4 3 4 2 2 3" xfId="8713" xr:uid="{893ADAC7-3BB4-42E6-B7AB-CB927C9519F5}"/>
    <cellStyle name="Input 4 3 4 2 2 4" xfId="10420" xr:uid="{C05D8105-1E5F-472D-9BA6-421643CCBADB}"/>
    <cellStyle name="Input 4 3 4 2 2 5" xfId="11916" xr:uid="{17A9DDEF-AF11-421E-9228-99ABBFEAB285}"/>
    <cellStyle name="Input 4 3 4 2 2 6" xfId="13390" xr:uid="{8459D881-104E-42C7-A04D-63592BE1B22B}"/>
    <cellStyle name="Input 4 3 4 2 2 7" xfId="15063" xr:uid="{6B5129B5-239A-42BE-91D7-2CC257246E48}"/>
    <cellStyle name="Input 4 3 4 2 2 8" xfId="16730" xr:uid="{BA863D77-E547-4B24-8CE3-750765A0517F}"/>
    <cellStyle name="Input 4 3 4 2 3" xfId="6558" xr:uid="{B5F55F6F-2834-4FE0-84C2-B35414D86A74}"/>
    <cellStyle name="Input 4 3 4 2 4" xfId="7862" xr:uid="{D49C6991-A121-45B6-B472-5140FA1B5908}"/>
    <cellStyle name="Input 4 3 4 2 5" xfId="9553" xr:uid="{39AC9539-AF3B-4F7F-B97D-48C75F7BE7D6}"/>
    <cellStyle name="Input 4 3 4 2 6" xfId="11189" xr:uid="{62088F5B-122C-4B9D-B9FE-A1DA62A9FC8F}"/>
    <cellStyle name="Input 4 3 4 2 7" xfId="12541" xr:uid="{31F8365A-90EF-432D-9446-0FC79AC0648E}"/>
    <cellStyle name="Input 4 3 4 2 8" xfId="14196" xr:uid="{CB18EF6F-0568-4ED0-A66F-CCD5FCCA2C86}"/>
    <cellStyle name="Input 4 3 4 2 9" xfId="15881" xr:uid="{CDDB20EB-47DD-4569-AE8B-E931356ACCD3}"/>
    <cellStyle name="Input 4 3 4 3" xfId="3496" xr:uid="{8509FE0C-06E7-4AC8-A11E-D2C18AD67187}"/>
    <cellStyle name="Input 4 3 4 3 2" xfId="4517" xr:uid="{D084D0E7-FC4F-4C21-8243-C46D3BD6B215}"/>
    <cellStyle name="Input 4 3 4 3 2 2" xfId="7012" xr:uid="{4E12B0A2-B12D-4710-908E-E82640D85D29}"/>
    <cellStyle name="Input 4 3 4 3 2 3" xfId="8433" xr:uid="{D83D475A-4723-48FB-B5D0-2D3BAD25D814}"/>
    <cellStyle name="Input 4 3 4 3 2 4" xfId="10134" xr:uid="{1CC86219-54A7-422C-AE64-C252923BE807}"/>
    <cellStyle name="Input 4 3 4 3 2 5" xfId="11630" xr:uid="{AF49761D-9050-4134-BF7D-6406E5848817}"/>
    <cellStyle name="Input 4 3 4 3 2 6" xfId="13110" xr:uid="{3E9FDC85-6CA6-4D8F-84E7-A4EC30680076}"/>
    <cellStyle name="Input 4 3 4 3 2 7" xfId="14777" xr:uid="{695B4517-6CC0-4297-AB4E-03369654A2D0}"/>
    <cellStyle name="Input 4 3 4 3 2 8" xfId="16450" xr:uid="{15F28853-A98A-43A7-9AB6-1D90C9C9E176}"/>
    <cellStyle name="Input 4 3 4 3 3" xfId="6227" xr:uid="{72841782-F088-4786-9BD2-8F874173365A}"/>
    <cellStyle name="Input 4 3 4 3 4" xfId="5160" xr:uid="{7E452B7E-D1CA-41D1-8609-CF4BFA164B87}"/>
    <cellStyle name="Input 4 3 4 3 5" xfId="9115" xr:uid="{9E47C6DA-A1CB-4FCF-84E3-722A5026A548}"/>
    <cellStyle name="Input 4 3 4 3 6" xfId="10861" xr:uid="{D67E7CE3-A652-4B79-9AFF-154B10C2FB1E}"/>
    <cellStyle name="Input 4 3 4 3 7" xfId="5521" xr:uid="{27BD4ED1-162E-45FD-AEAC-0E654F76D3C5}"/>
    <cellStyle name="Input 4 3 4 3 8" xfId="13758" xr:uid="{632F5EBD-F69A-4AFA-B489-710737D0172A}"/>
    <cellStyle name="Input 4 3 4 3 9" xfId="15449" xr:uid="{500F2781-0092-481D-9D9D-9A3B9270CAD6}"/>
    <cellStyle name="Input 4 3 4 4" xfId="5390" xr:uid="{E9349ADA-93FA-43F0-8CD6-A294EFFFE934}"/>
    <cellStyle name="Input 4 3 5" xfId="3301" xr:uid="{165F1F9E-C150-46ED-B675-BC001EE45928}"/>
    <cellStyle name="Input 4 3 5 2" xfId="4181" xr:uid="{23F03DC8-10BF-4990-AA22-691E0CB83776}"/>
    <cellStyle name="Input 4 3 5 2 2" xfId="4969" xr:uid="{52135F7D-C7AE-438A-BC11-88FBDB99D5B8}"/>
    <cellStyle name="Input 4 3 5 2 2 2" xfId="7464" xr:uid="{217B1BF6-96DA-4BCB-97E3-7C55D37DFD3E}"/>
    <cellStyle name="Input 4 3 5 2 2 3" xfId="8875" xr:uid="{ED4359BA-AD65-4D17-99F7-90732F7491CD}"/>
    <cellStyle name="Input 4 3 5 2 2 4" xfId="10586" xr:uid="{AA400C25-B5B9-40A5-A5DE-864B8D84B27B}"/>
    <cellStyle name="Input 4 3 5 2 2 5" xfId="12082" xr:uid="{DC7449BD-3E0D-4481-BEEE-9A6B738A7D47}"/>
    <cellStyle name="Input 4 3 5 2 2 6" xfId="13552" xr:uid="{BE5C1622-7DC1-46C5-90F6-B7BAED280B3C}"/>
    <cellStyle name="Input 4 3 5 2 2 7" xfId="15229" xr:uid="{17F4F797-6B22-4F2E-952F-CDCEA440C97F}"/>
    <cellStyle name="Input 4 3 5 2 2 8" xfId="16892" xr:uid="{DA9EAFA3-0C8E-4D11-B4F4-B3384A5BAD94}"/>
    <cellStyle name="Input 4 3 5 2 3" xfId="6744" xr:uid="{69385A63-E0B5-4340-810F-618EB68A17E3}"/>
    <cellStyle name="Input 4 3 5 2 4" xfId="8105" xr:uid="{7C3A2327-A065-4035-90CB-2C72B72566C9}"/>
    <cellStyle name="Input 4 3 5 2 5" xfId="9800" xr:uid="{CFB8C83B-C456-438A-BDB8-DA56F212C1EC}"/>
    <cellStyle name="Input 4 3 5 2 6" xfId="11372" xr:uid="{78F3B8A5-B196-4BB7-B402-BF06A4FA840F}"/>
    <cellStyle name="Input 4 3 5 2 7" xfId="12784" xr:uid="{55F648F8-F8F4-4E88-B680-FCD77DA55B0C}"/>
    <cellStyle name="Input 4 3 5 2 8" xfId="14443" xr:uid="{A19C9783-F72B-466D-8B7B-20D10192F94D}"/>
    <cellStyle name="Input 4 3 5 2 9" xfId="16124" xr:uid="{8729F1CB-00AB-4F97-ACD6-C08B271BC14B}"/>
    <cellStyle name="Input 4 3 5 3" xfId="3742" xr:uid="{D3CDB7E6-8BBF-46DA-8B1D-27FC6203A26E}"/>
    <cellStyle name="Input 4 3 5 3 2" xfId="4682" xr:uid="{652F93DC-3185-4A59-BC8F-CD5296209896}"/>
    <cellStyle name="Input 4 3 5 3 2 2" xfId="7177" xr:uid="{C5EA174E-60E9-4680-9ADB-530BAA0F5723}"/>
    <cellStyle name="Input 4 3 5 3 2 3" xfId="8595" xr:uid="{AB6F0193-AA04-4C48-96F9-E1D107D60DBD}"/>
    <cellStyle name="Input 4 3 5 3 2 4" xfId="10299" xr:uid="{DB9ACCBB-D8DC-4488-8078-C31772880A3E}"/>
    <cellStyle name="Input 4 3 5 3 2 5" xfId="11795" xr:uid="{9F3EF4F5-43E1-43BA-B145-EF419D35AE97}"/>
    <cellStyle name="Input 4 3 5 3 2 6" xfId="13272" xr:uid="{3A56CF28-A9DE-436F-A813-483472AC163E}"/>
    <cellStyle name="Input 4 3 5 3 2 7" xfId="14942" xr:uid="{935E3820-872F-4015-84E9-F5A41F723386}"/>
    <cellStyle name="Input 4 3 5 3 2 8" xfId="16612" xr:uid="{D266E955-B168-46C2-BA5B-18D228EE9DEA}"/>
    <cellStyle name="Input 4 3 5 3 3" xfId="6417" xr:uid="{7DF8CDF6-43B3-412D-86A5-BB06005CAA4D}"/>
    <cellStyle name="Input 4 3 5 3 4" xfId="7673" xr:uid="{CCE22856-FBAD-4FE1-B088-D02EC29A630D}"/>
    <cellStyle name="Input 4 3 5 3 5" xfId="9361" xr:uid="{E30211E5-C36E-40E5-91FA-8379950CF341}"/>
    <cellStyle name="Input 4 3 5 3 6" xfId="11045" xr:uid="{8ED12D33-D2CE-408D-A022-D95123F83197}"/>
    <cellStyle name="Input 4 3 5 3 7" xfId="12352" xr:uid="{73FA237D-FAF8-4D28-A719-59AED85F5CEF}"/>
    <cellStyle name="Input 4 3 5 3 8" xfId="14004" xr:uid="{62338E8A-67A0-4117-AEF4-F0584A2D15C2}"/>
    <cellStyle name="Input 4 3 5 3 9" xfId="15692" xr:uid="{D43B68C8-CD27-432D-8FC7-3F9A124DB0E0}"/>
    <cellStyle name="Input 4 3 5 4" xfId="8964" xr:uid="{EE7FF984-F665-441B-9A3C-F3C3D9558C1F}"/>
    <cellStyle name="Input 4 3 6" xfId="3293" xr:uid="{3EFD458F-A9F6-42D3-8A09-6A6255B446A4}"/>
    <cellStyle name="Input 4 3 6 10" xfId="15298" xr:uid="{38812E65-DB8E-4BBE-981C-0620F8B85CF0}"/>
    <cellStyle name="Input 4 3 6 2" xfId="4173" xr:uid="{62345570-BC03-45CE-80CC-8799F4C7E872}"/>
    <cellStyle name="Input 4 3 6 2 2" xfId="4963" xr:uid="{4BC9FA6C-E0E2-4957-AC80-68452CA57055}"/>
    <cellStyle name="Input 4 3 6 2 2 2" xfId="7458" xr:uid="{A484F057-F38C-4F34-8B29-0BA0C45A77A6}"/>
    <cellStyle name="Input 4 3 6 2 2 3" xfId="8870" xr:uid="{BA4D3AF7-C9D9-4A7A-8AE1-BECD8A801E80}"/>
    <cellStyle name="Input 4 3 6 2 2 4" xfId="10580" xr:uid="{BF899CDB-4A7D-452C-996F-0571F441562E}"/>
    <cellStyle name="Input 4 3 6 2 2 5" xfId="12076" xr:uid="{4DA7831B-7C6A-461F-A690-FBE8B2E9130D}"/>
    <cellStyle name="Input 4 3 6 2 2 6" xfId="13547" xr:uid="{F9DB18E1-372A-42E1-BF7B-BA22B4CEC1B5}"/>
    <cellStyle name="Input 4 3 6 2 2 7" xfId="15223" xr:uid="{78081F3A-0514-4CCB-8BD7-9E97E5A185D8}"/>
    <cellStyle name="Input 4 3 6 2 2 8" xfId="16887" xr:uid="{6D145836-79DA-4778-A3CC-357439A10872}"/>
    <cellStyle name="Input 4 3 6 2 3" xfId="6738" xr:uid="{7CCBB402-582D-44D7-A251-D9C7EC164A88}"/>
    <cellStyle name="Input 4 3 6 2 4" xfId="8098" xr:uid="{EC5164AA-E1E1-4EB8-91F4-9616867CDF64}"/>
    <cellStyle name="Input 4 3 6 2 5" xfId="9792" xr:uid="{BBD513DC-3189-44A8-8439-6A6707A50854}"/>
    <cellStyle name="Input 4 3 6 2 6" xfId="11366" xr:uid="{553CBE7D-4F82-4B63-8CDB-B5458F362C27}"/>
    <cellStyle name="Input 4 3 6 2 7" xfId="12777" xr:uid="{0A3328E3-8342-48C7-95F4-23E1DFF9F744}"/>
    <cellStyle name="Input 4 3 6 2 8" xfId="14435" xr:uid="{D3BF1F17-57A1-4161-BBFF-9B860E57E23C}"/>
    <cellStyle name="Input 4 3 6 2 9" xfId="16117" xr:uid="{24B21168-55C7-4D42-8E0F-8B2870A43573}"/>
    <cellStyle name="Input 4 3 6 3" xfId="3735" xr:uid="{E72DF71B-4AB3-4E26-A9CD-FF7ACA027A49}"/>
    <cellStyle name="Input 4 3 6 3 2" xfId="4677" xr:uid="{D43481B8-5F94-488D-8CCF-2A02617919BE}"/>
    <cellStyle name="Input 4 3 6 3 2 2" xfId="7172" xr:uid="{4056DAFD-E312-41A7-9E78-D4157EF35C67}"/>
    <cellStyle name="Input 4 3 6 3 2 3" xfId="8590" xr:uid="{C8F56D93-1BDC-462F-BE41-CEE86C97277A}"/>
    <cellStyle name="Input 4 3 6 3 2 4" xfId="10294" xr:uid="{CB7A92A6-3941-421B-861F-3B84F174711B}"/>
    <cellStyle name="Input 4 3 6 3 2 5" xfId="11790" xr:uid="{C0654517-E1C4-410B-ADC7-A272D86992C6}"/>
    <cellStyle name="Input 4 3 6 3 2 6" xfId="13267" xr:uid="{4BD4559A-6C73-4CCF-A3A9-B9AA62F2569D}"/>
    <cellStyle name="Input 4 3 6 3 2 7" xfId="14937" xr:uid="{763C8488-5BF4-4D8D-B359-08E011678959}"/>
    <cellStyle name="Input 4 3 6 3 2 8" xfId="16607" xr:uid="{99E34AAC-DED8-48D0-87F1-B070F3487FE5}"/>
    <cellStyle name="Input 4 3 6 3 3" xfId="6412" xr:uid="{FBCAF8D4-084A-4116-A53B-2A8089CDB9B1}"/>
    <cellStyle name="Input 4 3 6 3 4" xfId="7666" xr:uid="{DBDA186D-BB13-4453-A506-EACAA89B93D5}"/>
    <cellStyle name="Input 4 3 6 3 5" xfId="9354" xr:uid="{5BA85A45-73A1-4237-B669-F2EC23D2FE22}"/>
    <cellStyle name="Input 4 3 6 3 6" xfId="11039" xr:uid="{5BBFABF8-1CF3-42AF-A0FA-EB649CFAFE69}"/>
    <cellStyle name="Input 4 3 6 3 7" xfId="12345" xr:uid="{9B1E31D0-79CF-4B19-B25D-C6AEFFEF720B}"/>
    <cellStyle name="Input 4 3 6 3 8" xfId="13997" xr:uid="{B5C76A40-633D-4112-A3B6-8FCE896D8D80}"/>
    <cellStyle name="Input 4 3 6 3 9" xfId="15685" xr:uid="{1AB481F7-7E3F-4F44-8D94-1AEB0DA6A2CF}"/>
    <cellStyle name="Input 4 3 6 4" xfId="4395" xr:uid="{D2FAF0B2-9D6D-4ADC-82A0-908D624DBF47}"/>
    <cellStyle name="Input 4 3 6 4 2" xfId="6903" xr:uid="{6ED26F5B-B72A-4360-88E6-82EFB63BEE32}"/>
    <cellStyle name="Input 4 3 6 4 3" xfId="8314" xr:uid="{ABC8F500-68C2-4417-8102-F5D67DB7D81E}"/>
    <cellStyle name="Input 4 3 6 4 4" xfId="10012" xr:uid="{1FF3E6B4-AE04-4C10-8348-C6529F41DEEF}"/>
    <cellStyle name="Input 4 3 6 4 5" xfId="11523" xr:uid="{BEE40C63-184B-4908-B3BC-808FC52D85B8}"/>
    <cellStyle name="Input 4 3 6 4 6" xfId="12991" xr:uid="{837407EE-808A-42F1-A800-EB28619D7739}"/>
    <cellStyle name="Input 4 3 6 4 7" xfId="14655" xr:uid="{1362AD90-3898-4FC6-A239-FEBA2A5BA712}"/>
    <cellStyle name="Input 4 3 6 4 8" xfId="16331" xr:uid="{E723ECEE-E6A7-42CC-A925-BE740D824EAC}"/>
    <cellStyle name="Input 4 3 6 5" xfId="6083" xr:uid="{7532041F-EFF2-4DE1-B91D-9500E58A2DC2}"/>
    <cellStyle name="Input 4 3 6 6" xfId="5574" xr:uid="{4E3E3A02-BCE7-4995-8A0C-D730AC2E4DFB}"/>
    <cellStyle name="Input 4 3 6 7" xfId="10720" xr:uid="{0AEC63C1-1067-4DBA-83DD-116C4CDEC233}"/>
    <cellStyle name="Input 4 3 6 8" xfId="5299" xr:uid="{6E86D71E-EBF8-4419-BEA2-FBA32CF16678}"/>
    <cellStyle name="Input 4 3 6 9" xfId="13604" xr:uid="{B2AEC3F0-C7A0-463B-BAC5-FA49E2D78C43}"/>
    <cellStyle name="Input 4 3 7" xfId="3076" xr:uid="{787B0CC8-B5F6-41FD-AA6E-C3DC07D5E372}"/>
    <cellStyle name="Input 4 3 7 10" xfId="5717" xr:uid="{3FB3212D-DF57-4758-B73B-97F780992B47}"/>
    <cellStyle name="Input 4 3 7 2" xfId="3956" xr:uid="{139D3511-9625-45EC-9E53-2A06199B1257}"/>
    <cellStyle name="Input 4 3 7 2 2" xfId="4818" xr:uid="{CD189335-B4FB-4B6E-AC2B-4A9630FD6960}"/>
    <cellStyle name="Input 4 3 7 2 2 2" xfId="7313" xr:uid="{784D944A-054D-431D-9CE2-ECC257838724}"/>
    <cellStyle name="Input 4 3 7 2 2 3" xfId="8727" xr:uid="{2F608986-6A7A-40E3-9532-090555D3DAD2}"/>
    <cellStyle name="Input 4 3 7 2 2 4" xfId="10435" xr:uid="{EABAB09B-1F76-4014-80BB-98293C81C434}"/>
    <cellStyle name="Input 4 3 7 2 2 5" xfId="11931" xr:uid="{0764A145-D242-4E9C-86C4-D98484694ED5}"/>
    <cellStyle name="Input 4 3 7 2 2 6" xfId="13404" xr:uid="{B54F9D64-0E6E-457C-8664-5B0515702391}"/>
    <cellStyle name="Input 4 3 7 2 2 7" xfId="15078" xr:uid="{ADA27A66-C7AF-4DC0-B5D8-EE8CA8033659}"/>
    <cellStyle name="Input 4 3 7 2 2 8" xfId="16744" xr:uid="{6A953F86-061F-48D0-9AB2-A12636DEEEB1}"/>
    <cellStyle name="Input 4 3 7 2 3" xfId="6575" xr:uid="{243F1F3D-7F9A-408D-9B6B-C936B3F8166A}"/>
    <cellStyle name="Input 4 3 7 2 4" xfId="7883" xr:uid="{F7224D3A-73EA-4136-BBED-D15BA535551D}"/>
    <cellStyle name="Input 4 3 7 2 5" xfId="9575" xr:uid="{61ED1D9D-8EB0-4415-BD3D-49B6588A2276}"/>
    <cellStyle name="Input 4 3 7 2 6" xfId="11205" xr:uid="{F6B08D81-0CD0-4F36-97B3-6E251AECECD4}"/>
    <cellStyle name="Input 4 3 7 2 7" xfId="12562" xr:uid="{F8D37348-0B6C-4FB9-B359-36525B66F993}"/>
    <cellStyle name="Input 4 3 7 2 8" xfId="14218" xr:uid="{E7C49768-B923-436C-896E-ED68209C826A}"/>
    <cellStyle name="Input 4 3 7 2 9" xfId="15902" xr:uid="{F90D16B0-7FD4-4740-AEA0-B31AF575050E}"/>
    <cellStyle name="Input 4 3 7 3" xfId="3518" xr:uid="{D7770454-03AA-4EF5-A153-DB0D876FABCF}"/>
    <cellStyle name="Input 4 3 7 3 2" xfId="4532" xr:uid="{BAB9F65F-584D-44D1-85C0-008892F1E938}"/>
    <cellStyle name="Input 4 3 7 3 2 2" xfId="7027" xr:uid="{A6EE828D-4D8F-4394-BA38-DE34BE4EE2C3}"/>
    <cellStyle name="Input 4 3 7 3 2 3" xfId="8447" xr:uid="{2649E64A-76C5-4CB9-AC6B-37C779F207F6}"/>
    <cellStyle name="Input 4 3 7 3 2 4" xfId="10149" xr:uid="{56FC786D-C6BB-4F82-83D0-344BBA9A62EE}"/>
    <cellStyle name="Input 4 3 7 3 2 5" xfId="11645" xr:uid="{E8EB6C03-45A1-495A-B9AC-9674610AB8F9}"/>
    <cellStyle name="Input 4 3 7 3 2 6" xfId="13124" xr:uid="{95300832-B283-4507-86F1-796BB9868FC4}"/>
    <cellStyle name="Input 4 3 7 3 2 7" xfId="14792" xr:uid="{49C1ACDB-9377-4391-87BE-37B7B837BDA9}"/>
    <cellStyle name="Input 4 3 7 3 2 8" xfId="16464" xr:uid="{CFDF1062-DAC0-40C2-A5D7-77F7CB7AB2DF}"/>
    <cellStyle name="Input 4 3 7 3 3" xfId="6245" xr:uid="{15633F39-8372-44D2-A897-985FCFC74C2B}"/>
    <cellStyle name="Input 4 3 7 3 4" xfId="5058" xr:uid="{41FB8FD0-6DC4-45AA-B0E6-0D8EBE2DDBB2}"/>
    <cellStyle name="Input 4 3 7 3 5" xfId="9137" xr:uid="{7624E386-FA98-4F16-A360-38D01C6BD34C}"/>
    <cellStyle name="Input 4 3 7 3 6" xfId="10876" xr:uid="{CEE84753-EFC4-4B38-898E-7BB54278B9FF}"/>
    <cellStyle name="Input 4 3 7 3 7" xfId="5260" xr:uid="{77FF99BF-B68E-4C27-8CB9-9188A9DE2BF5}"/>
    <cellStyle name="Input 4 3 7 3 8" xfId="13780" xr:uid="{472221AC-F2A6-4DAA-89F0-BDA4F8A65BF5}"/>
    <cellStyle name="Input 4 3 7 3 9" xfId="15470" xr:uid="{55BFB505-1D6D-4E38-8967-550809B42565}"/>
    <cellStyle name="Input 4 3 7 4" xfId="4314" xr:uid="{3576F081-4E71-4B6D-87E8-1374575E67F5}"/>
    <cellStyle name="Input 4 3 7 4 2" xfId="6839" xr:uid="{6D77DD86-B380-4174-B8B9-933805155E75}"/>
    <cellStyle name="Input 4 3 7 4 3" xfId="8235" xr:uid="{21652E5F-0D91-4DE5-8EE9-9957E1E6DB79}"/>
    <cellStyle name="Input 4 3 7 4 4" xfId="9931" xr:uid="{9061FE66-9020-44C6-B39D-C0756B2821D1}"/>
    <cellStyle name="Input 4 3 7 4 5" xfId="11458" xr:uid="{C4EE8916-3A4F-4C0C-8038-B85D3607F637}"/>
    <cellStyle name="Input 4 3 7 4 6" xfId="12912" xr:uid="{DD81B65C-C1B9-45EA-BCA8-4A929470F43D}"/>
    <cellStyle name="Input 4 3 7 4 7" xfId="14574" xr:uid="{33C3D3F1-5951-43D4-BF43-24F3881632AD}"/>
    <cellStyle name="Input 4 3 7 4 8" xfId="16252" xr:uid="{D57F65CE-8FD1-4B33-800C-257C02B7ED04}"/>
    <cellStyle name="Input 4 3 7 5" xfId="5954" xr:uid="{4F098C22-83F5-4399-B097-6B795B873053}"/>
    <cellStyle name="Input 4 3 7 6" xfId="5098" xr:uid="{9E5E78B1-2532-4529-A566-C7F7FF417BA7}"/>
    <cellStyle name="Input 4 3 7 7" xfId="5874" xr:uid="{4CFA2C3C-D782-4E54-B5CC-37B9F8A1C568}"/>
    <cellStyle name="Input 4 3 7 8" xfId="5408" xr:uid="{29E0C88D-2083-4950-894A-BEE82711CB56}"/>
    <cellStyle name="Input 4 3 7 9" xfId="5443" xr:uid="{DF238800-12C8-4F12-8451-6777D32C9451}"/>
    <cellStyle name="Input 4 3 8" xfId="3362" xr:uid="{B63832B4-A59D-4D2C-B826-8340745F869A}"/>
    <cellStyle name="Input 4 3 8 10" xfId="15319" xr:uid="{D91D6210-CFBB-4ADF-9895-74B92D970207}"/>
    <cellStyle name="Input 4 3 8 2" xfId="4242" xr:uid="{CD80C233-7203-42E2-BCAA-5BE1DD5D4812}"/>
    <cellStyle name="Input 4 3 8 2 2" xfId="4998" xr:uid="{EA4F1310-9979-4AE5-B6EF-115E00C68D16}"/>
    <cellStyle name="Input 4 3 8 2 2 2" xfId="7493" xr:uid="{8D78E0A6-33AD-47BB-B5F8-A22D1A404C55}"/>
    <cellStyle name="Input 4 3 8 2 2 3" xfId="8903" xr:uid="{FD3A0451-8A2D-4F23-B164-C500C04819B2}"/>
    <cellStyle name="Input 4 3 8 2 2 4" xfId="10615" xr:uid="{49E0C7E7-B1F6-4D18-93F7-0438F1632183}"/>
    <cellStyle name="Input 4 3 8 2 2 5" xfId="12111" xr:uid="{B4AC1DBC-BD23-456D-9B56-5FDBF9C58792}"/>
    <cellStyle name="Input 4 3 8 2 2 6" xfId="13580" xr:uid="{111A4BD1-BF30-411D-923F-4B78BD26668B}"/>
    <cellStyle name="Input 4 3 8 2 2 7" xfId="15258" xr:uid="{746FC0A6-B800-4C29-9FE2-221BA9F3D1FF}"/>
    <cellStyle name="Input 4 3 8 2 2 8" xfId="16920" xr:uid="{754A457C-53AF-417D-8130-9C6C8040CC80}"/>
    <cellStyle name="Input 4 3 8 2 3" xfId="6784" xr:uid="{65FE540B-D4D3-41E9-B936-BC893595F53D}"/>
    <cellStyle name="Input 4 3 8 2 4" xfId="8165" xr:uid="{BE41B522-D4F8-4FEB-98AF-DEB7EF6FF8A1}"/>
    <cellStyle name="Input 4 3 8 2 5" xfId="9861" xr:uid="{ADF7C84E-7907-41AC-8320-E923311294B9}"/>
    <cellStyle name="Input 4 3 8 2 6" xfId="11404" xr:uid="{CD47E993-81EB-4096-B9D7-05026B5AECFC}"/>
    <cellStyle name="Input 4 3 8 2 7" xfId="12844" xr:uid="{4E9181CF-996C-4D2F-9F54-C9F91694B29A}"/>
    <cellStyle name="Input 4 3 8 2 8" xfId="14504" xr:uid="{59BDD68A-8E84-4E2D-90EB-435A7F7C0FB0}"/>
    <cellStyle name="Input 4 3 8 2 9" xfId="16184" xr:uid="{CB390B68-234E-4E53-8BB4-F3E3A078FFAC}"/>
    <cellStyle name="Input 4 3 8 3" xfId="3802" xr:uid="{6A405E66-EF5C-407E-8C33-9C9B5DAD31A0}"/>
    <cellStyle name="Input 4 3 8 3 2" xfId="4710" xr:uid="{AB81B3FA-A5E3-44E0-9668-EA156FCA6A57}"/>
    <cellStyle name="Input 4 3 8 3 2 2" xfId="7205" xr:uid="{0DCC60B2-88C8-4FF8-BA71-1A85C6DB3E38}"/>
    <cellStyle name="Input 4 3 8 3 2 3" xfId="8623" xr:uid="{6D3360DF-457C-4051-81C3-03065F0636A5}"/>
    <cellStyle name="Input 4 3 8 3 2 4" xfId="10327" xr:uid="{0037CF79-BB4A-4ED2-8956-46A9B2F69517}"/>
    <cellStyle name="Input 4 3 8 3 2 5" xfId="11823" xr:uid="{297AFAFE-D04A-4EE4-97CB-73C7D14481D7}"/>
    <cellStyle name="Input 4 3 8 3 2 6" xfId="13300" xr:uid="{EF4340AB-55ED-438E-B70B-ED0953D8CB2F}"/>
    <cellStyle name="Input 4 3 8 3 2 7" xfId="14970" xr:uid="{FF15F40C-18D4-4CED-9C7F-362CD4CC0D30}"/>
    <cellStyle name="Input 4 3 8 3 2 8" xfId="16640" xr:uid="{7C9D203D-176D-44B0-BE63-46EF0C10CBA0}"/>
    <cellStyle name="Input 4 3 8 3 3" xfId="6455" xr:uid="{EF4DD5A2-E33C-4067-879B-13F1D1F3165C}"/>
    <cellStyle name="Input 4 3 8 3 4" xfId="7733" xr:uid="{B1E9C4C2-480C-4987-A2C2-D59E7E51C1B7}"/>
    <cellStyle name="Input 4 3 8 3 5" xfId="9421" xr:uid="{093E0213-6E11-4FD6-B99D-5EF6355721F6}"/>
    <cellStyle name="Input 4 3 8 3 6" xfId="11084" xr:uid="{0DF4E173-F7B8-4BF3-920F-AB1B73405C4F}"/>
    <cellStyle name="Input 4 3 8 3 7" xfId="12412" xr:uid="{F76BEECF-083C-4B9D-8252-2AAB2C5BE5D3}"/>
    <cellStyle name="Input 4 3 8 3 8" xfId="14064" xr:uid="{5542330A-A252-4B4D-AECD-2FD27BFDA630}"/>
    <cellStyle name="Input 4 3 8 3 9" xfId="15752" xr:uid="{A16A2ED7-5C49-4971-A1B3-D3A2CABBFDF4}"/>
    <cellStyle name="Input 4 3 8 4" xfId="4418" xr:uid="{FEC077D5-34EF-4078-B53F-B6960FE809AE}"/>
    <cellStyle name="Input 4 3 8 4 2" xfId="6919" xr:uid="{BE9B48F6-AD6E-486B-8D3A-55E93704945E}"/>
    <cellStyle name="Input 4 3 8 4 3" xfId="8335" xr:uid="{4D4E306D-CA3E-4F92-A48C-322AD34F8990}"/>
    <cellStyle name="Input 4 3 8 4 4" xfId="10035" xr:uid="{E947151A-1DE5-4B54-A964-07C50E872897}"/>
    <cellStyle name="Input 4 3 8 4 5" xfId="11536" xr:uid="{38501651-67AF-43A5-9DF2-A293B305F7B7}"/>
    <cellStyle name="Input 4 3 8 4 6" xfId="13012" xr:uid="{9B06C00A-5DF0-4205-9921-0C3C1F04FFF3}"/>
    <cellStyle name="Input 4 3 8 4 7" xfId="14678" xr:uid="{C18EF597-17C5-43C1-83F1-CD11FD07E5CA}"/>
    <cellStyle name="Input 4 3 8 4 8" xfId="16352" xr:uid="{30D29420-C5DB-4FB5-9E70-8E8CDB6C999E}"/>
    <cellStyle name="Input 4 3 8 5" xfId="6120" xr:uid="{0CC6FC0A-0275-4A78-9A27-59CA88DF4E72}"/>
    <cellStyle name="Input 4 3 8 6" xfId="5650" xr:uid="{C8EFDFDF-F437-4EAB-A272-EF24FAE16AC9}"/>
    <cellStyle name="Input 4 3 8 7" xfId="10752" xr:uid="{56F38CAA-9512-4A1C-8116-ECAA7D76D263}"/>
    <cellStyle name="Input 4 3 8 8" xfId="10637" xr:uid="{92205808-9CB4-49CE-AFDE-68292B1AF8F3}"/>
    <cellStyle name="Input 4 3 8 9" xfId="13628" xr:uid="{180308FB-9D43-4024-ADE7-1F49124BC08B}"/>
    <cellStyle name="Input 4 3 9" xfId="3859" xr:uid="{F2DB3665-EAA1-458B-9AB5-AAA273720707}"/>
    <cellStyle name="Input 4 3 9 2" xfId="4754" xr:uid="{C58A2184-7105-4DC9-84A2-0FD002DA0041}"/>
    <cellStyle name="Input 4 3 9 2 2" xfId="7249" xr:uid="{4B3A49DA-0D36-4FB6-87AD-C622C8B4390A}"/>
    <cellStyle name="Input 4 3 9 2 3" xfId="8665" xr:uid="{34ABFCE4-36C8-416F-BBA6-9946DCF37EF4}"/>
    <cellStyle name="Input 4 3 9 2 4" xfId="10371" xr:uid="{2849AF1D-CE9E-43E1-8A93-0EBBBF278FC2}"/>
    <cellStyle name="Input 4 3 9 2 5" xfId="11867" xr:uid="{403D713A-D632-4BEA-8129-9C36A718536C}"/>
    <cellStyle name="Input 4 3 9 2 6" xfId="13342" xr:uid="{D3C5BB89-77BD-4101-92B0-20E06436C56D}"/>
    <cellStyle name="Input 4 3 9 2 7" xfId="15014" xr:uid="{1A675E01-E044-4331-99E4-7174E965132C}"/>
    <cellStyle name="Input 4 3 9 2 8" xfId="16682" xr:uid="{DD74C2E3-4683-4702-B0EA-909E1915F502}"/>
    <cellStyle name="Input 4 3 9 3" xfId="6502" xr:uid="{720B768C-B08B-40E2-96C7-337686F9B5C2}"/>
    <cellStyle name="Input 4 3 9 4" xfId="7788" xr:uid="{C57573C8-FA8A-4E84-8FEB-A4A61CF18AB1}"/>
    <cellStyle name="Input 4 3 9 5" xfId="9478" xr:uid="{FAA0247E-2D2D-434B-8325-C7CEB264C61A}"/>
    <cellStyle name="Input 4 3 9 6" xfId="11132" xr:uid="{3B88A472-90CC-4873-9A3B-13EADD0FBF33}"/>
    <cellStyle name="Input 4 3 9 7" xfId="12467" xr:uid="{7B949878-DBBE-4435-9E53-8B366DB55AAD}"/>
    <cellStyle name="Input 4 3 9 8" xfId="14121" xr:uid="{49EC6606-80EB-40E6-BDF8-CA79E8D60239}"/>
    <cellStyle name="Input 4 3 9 9" xfId="15807" xr:uid="{0211D637-2E00-4057-A61A-778C317283D1}"/>
    <cellStyle name="Input 4 4" xfId="3079" xr:uid="{6BEF995E-6543-410C-B3E1-97294AA39930}"/>
    <cellStyle name="Input 4 4 2" xfId="3959" xr:uid="{CF29E413-B6EE-40DE-9B0E-51A09A53B543}"/>
    <cellStyle name="Input 4 4 2 2" xfId="4819" xr:uid="{487C08D9-990A-42D3-A19B-114486948DEA}"/>
    <cellStyle name="Input 4 4 2 2 2" xfId="7314" xr:uid="{D73B60BF-CC39-4486-A03B-5A90E16AB689}"/>
    <cellStyle name="Input 4 4 2 2 3" xfId="8728" xr:uid="{600B6D1E-B33E-4505-9240-4190FC14F78A}"/>
    <cellStyle name="Input 4 4 2 2 4" xfId="10436" xr:uid="{16858D31-C0F9-4222-B5B7-5719140B582A}"/>
    <cellStyle name="Input 4 4 2 2 5" xfId="11932" xr:uid="{88AF8437-A668-4ECE-B583-186C15C0B86B}"/>
    <cellStyle name="Input 4 4 2 2 6" xfId="13405" xr:uid="{2CE4BBA4-5E09-457C-BA1A-0199E7316DF5}"/>
    <cellStyle name="Input 4 4 2 2 7" xfId="15079" xr:uid="{E0602E5D-12B0-427B-A69F-CF96F80586B2}"/>
    <cellStyle name="Input 4 4 2 2 8" xfId="16745" xr:uid="{C600E6DD-D996-46BF-AC3D-570C4F6B8BC1}"/>
    <cellStyle name="Input 4 4 2 3" xfId="6576" xr:uid="{17E7B7E0-806E-4CBE-B452-A314D1CF9567}"/>
    <cellStyle name="Input 4 4 2 4" xfId="7886" xr:uid="{91A5960D-9AAB-471F-A94C-C6DC8582660D}"/>
    <cellStyle name="Input 4 4 2 5" xfId="9578" xr:uid="{5EC797CB-3B89-4560-B972-75B13F73EFF6}"/>
    <cellStyle name="Input 4 4 2 6" xfId="11206" xr:uid="{86D26663-2A20-4CC2-8DEC-DA9A9A64C26E}"/>
    <cellStyle name="Input 4 4 2 7" xfId="12565" xr:uid="{E0FDE2BC-6490-4A72-9DF4-C1A928BC7A33}"/>
    <cellStyle name="Input 4 4 2 8" xfId="14221" xr:uid="{F0ECF2AF-218C-4E8B-ADF2-B1C85E0BE6D6}"/>
    <cellStyle name="Input 4 4 2 9" xfId="15905" xr:uid="{9A801CD7-5857-4C1D-AD93-7359FF5B9355}"/>
    <cellStyle name="Input 4 4 3" xfId="3521" xr:uid="{AB0104CE-4630-47B7-AC59-702F4085E65B}"/>
    <cellStyle name="Input 4 4 3 2" xfId="4533" xr:uid="{62612E9D-2BD8-4A69-ADF4-2F74E3044DDE}"/>
    <cellStyle name="Input 4 4 3 2 2" xfId="7028" xr:uid="{21547243-B980-42EF-B199-53B41C535B70}"/>
    <cellStyle name="Input 4 4 3 2 3" xfId="8448" xr:uid="{582E873D-D2FB-4664-B79D-32DF0E8C965C}"/>
    <cellStyle name="Input 4 4 3 2 4" xfId="10150" xr:uid="{C0D935F1-379B-4EEB-BEA0-A6467117E532}"/>
    <cellStyle name="Input 4 4 3 2 5" xfId="11646" xr:uid="{4D5AECBC-FDBA-4DC8-A536-E17727B29590}"/>
    <cellStyle name="Input 4 4 3 2 6" xfId="13125" xr:uid="{0DF3496B-990D-45B0-9FEF-6E339B2457A7}"/>
    <cellStyle name="Input 4 4 3 2 7" xfId="14793" xr:uid="{F6B48093-B990-4B89-A17F-1BC609251BEC}"/>
    <cellStyle name="Input 4 4 3 2 8" xfId="16465" xr:uid="{506FE35C-1631-47C7-ACC0-37D53AED6F3F}"/>
    <cellStyle name="Input 4 4 3 3" xfId="6246" xr:uid="{574490A4-4EDE-4016-987D-441C5D5B2DB5}"/>
    <cellStyle name="Input 4 4 3 4" xfId="5144" xr:uid="{2B89B0BD-7AED-4622-9F35-98B066AECC76}"/>
    <cellStyle name="Input 4 4 3 5" xfId="9140" xr:uid="{145783B2-7E3C-404D-935D-ABE703209E8C}"/>
    <cellStyle name="Input 4 4 3 6" xfId="10877" xr:uid="{F3C89712-E640-40CF-8AE9-63544010D469}"/>
    <cellStyle name="Input 4 4 3 7" xfId="12133" xr:uid="{77619346-125C-46C2-B7D1-BBB7100CC28B}"/>
    <cellStyle name="Input 4 4 3 8" xfId="13783" xr:uid="{1CB5620A-7420-42D6-8C8B-528717720F89}"/>
    <cellStyle name="Input 4 4 3 9" xfId="15473" xr:uid="{0AA0F3E0-6866-4EE2-9D29-C7D272906295}"/>
    <cellStyle name="Input 4 4 4" xfId="6391" xr:uid="{9CBF44C8-E623-421A-93D1-4F30AECF8FC7}"/>
    <cellStyle name="Input 4 5" xfId="3032" xr:uid="{34311A5A-E531-4776-965D-A1F1418BABCB}"/>
    <cellStyle name="Input 4 5 10" xfId="11448" xr:uid="{66F75275-61EE-46FA-990A-202DCC6A30DE}"/>
    <cellStyle name="Input 4 5 2" xfId="3912" xr:uid="{892981D1-C6DE-4628-B398-4F384685FD50}"/>
    <cellStyle name="Input 4 5 2 2" xfId="4787" xr:uid="{99638C34-6FF0-4747-ABE1-291FD425AC4C}"/>
    <cellStyle name="Input 4 5 2 2 2" xfId="7282" xr:uid="{422F2FD4-6E64-4307-9B91-C1AEA71210F2}"/>
    <cellStyle name="Input 4 5 2 2 3" xfId="8697" xr:uid="{E8354522-3A53-4BE9-B0F7-96086B3A37D3}"/>
    <cellStyle name="Input 4 5 2 2 4" xfId="10404" xr:uid="{D063A57F-0277-4165-BD7D-53DC94313271}"/>
    <cellStyle name="Input 4 5 2 2 5" xfId="11900" xr:uid="{229FEC30-1AFC-4F6B-AEEA-1FDAE15D9E3C}"/>
    <cellStyle name="Input 4 5 2 2 6" xfId="13374" xr:uid="{D90E8F19-6065-4190-8E3E-FB57957274BB}"/>
    <cellStyle name="Input 4 5 2 2 7" xfId="15047" xr:uid="{FA55DD31-2945-42DF-9C56-B4CBFA626733}"/>
    <cellStyle name="Input 4 5 2 2 8" xfId="16714" xr:uid="{C58D5210-59F0-4190-8F25-B5CDFDAB011B}"/>
    <cellStyle name="Input 4 5 2 3" xfId="6541" xr:uid="{1CDC58B9-9FF0-4516-B857-C64D79057326}"/>
    <cellStyle name="Input 4 5 2 4" xfId="7840" xr:uid="{3A67A5AF-56F6-48B1-9566-0F6D9E5FB165}"/>
    <cellStyle name="Input 4 5 2 5" xfId="9531" xr:uid="{DD9D4FD5-C460-49EC-BD07-9D216F02AE54}"/>
    <cellStyle name="Input 4 5 2 6" xfId="11172" xr:uid="{57B53798-AE9F-4FBF-B763-F1945D965C05}"/>
    <cellStyle name="Input 4 5 2 7" xfId="12519" xr:uid="{D89BE0F9-3DF2-4C84-9FF1-C1E8ECF73EF2}"/>
    <cellStyle name="Input 4 5 2 8" xfId="14174" xr:uid="{3D858647-43FF-4948-9705-FC8D8F58B7CA}"/>
    <cellStyle name="Input 4 5 2 9" xfId="15859" xr:uid="{3C53361A-1F03-4109-AED4-90EA2C8503CC}"/>
    <cellStyle name="Input 4 5 3" xfId="3474" xr:uid="{DBAC61AF-BB83-405A-8B94-F7AAE2E11140}"/>
    <cellStyle name="Input 4 5 3 2" xfId="4501" xr:uid="{3EF16B1C-0FCB-4EC1-B2BB-427F16105E97}"/>
    <cellStyle name="Input 4 5 3 2 2" xfId="6996" xr:uid="{2E755D24-8AE1-4058-82CC-D8CE889449F9}"/>
    <cellStyle name="Input 4 5 3 2 3" xfId="8417" xr:uid="{28A37308-4A9F-41A5-8DD5-8ED2337598BF}"/>
    <cellStyle name="Input 4 5 3 2 4" xfId="10118" xr:uid="{9051AB1B-BF7E-4CEA-A2F3-2588EE377A28}"/>
    <cellStyle name="Input 4 5 3 2 5" xfId="11614" xr:uid="{8A687313-1C99-4284-9EF0-062EBEA7F591}"/>
    <cellStyle name="Input 4 5 3 2 6" xfId="13094" xr:uid="{5C997AFD-C8FD-4B5A-B75B-3A82BB8873F0}"/>
    <cellStyle name="Input 4 5 3 2 7" xfId="14761" xr:uid="{0D51FDA4-80FE-4A95-9747-378C95242467}"/>
    <cellStyle name="Input 4 5 3 2 8" xfId="16434" xr:uid="{3408DC9B-F297-4204-A6AA-35216753BCF8}"/>
    <cellStyle name="Input 4 5 3 3" xfId="6209" xr:uid="{332508A0-B307-4CCA-81A5-027D6E40193E}"/>
    <cellStyle name="Input 4 5 3 4" xfId="5173" xr:uid="{4101A5FB-8C86-4942-8868-505A6AF22974}"/>
    <cellStyle name="Input 4 5 3 5" xfId="9093" xr:uid="{DEF6E983-95F3-4ACE-A6BD-315F7B14D763}"/>
    <cellStyle name="Input 4 5 3 6" xfId="10843" xr:uid="{B9486C22-8AF0-4E98-9953-6489AE100D3B}"/>
    <cellStyle name="Input 4 5 3 7" xfId="5338" xr:uid="{F44F0DEB-27D1-4C2F-A3AB-9CCD9668540C}"/>
    <cellStyle name="Input 4 5 3 8" xfId="13736" xr:uid="{FCB3596B-5806-4520-AB6A-67498EBFC683}"/>
    <cellStyle name="Input 4 5 3 9" xfId="15427" xr:uid="{2F2D413F-603D-487F-80A5-E9C247746382}"/>
    <cellStyle name="Input 4 5 4" xfId="4284" xr:uid="{83E2D43B-3AD1-49B3-9FA5-E246174A9FDE}"/>
    <cellStyle name="Input 4 5 4 2" xfId="6815" xr:uid="{2B8C013B-41A2-4E81-A828-A04A60D90873}"/>
    <cellStyle name="Input 4 5 4 3" xfId="8206" xr:uid="{BABA275D-24FD-485C-B3D2-505482470157}"/>
    <cellStyle name="Input 4 5 4 4" xfId="9901" xr:uid="{5C5C31E9-7B49-4AFF-A971-D3EA85B6E0D6}"/>
    <cellStyle name="Input 4 5 4 5" xfId="11435" xr:uid="{009D72EE-7913-488D-8DAF-41DED8FFB901}"/>
    <cellStyle name="Input 4 5 4 6" xfId="12883" xr:uid="{364C7314-69B2-4E31-9D6A-0D582B9BD651}"/>
    <cellStyle name="Input 4 5 4 7" xfId="14544" xr:uid="{7B2B86AA-C3B1-40E4-A171-EC9852D25272}"/>
    <cellStyle name="Input 4 5 4 8" xfId="16223" xr:uid="{0FD853E6-1490-469B-B4A0-9F2F215CEB9C}"/>
    <cellStyle name="Input 4 5 5" xfId="5918" xr:uid="{09871DF8-D961-4555-8DA8-05D4270C49A0}"/>
    <cellStyle name="Input 4 5 6" xfId="5534" xr:uid="{D1192765-F83B-4632-AA22-271AA894BC7A}"/>
    <cellStyle name="Input 4 5 7" xfId="5844" xr:uid="{AF9BCB0E-BBD0-454F-B19A-E38549609C9D}"/>
    <cellStyle name="Input 4 5 8" xfId="5597" xr:uid="{ED4DD4DB-E5C7-48C7-A7AE-B5BC3908737E}"/>
    <cellStyle name="Input 4 5 9" xfId="5657" xr:uid="{531EFA30-493D-4C57-917E-BFACE102F9A4}"/>
    <cellStyle name="Input 4 6" xfId="3357" xr:uid="{96C24E99-D2C8-44C0-93EF-CE299C35F367}"/>
    <cellStyle name="Input 4 6 10" xfId="15314" xr:uid="{9E3BABA1-20F6-432B-AB21-E6E381A5A105}"/>
    <cellStyle name="Input 4 6 2" xfId="4237" xr:uid="{B3B68E8E-72D8-43A7-BB19-B041FDDB9B10}"/>
    <cellStyle name="Input 4 6 2 2" xfId="4993" xr:uid="{D54EE5FC-7449-472B-8DB4-48911EBE3FF5}"/>
    <cellStyle name="Input 4 6 2 2 2" xfId="7488" xr:uid="{45F725BD-BE91-4EE4-9B65-D007FF1095C9}"/>
    <cellStyle name="Input 4 6 2 2 3" xfId="8898" xr:uid="{4AAA80FD-4965-4731-86C6-96A248C251E2}"/>
    <cellStyle name="Input 4 6 2 2 4" xfId="10610" xr:uid="{DD518385-4A94-4931-BA20-AA0AF14FAEE4}"/>
    <cellStyle name="Input 4 6 2 2 5" xfId="12106" xr:uid="{672EFF2B-FEC5-457C-B9F4-A0ABA6237119}"/>
    <cellStyle name="Input 4 6 2 2 6" xfId="13575" xr:uid="{BE6771F9-22F5-4345-8128-47BCB80416D0}"/>
    <cellStyle name="Input 4 6 2 2 7" xfId="15253" xr:uid="{A0AE6539-55CC-4CD6-A314-505039FE4293}"/>
    <cellStyle name="Input 4 6 2 2 8" xfId="16915" xr:uid="{1A47B9C6-4473-4F15-9320-A492E10923FF}"/>
    <cellStyle name="Input 4 6 2 3" xfId="6779" xr:uid="{117A1894-A126-41CB-8855-69965AE8E969}"/>
    <cellStyle name="Input 4 6 2 4" xfId="8160" xr:uid="{23D949F0-4DA3-4C03-A216-63882DCF1DC6}"/>
    <cellStyle name="Input 4 6 2 5" xfId="9856" xr:uid="{5476355E-FD23-41BF-8E25-49D79A7795FF}"/>
    <cellStyle name="Input 4 6 2 6" xfId="11399" xr:uid="{8B87AD6D-E49A-4210-8251-384D58F61F6A}"/>
    <cellStyle name="Input 4 6 2 7" xfId="12839" xr:uid="{574066EB-9121-409D-A575-E849B46E47F4}"/>
    <cellStyle name="Input 4 6 2 8" xfId="14499" xr:uid="{6D99AA89-1E41-45DC-B9EC-B4368AF955F3}"/>
    <cellStyle name="Input 4 6 2 9" xfId="16179" xr:uid="{0871419D-4266-4C0E-9259-33ACA43D72ED}"/>
    <cellStyle name="Input 4 6 3" xfId="3797" xr:uid="{FD163F3A-823A-46DB-B1CA-16D8FE9DAB74}"/>
    <cellStyle name="Input 4 6 3 2" xfId="4705" xr:uid="{E4686624-9D38-4083-BBC8-9AE3BCDB51AA}"/>
    <cellStyle name="Input 4 6 3 2 2" xfId="7200" xr:uid="{E5B3A30A-6E09-4B16-A7B1-91DFEB0714A9}"/>
    <cellStyle name="Input 4 6 3 2 3" xfId="8618" xr:uid="{7BEF4F7A-D1EA-468F-A457-DC894177C4C5}"/>
    <cellStyle name="Input 4 6 3 2 4" xfId="10322" xr:uid="{A5F2829C-1579-4C85-A564-A4F182477AA8}"/>
    <cellStyle name="Input 4 6 3 2 5" xfId="11818" xr:uid="{3256EC9A-E950-44D3-A69A-3D5299813E7A}"/>
    <cellStyle name="Input 4 6 3 2 6" xfId="13295" xr:uid="{4523C659-5751-4C68-B590-AC8844C7AAE8}"/>
    <cellStyle name="Input 4 6 3 2 7" xfId="14965" xr:uid="{F0F49E3A-F10E-4FBA-94F3-EAF221FDA6FE}"/>
    <cellStyle name="Input 4 6 3 2 8" xfId="16635" xr:uid="{1E32F56A-BA56-494B-BEDD-85C2FCBA1F65}"/>
    <cellStyle name="Input 4 6 3 3" xfId="6450" xr:uid="{AEE954C9-4428-4FB6-BF55-9E66C5C91DD8}"/>
    <cellStyle name="Input 4 6 3 4" xfId="7728" xr:uid="{5A6C89B1-5D82-41B5-9121-A622825B843C}"/>
    <cellStyle name="Input 4 6 3 5" xfId="9416" xr:uid="{F3AB415A-CDB8-4508-8DD3-6B4D3D13CF48}"/>
    <cellStyle name="Input 4 6 3 6" xfId="11079" xr:uid="{531747A0-2195-4ECC-8104-D1F0E9B91E1B}"/>
    <cellStyle name="Input 4 6 3 7" xfId="12407" xr:uid="{DEF78E09-90B1-4EC3-8F2A-5AFBE2C54970}"/>
    <cellStyle name="Input 4 6 3 8" xfId="14059" xr:uid="{911F3899-F2C1-4D65-99B0-94EC5EFD0002}"/>
    <cellStyle name="Input 4 6 3 9" xfId="15747" xr:uid="{5764D47C-D801-4CC5-B358-A03A2454357C}"/>
    <cellStyle name="Input 4 6 4" xfId="4413" xr:uid="{ABC24B56-BD65-4B47-88BE-332DE0D26EBA}"/>
    <cellStyle name="Input 4 6 4 2" xfId="6914" xr:uid="{F214F8E4-6ECC-40E4-858A-6B267BBC93D7}"/>
    <cellStyle name="Input 4 6 4 3" xfId="8330" xr:uid="{C33C7761-F009-4831-BF57-BC1E03DFF2C2}"/>
    <cellStyle name="Input 4 6 4 4" xfId="10030" xr:uid="{2F670C30-7BFD-4050-AA76-B9C3E50A7813}"/>
    <cellStyle name="Input 4 6 4 5" xfId="11531" xr:uid="{B07F0B84-6082-4D61-986C-C1E94BAC8F47}"/>
    <cellStyle name="Input 4 6 4 6" xfId="13007" xr:uid="{48C1A023-E5AB-449C-B039-214554D8479B}"/>
    <cellStyle name="Input 4 6 4 7" xfId="14673" xr:uid="{B0D45D08-3493-4776-AECE-466E0A06A271}"/>
    <cellStyle name="Input 4 6 4 8" xfId="16347" xr:uid="{90A8B7B5-2152-4C37-A171-30CDEBB363EB}"/>
    <cellStyle name="Input 4 6 5" xfId="6115" xr:uid="{ABD7742F-8B42-4DAC-9E55-07A99AEA0683}"/>
    <cellStyle name="Input 4 6 6" xfId="5663" xr:uid="{3F1BB4C5-BA85-4D07-9089-A29F714D753F}"/>
    <cellStyle name="Input 4 6 7" xfId="10747" xr:uid="{A05FDFB4-66F7-4190-864B-4245140AFA54}"/>
    <cellStyle name="Input 4 6 8" xfId="10640" xr:uid="{2D8A50F3-E910-4BD6-9EA2-73FAB191ADBB}"/>
    <cellStyle name="Input 4 6 9" xfId="13623" xr:uid="{B387021F-C70F-47EE-A5C8-763644E2CD11}"/>
    <cellStyle name="Input 4 7" xfId="3841" xr:uid="{B585363C-AC09-48C8-A513-58DCF48F1C7A}"/>
    <cellStyle name="Input 4 7 2" xfId="4740" xr:uid="{96A12CEB-4BFE-4754-A862-CB669443C108}"/>
    <cellStyle name="Input 4 7 2 2" xfId="7235" xr:uid="{47537C9A-FDA5-4DCB-B325-E0FCA5ADB987}"/>
    <cellStyle name="Input 4 7 2 3" xfId="8651" xr:uid="{18B63AC6-4BD3-47D7-8F0E-EB0A0A6763AF}"/>
    <cellStyle name="Input 4 7 2 4" xfId="10357" xr:uid="{1730ED4A-471B-4D11-A8E5-9B07A5AAD1A7}"/>
    <cellStyle name="Input 4 7 2 5" xfId="11853" xr:uid="{60AEF375-A8A2-4DA3-9380-00E477FF0EBA}"/>
    <cellStyle name="Input 4 7 2 6" xfId="13328" xr:uid="{92908959-B84C-45C3-B817-F9528C20DA81}"/>
    <cellStyle name="Input 4 7 2 7" xfId="15000" xr:uid="{56C86B90-D7A2-4D52-9DEB-F624FE5413E9}"/>
    <cellStyle name="Input 4 7 2 8" xfId="16668" xr:uid="{EF63C7FC-5134-4097-BD6B-31405ABC642F}"/>
    <cellStyle name="Input 4 7 3" xfId="6486" xr:uid="{A71C3A65-1066-48E7-B8D1-468D7976C6E6}"/>
    <cellStyle name="Input 4 7 4" xfId="7770" xr:uid="{DCD8D061-F7C5-4A66-9649-CBD5C74B0DCF}"/>
    <cellStyle name="Input 4 7 5" xfId="9460" xr:uid="{D446F357-CD96-485C-B165-82F4766ED61F}"/>
    <cellStyle name="Input 4 7 6" xfId="11117" xr:uid="{4BE5877C-291B-4968-9773-DC61FB7BD94D}"/>
    <cellStyle name="Input 4 7 7" xfId="12449" xr:uid="{F1FFA094-765C-4682-BC4E-0C93AB4DB9C3}"/>
    <cellStyle name="Input 4 7 8" xfId="14103" xr:uid="{901522FD-2FEE-46F8-865B-E126785F28CE}"/>
    <cellStyle name="Input 4 7 9" xfId="15789" xr:uid="{28AF83EA-D250-4B42-B6E0-6254507C56BD}"/>
    <cellStyle name="Input 4 8" xfId="3404" xr:uid="{4A5C6E12-0F85-4E76-B624-1A64AF87D55C}"/>
    <cellStyle name="Input 4 8 2" xfId="4455" xr:uid="{4DE5DAAB-65A5-4B09-B616-7EC6B5EB4516}"/>
    <cellStyle name="Input 4 8 2 2" xfId="6950" xr:uid="{39C7F6B0-B336-4EC7-AE6B-F6D535BCD70C}"/>
    <cellStyle name="Input 4 8 2 3" xfId="8371" xr:uid="{CA377C35-D615-4797-B792-7C844EB55F47}"/>
    <cellStyle name="Input 4 8 2 4" xfId="10072" xr:uid="{2C6D73EE-5C54-4D0B-A4E7-E45DDDEC7CDE}"/>
    <cellStyle name="Input 4 8 2 5" xfId="11568" xr:uid="{E9E831F5-9F16-4A3E-A995-7C257EAA4C07}"/>
    <cellStyle name="Input 4 8 2 6" xfId="13048" xr:uid="{EB655485-554F-451A-A2FA-E457816FD02F}"/>
    <cellStyle name="Input 4 8 2 7" xfId="14715" xr:uid="{9F82B039-7C8B-481F-A105-125DF6D38CAA}"/>
    <cellStyle name="Input 4 8 2 8" xfId="16388" xr:uid="{F8E8987C-6D65-4307-8A01-39F419AB4FEE}"/>
    <cellStyle name="Input 4 8 3" xfId="6157" xr:uid="{EB59ED75-8E4B-4211-999E-2E1F2523A759}"/>
    <cellStyle name="Input 4 8 4" xfId="5897" xr:uid="{A0AB2269-2399-4570-B6A1-26088F75BAD4}"/>
    <cellStyle name="Input 4 8 5" xfId="9023" xr:uid="{ABA08517-7506-4790-B833-EBDE6FA8DCB2}"/>
    <cellStyle name="Input 4 8 6" xfId="10790" xr:uid="{0EF5FCE9-8422-4E32-9717-3E8F1E8E8A9A}"/>
    <cellStyle name="Input 4 8 7" xfId="5081" xr:uid="{205ED3B2-88E6-46A2-994B-E6FD337B7BE5}"/>
    <cellStyle name="Input 4 8 8" xfId="13666" xr:uid="{3A567D73-1E0E-4AB4-A727-E147A3F9087D}"/>
    <cellStyle name="Input 4 8 9" xfId="15357" xr:uid="{755BE6D5-6CF2-4BD3-A078-845A39AA144C}"/>
    <cellStyle name="Input 4 9" xfId="5456" xr:uid="{48271D62-0F16-4EC1-815C-8C38541055A5}"/>
    <cellStyle name="Linked Cell 2" xfId="1115" xr:uid="{2EF85186-1100-41E4-B6E0-E1D4A3CAEB13}"/>
    <cellStyle name="Linked Cell 3" xfId="1116" xr:uid="{FCA69EF2-4873-4D45-AB95-5EEB02C7C291}"/>
    <cellStyle name="Linked Cell 4" xfId="1117" xr:uid="{095758C1-05EA-402E-835C-A64A29D836AF}"/>
    <cellStyle name="moi" xfId="207" xr:uid="{B9659462-78B5-45B1-B74E-E8E4D66185E0}"/>
    <cellStyle name="Neutral 2" xfId="1118" xr:uid="{BD17E959-C93A-4F20-BF99-5E0283733211}"/>
    <cellStyle name="Neutral 3" xfId="1119" xr:uid="{F5B11042-4274-4FB6-8F54-41021D8E3554}"/>
    <cellStyle name="Neutral 4" xfId="1120" xr:uid="{0E2511E7-A0EB-4076-A070-A813F6B35415}"/>
    <cellStyle name="Normal" xfId="0" builtinId="0"/>
    <cellStyle name="Normal 10" xfId="11" xr:uid="{84D561E8-F021-409D-96A7-5F74A6951735}"/>
    <cellStyle name="Normal 100" xfId="82" xr:uid="{631E3580-5886-4A65-AD50-873968860070}"/>
    <cellStyle name="Normal 101" xfId="83" xr:uid="{20611371-6FAB-4F95-B9C5-4C8A3C4C17D1}"/>
    <cellStyle name="Normal 102" xfId="84" xr:uid="{4F268503-2CD1-4D47-A5D1-ED931FAB5B96}"/>
    <cellStyle name="Normal 103" xfId="85" xr:uid="{AB8F1426-C51D-4040-9462-B55EF04F1AD3}"/>
    <cellStyle name="Normal 104" xfId="86" xr:uid="{C1707B72-DFB8-4D1F-9BAB-6D953A3EDBBC}"/>
    <cellStyle name="Normal 105" xfId="126" xr:uid="{0EFDF0E3-E079-44B9-A313-182670A2591E}"/>
    <cellStyle name="Normal 106" xfId="127" xr:uid="{E8B104C5-E361-49C8-B657-DB6D122B6265}"/>
    <cellStyle name="Normal 107" xfId="128" xr:uid="{660B8223-359B-406F-A97F-1A26CD8B88DD}"/>
    <cellStyle name="Normal 108" xfId="129" xr:uid="{0F361661-732D-400F-A889-3A57951ABDEE}"/>
    <cellStyle name="Normal 109" xfId="87" xr:uid="{9891A49B-8570-4B61-A20A-8D3E355FEDA0}"/>
    <cellStyle name="Normal 11" xfId="13" xr:uid="{A2256FAD-01CF-44DE-81C9-700F19B9F426}"/>
    <cellStyle name="Normal 110" xfId="131" xr:uid="{A9DB18E5-BB5E-4F2F-9626-28D6C6589A86}"/>
    <cellStyle name="Normal 111" xfId="132" xr:uid="{9E905984-C124-4E75-B5DC-CE80DCCC044D}"/>
    <cellStyle name="Normal 112" xfId="133" xr:uid="{E4F1F866-D48A-4500-87C2-4BE1FFFF83FE}"/>
    <cellStyle name="Normal 113" xfId="88" xr:uid="{15EC1C60-D358-460B-8B97-C9A57565FD29}"/>
    <cellStyle name="Normal 114" xfId="89" xr:uid="{A348DFA4-AAAF-4456-96B3-59B82C74BDAD}"/>
    <cellStyle name="Normal 115" xfId="95" xr:uid="{24E149B7-12C7-468A-979E-06C0FC1531ED}"/>
    <cellStyle name="Normal 116" xfId="91" xr:uid="{8D1F769E-0989-4B7D-9D74-D7B29A577484}"/>
    <cellStyle name="Normal 117" xfId="92" xr:uid="{4F57A581-7092-4113-9C97-1C13A8CE0C17}"/>
    <cellStyle name="Normal 118" xfId="93" xr:uid="{1532A5F9-B921-4E2E-8ACC-DF6EC17939BE}"/>
    <cellStyle name="Normal 119" xfId="94" xr:uid="{29128282-0BE9-4A29-9F95-B861B9EAFE7F}"/>
    <cellStyle name="Normal 12" xfId="14" xr:uid="{E0C62D6D-132E-4D3A-B36F-5696F6CE3981}"/>
    <cellStyle name="Normal 120" xfId="151" xr:uid="{3B3E1DEF-54BE-4502-832F-3C982DA95620}"/>
    <cellStyle name="Normal 121" xfId="152" xr:uid="{0E3986A2-E577-4D25-9D7B-C7EA8022700A}"/>
    <cellStyle name="Normal 122" xfId="153" xr:uid="{10537013-5C30-469C-AA33-D4EFCC466068}"/>
    <cellStyle name="Normal 123" xfId="154" xr:uid="{ACA83C47-AC5E-4068-AF31-B99C9CBAB1E1}"/>
    <cellStyle name="Normal 124" xfId="96" xr:uid="{65AD7825-8071-4931-8092-6542F59A2349}"/>
    <cellStyle name="Normal 125" xfId="156" xr:uid="{7C759531-7E0D-4285-937E-57080E0C78F3}"/>
    <cellStyle name="Normal 126" xfId="157" xr:uid="{F43AA077-31AA-4EEC-A384-4C7C0FA315F5}"/>
    <cellStyle name="Normal 127" xfId="158" xr:uid="{63F107CA-C4D0-41ED-A4EF-2376D9F0DDA3}"/>
    <cellStyle name="Normal 128" xfId="159" xr:uid="{F74FC31D-3CEB-4C86-B5D6-52C321ED92A0}"/>
    <cellStyle name="Normal 129" xfId="97" xr:uid="{C861BAB3-4A0F-4DE1-ADA0-0974F16916F8}"/>
    <cellStyle name="Normal 13" xfId="15" xr:uid="{CDFCC9EA-810D-413C-A447-BD08D93948C4}"/>
    <cellStyle name="Normal 130" xfId="98" xr:uid="{C35B3753-46A8-497B-B94B-39DF94D837F0}"/>
    <cellStyle name="Normal 131" xfId="160" xr:uid="{83B3B35F-EA5A-4613-B22A-D5BE79FF6C73}"/>
    <cellStyle name="Normal 132" xfId="100" xr:uid="{B3D13C59-B10B-472E-B771-1BEF658F3DDB}"/>
    <cellStyle name="Normal 133" xfId="101" xr:uid="{3440F642-689B-4019-BEBB-E453A6821BE9}"/>
    <cellStyle name="Normal 134" xfId="102" xr:uid="{10E22C43-76EA-4995-9243-00958318A351}"/>
    <cellStyle name="Normal 135" xfId="103" xr:uid="{69419861-5071-4AD4-A37C-A4F7AAA32917}"/>
    <cellStyle name="Normal 136" xfId="161" xr:uid="{09B360D3-C232-4CD0-9177-92BB0FD6C495}"/>
    <cellStyle name="Normal 137" xfId="162" xr:uid="{012F13ED-2773-43BC-90DA-F43A72C7AA37}"/>
    <cellStyle name="Normal 138" xfId="163" xr:uid="{484C9B93-9D67-4323-8466-7CC89299769F}"/>
    <cellStyle name="Normal 139" xfId="175" xr:uid="{314CAEE5-CC45-45F1-BCE4-A2A3F9A3BAFE}"/>
    <cellStyle name="Normal 139 2" xfId="1969" xr:uid="{C5602131-555F-4ABB-BD51-D23F17FD38C8}"/>
    <cellStyle name="Normal 14" xfId="30" xr:uid="{A9B216A9-E25F-4B71-A875-A598530383E4}"/>
    <cellStyle name="Normal 140" xfId="165" xr:uid="{BFEC450E-045E-4A96-A983-5F77AF8F8B00}"/>
    <cellStyle name="Normal 141" xfId="1972" xr:uid="{1FD131CD-09E8-4AC6-86C4-0A50481B7B99}"/>
    <cellStyle name="Normal 142" xfId="167" xr:uid="{D9A2CE42-2E26-443D-97BF-F9F96885ACD0}"/>
    <cellStyle name="Normal 143" xfId="166" xr:uid="{1E69DA2E-EADF-475C-9798-30DE5E3BABCA}"/>
    <cellStyle name="Normal 144" xfId="168" xr:uid="{8526B345-85EA-4A01-8915-3FDDA5A72408}"/>
    <cellStyle name="Normal 145" xfId="1977" xr:uid="{DC33D60B-65E4-46A1-B608-998C9B112CF5}"/>
    <cellStyle name="Normal 146" xfId="1979" xr:uid="{9EFF85B8-3055-4F0F-8DEE-862F99397B45}"/>
    <cellStyle name="Normal 147" xfId="1981" xr:uid="{D333E17D-D9C8-4655-B6CA-CAE02EA5A001}"/>
    <cellStyle name="Normal 148" xfId="1983" xr:uid="{302E0B23-92FA-47FB-9CB4-A446CD087121}"/>
    <cellStyle name="Normal 149" xfId="1985" xr:uid="{4C27E9C1-1D29-4D7E-91DC-EC5629A0E6CD}"/>
    <cellStyle name="Normal 15" xfId="17" xr:uid="{A35DED7F-0BE3-4970-8C62-9C4B3D986577}"/>
    <cellStyle name="Normal 150" xfId="1987" xr:uid="{CC8A6AEC-AE7D-4237-BB21-3DDAA4BFE8DF}"/>
    <cellStyle name="Normal 151" xfId="1989" xr:uid="{C8D19022-0304-4DC7-B5BF-D01D3B4B3330}"/>
    <cellStyle name="Normal 151 10" xfId="2331" xr:uid="{DF52DD83-BEA5-475C-9B73-070E646C098B}"/>
    <cellStyle name="Normal 151 11" xfId="2407" xr:uid="{26376A5B-27D0-43AA-8119-3F1E325B7CB7}"/>
    <cellStyle name="Normal 151 12" xfId="2416" xr:uid="{B6877DB1-992F-47A6-B346-14E11012E531}"/>
    <cellStyle name="Normal 151 13" xfId="2420" xr:uid="{48AEEBAB-2B49-4312-A8BF-E291BB4FA306}"/>
    <cellStyle name="Normal 151 14" xfId="2424" xr:uid="{5B026C6E-1D51-4EF0-A6D9-E8DA61E6B09B}"/>
    <cellStyle name="Normal 151 15" xfId="2426" xr:uid="{17D97437-301E-4EBD-B5C3-9AA4BF0B34AE}"/>
    <cellStyle name="Normal 151 2" xfId="2242" xr:uid="{A8EC65E0-DD4C-49EB-9C05-80B9AD29845D}"/>
    <cellStyle name="Normal 151 3" xfId="2255" xr:uid="{3286FEEA-05B5-40F8-BA29-7D4B037B410A}"/>
    <cellStyle name="Normal 151 4" xfId="2264" xr:uid="{7F4D2CBF-D7FE-427C-AA9A-9BE280254CCE}"/>
    <cellStyle name="Normal 151 5" xfId="2268" xr:uid="{BA735E58-177F-403B-93F4-2A3BCA69D1D5}"/>
    <cellStyle name="Normal 151 6" xfId="2272" xr:uid="{CB770A44-01FC-419E-94F9-5E0F5E7C3558}"/>
    <cellStyle name="Normal 151 7" xfId="2274" xr:uid="{DED62864-E797-4BEA-856A-9A087F2A387F}"/>
    <cellStyle name="Normal 151 8" xfId="2325" xr:uid="{4486E38E-EDE6-4286-90CF-2CE430BBA82D}"/>
    <cellStyle name="Normal 151 9" xfId="2329" xr:uid="{36B67584-9EF6-4619-B046-6C1E571158D7}"/>
    <cellStyle name="Normal 152" xfId="2494" xr:uid="{3BD457C7-CC51-49B1-A443-B78533611429}"/>
    <cellStyle name="Normal 153" xfId="2963" xr:uid="{63E829D3-F5A3-45B6-B7D6-F5417CFA4696}"/>
    <cellStyle name="Normal 154" xfId="5018" xr:uid="{8813A71B-9DA9-4BDB-B01E-02371B0FB4DE}"/>
    <cellStyle name="Normal 155" xfId="16966" xr:uid="{1D870FDB-48FF-4EF1-96A9-BF251088C09F}"/>
    <cellStyle name="Normal 16" xfId="18" xr:uid="{2379B558-DBFD-4EE9-AFE8-676A6E3B89D7}"/>
    <cellStyle name="Normal 162" xfId="134" xr:uid="{87A8B9E0-2560-4019-BDC9-3D061D144800}"/>
    <cellStyle name="Normal 17" xfId="19" xr:uid="{6B450B68-58CB-4742-81E7-03A1A422FB2B}"/>
    <cellStyle name="Normal 18" xfId="20" xr:uid="{968B2972-9DDB-4698-B3AB-B2FD8E16B55B}"/>
    <cellStyle name="Normal 183" xfId="2949" xr:uid="{79D4104A-F379-4742-BB7B-11F0865E3456}"/>
    <cellStyle name="Normal 188" xfId="136" xr:uid="{46922D12-6637-4AEE-898B-1AF416E56044}"/>
    <cellStyle name="Normal 19" xfId="21" xr:uid="{A26A5C6D-CE45-4BE6-B9D4-466DB0A426A5}"/>
    <cellStyle name="Normal 2" xfId="3" xr:uid="{3B944C17-F836-48BB-9D00-3703A82ECF4B}"/>
    <cellStyle name="Normal 2 10" xfId="1122" xr:uid="{791319BC-1B88-4733-B339-CEA771C1C0C4}"/>
    <cellStyle name="Normal 2 11" xfId="1123" xr:uid="{E609AEED-981F-46EE-9BF9-451AE16BC65E}"/>
    <cellStyle name="Normal 2 12" xfId="1124" xr:uid="{4341778C-52A7-49CB-A05A-BE3288862795}"/>
    <cellStyle name="Normal 2 13" xfId="1125" xr:uid="{F81E3667-1A26-45B5-88B5-96BBAFD2680F}"/>
    <cellStyle name="Normal 2 14" xfId="1126" xr:uid="{F7DC68A8-0461-4F24-B6E9-CB5AD73DD4CF}"/>
    <cellStyle name="Normal 2 15" xfId="1127" xr:uid="{960CAA5D-42B6-4A0F-A5E7-7792BA556718}"/>
    <cellStyle name="Normal 2 16" xfId="1128" xr:uid="{9A09131D-3829-4669-89D9-7C8ACC15D3C1}"/>
    <cellStyle name="Normal 2 17" xfId="1129" xr:uid="{501E9B1D-A2FB-420F-A938-319CCF908666}"/>
    <cellStyle name="Normal 2 18" xfId="1130" xr:uid="{3C819E25-C9D4-4FED-8C6F-6154CAC9EEDF}"/>
    <cellStyle name="Normal 2 19" xfId="1131" xr:uid="{63C04C9F-FB2E-47B7-82E4-63BF77CC3CB9}"/>
    <cellStyle name="Normal 2 2" xfId="208" xr:uid="{9FFE8FCF-6753-42EA-8C4E-9D0C788962E0}"/>
    <cellStyle name="Normal 2 2 10" xfId="1132" xr:uid="{15916A16-960C-4003-933C-F817710F900D}"/>
    <cellStyle name="Normal 2 2 11" xfId="1133" xr:uid="{89B10AD2-4F38-4D68-B96D-C3C2E249BEB6}"/>
    <cellStyle name="Normal 2 2 12" xfId="1134" xr:uid="{D6941E6F-C30A-44ED-908C-B220EA3D5456}"/>
    <cellStyle name="Normal 2 2 13" xfId="1135" xr:uid="{2714519F-3847-4ABE-A09D-3B04520084CA}"/>
    <cellStyle name="Normal 2 2 14" xfId="1136" xr:uid="{E249D887-3DD0-4F1A-A685-4AF250AE5EF4}"/>
    <cellStyle name="Normal 2 2 15" xfId="1137" xr:uid="{C72300B4-48A3-4AEF-9D40-1C152DEC68FF}"/>
    <cellStyle name="Normal 2 2 16" xfId="1138" xr:uid="{960C5B0D-BD45-4F51-A5D9-19C9B27FDDCF}"/>
    <cellStyle name="Normal 2 2 17" xfId="1139" xr:uid="{35681CF7-CEFF-48CD-8BF7-AADC28812E07}"/>
    <cellStyle name="Normal 2 2 18" xfId="1140" xr:uid="{FBB39E1E-D374-4D3A-AC64-E6DE9936CB33}"/>
    <cellStyle name="Normal 2 2 19" xfId="1141" xr:uid="{68509024-640C-4792-9B3D-00F78EEAFEAE}"/>
    <cellStyle name="Normal 2 2 2" xfId="1142" xr:uid="{55CFF18B-90C8-4AF2-9437-771640E74603}"/>
    <cellStyle name="Normal 2 2 2 10" xfId="1143" xr:uid="{3D8D0106-8679-49E4-B73A-73F1C2C6DD50}"/>
    <cellStyle name="Normal 2 2 2 11" xfId="1144" xr:uid="{732E88EC-9E50-4C26-A8F2-5AC280B74D84}"/>
    <cellStyle name="Normal 2 2 2 12" xfId="1145" xr:uid="{7393EDEA-3945-4650-BBD6-4DEF16132EDD}"/>
    <cellStyle name="Normal 2 2 2 13" xfId="1146" xr:uid="{32DD5886-8694-4632-8126-6295C3CE7A83}"/>
    <cellStyle name="Normal 2 2 2 14" xfId="1147" xr:uid="{C8E163DF-9BB8-4C51-89BF-21C5C6C813D8}"/>
    <cellStyle name="Normal 2 2 2 15" xfId="1148" xr:uid="{B9ED1F58-D3A0-447F-BB36-5E5EFA33B087}"/>
    <cellStyle name="Normal 2 2 2 16" xfId="1149" xr:uid="{6DF49471-E5D5-4162-A2BA-AE9045421B76}"/>
    <cellStyle name="Normal 2 2 2 17" xfId="1150" xr:uid="{276903F0-0500-4490-9AE5-56CEC1ABA1CF}"/>
    <cellStyle name="Normal 2 2 2 18" xfId="1151" xr:uid="{58A5E665-503C-4818-8157-458D8654F446}"/>
    <cellStyle name="Normal 2 2 2 19" xfId="1152" xr:uid="{4A7CCE61-5D45-4516-B0E4-4944C443FB96}"/>
    <cellStyle name="Normal 2 2 2 2" xfId="1153" xr:uid="{782706BE-2686-48A0-96B4-018470896A0E}"/>
    <cellStyle name="Normal 2 2 2 2 10" xfId="1154" xr:uid="{DB058C57-C6B2-4FC5-8258-16E289E68C0D}"/>
    <cellStyle name="Normal 2 2 2 2 11" xfId="1155" xr:uid="{C62A4B1E-44C8-4AD4-B830-B39E2E232DDA}"/>
    <cellStyle name="Normal 2 2 2 2 12" xfId="1156" xr:uid="{532D1462-16BE-430A-88DE-3CD0D6F27956}"/>
    <cellStyle name="Normal 2 2 2 2 13" xfId="1157" xr:uid="{1EAA76AF-861D-489E-A5D4-F1863B53637D}"/>
    <cellStyle name="Normal 2 2 2 2 14" xfId="1158" xr:uid="{D95233A7-90DA-464E-97A6-81268B895508}"/>
    <cellStyle name="Normal 2 2 2 2 15" xfId="1159" xr:uid="{10494E5E-C3D7-4CC3-A39B-A81D5C8F4517}"/>
    <cellStyle name="Normal 2 2 2 2 16" xfId="1160" xr:uid="{EA33DDFC-5F09-44D0-A960-BB64626A9970}"/>
    <cellStyle name="Normal 2 2 2 2 17" xfId="1161" xr:uid="{4F14D1DA-094D-4A1A-A5E4-1FFE5182037D}"/>
    <cellStyle name="Normal 2 2 2 2 18" xfId="1162" xr:uid="{0D7F1F32-E681-4EA6-A997-3137E6FF5A8F}"/>
    <cellStyle name="Normal 2 2 2 2 19" xfId="1163" xr:uid="{C83C2282-8AE9-482F-8866-B24DE5D94589}"/>
    <cellStyle name="Normal 2 2 2 2 2" xfId="1164" xr:uid="{8320ED47-B822-4F0D-98D2-963EE9BDBE6F}"/>
    <cellStyle name="Normal 2 2 2 2 2 10" xfId="1165" xr:uid="{E3B07AA3-E594-4D67-8747-E68234875B3D}"/>
    <cellStyle name="Normal 2 2 2 2 2 11" xfId="1166" xr:uid="{7DBC809F-85FA-4C42-BCC9-34EDE1976B78}"/>
    <cellStyle name="Normal 2 2 2 2 2 12" xfId="1167" xr:uid="{D9D6457E-DE77-4062-A303-DF19A842723A}"/>
    <cellStyle name="Normal 2 2 2 2 2 13" xfId="1168" xr:uid="{A6F542DC-9BF3-4D3A-A53F-B92C275D01C9}"/>
    <cellStyle name="Normal 2 2 2 2 2 14" xfId="1169" xr:uid="{EAFC5CD0-594B-46CE-B3C7-C65AC7C3919D}"/>
    <cellStyle name="Normal 2 2 2 2 2 15" xfId="1170" xr:uid="{E2DE1B0F-66C3-4613-9035-6FC9CBC9E5DC}"/>
    <cellStyle name="Normal 2 2 2 2 2 16" xfId="1171" xr:uid="{2F4B937D-9AE6-4ECB-96DD-FBCA0973AFBE}"/>
    <cellStyle name="Normal 2 2 2 2 2 17" xfId="1172" xr:uid="{5EECD4B6-BA3A-4E2A-B587-17D729A03CD2}"/>
    <cellStyle name="Normal 2 2 2 2 2 18" xfId="1173" xr:uid="{1061A78E-E90F-4C32-996B-A764949CB42D}"/>
    <cellStyle name="Normal 2 2 2 2 2 19" xfId="1174" xr:uid="{712E1E99-D552-40D1-98CB-1C1E98CB4EA0}"/>
    <cellStyle name="Normal 2 2 2 2 2 2" xfId="1175" xr:uid="{53B57419-2B13-4A1B-9F08-3A7174C1B249}"/>
    <cellStyle name="Normal 2 2 2 2 2 2 10" xfId="1176" xr:uid="{DBF643AC-DEDD-4863-BDF0-E680A3E4F9B5}"/>
    <cellStyle name="Normal 2 2 2 2 2 2 11" xfId="1177" xr:uid="{6CB30670-6F99-45FE-985F-EACD2D05697A}"/>
    <cellStyle name="Normal 2 2 2 2 2 2 12" xfId="1178" xr:uid="{907626E0-54E3-48D4-A8AB-45CED3155AC6}"/>
    <cellStyle name="Normal 2 2 2 2 2 2 13" xfId="1179" xr:uid="{B695DD33-D5E4-4A5F-8AF0-D8900FA99E11}"/>
    <cellStyle name="Normal 2 2 2 2 2 2 14" xfId="1180" xr:uid="{932966D0-03DE-48CD-A954-8CB3EA1C35E0}"/>
    <cellStyle name="Normal 2 2 2 2 2 2 15" xfId="1181" xr:uid="{F4E40B5A-A179-4434-90E2-032D3F7AE064}"/>
    <cellStyle name="Normal 2 2 2 2 2 2 16" xfId="1182" xr:uid="{1E0F3EBD-0C01-4435-8E33-60A5B178571E}"/>
    <cellStyle name="Normal 2 2 2 2 2 2 17" xfId="1183" xr:uid="{4E728D91-0258-4F69-BA7C-5DEC7D92D871}"/>
    <cellStyle name="Normal 2 2 2 2 2 2 18" xfId="1184" xr:uid="{A1A25067-4596-4289-8908-22870EB66FE4}"/>
    <cellStyle name="Normal 2 2 2 2 2 2 18 2" xfId="1185" xr:uid="{ED0F9428-98BE-478E-8A73-9520775411E7}"/>
    <cellStyle name="Normal 2 2 2 2 2 2 18 3" xfId="1186" xr:uid="{9049F997-B022-4133-B00F-317BF1600588}"/>
    <cellStyle name="Normal 2 2 2 2 2 2 19" xfId="1187" xr:uid="{450E6C14-B4DD-4530-BA1A-5165D11C2A68}"/>
    <cellStyle name="Normal 2 2 2 2 2 2 2" xfId="1188" xr:uid="{035BBE7F-9AB0-4742-ABED-E3F753B9697B}"/>
    <cellStyle name="Normal 2 2 2 2 2 2 2 10" xfId="1189" xr:uid="{A0ED7F3D-5D6B-4ED6-958F-5F69B26576C2}"/>
    <cellStyle name="Normal 2 2 2 2 2 2 2 11" xfId="1190" xr:uid="{CDE79DE2-BD06-4991-AF5D-F98E89425EE3}"/>
    <cellStyle name="Normal 2 2 2 2 2 2 2 12" xfId="1191" xr:uid="{62689FC8-D493-4930-9E84-27B99091D2B8}"/>
    <cellStyle name="Normal 2 2 2 2 2 2 2 13" xfId="1192" xr:uid="{4227DCAB-65CF-4B25-884C-90DB18D211F6}"/>
    <cellStyle name="Normal 2 2 2 2 2 2 2 14" xfId="1193" xr:uid="{0399C851-BC75-4D0B-93A6-5977A6F63573}"/>
    <cellStyle name="Normal 2 2 2 2 2 2 2 15" xfId="1194" xr:uid="{C503288B-3972-4413-B721-624D2F66E855}"/>
    <cellStyle name="Normal 2 2 2 2 2 2 2 16" xfId="1195" xr:uid="{8E331D75-C09D-4B34-A655-31885634CDA1}"/>
    <cellStyle name="Normal 2 2 2 2 2 2 2 17" xfId="1196" xr:uid="{903752B9-7AAD-4051-B122-F6FEC2789F61}"/>
    <cellStyle name="Normal 2 2 2 2 2 2 2 18" xfId="1197" xr:uid="{4733769E-4054-4A93-AFA2-BCD8F4B1951D}"/>
    <cellStyle name="Normal 2 2 2 2 2 2 2 18 2" xfId="1198" xr:uid="{2473D4B9-9392-48FE-A30A-285CBE2EAF83}"/>
    <cellStyle name="Normal 2 2 2 2 2 2 2 18 3" xfId="1199" xr:uid="{3E1A436D-14AD-4045-8910-FB8A904E1A53}"/>
    <cellStyle name="Normal 2 2 2 2 2 2 2 19" xfId="1200" xr:uid="{E290D25D-1AFA-4976-87EC-AF7FB03FCA80}"/>
    <cellStyle name="Normal 2 2 2 2 2 2 2 2" xfId="1201" xr:uid="{16120F94-A835-499F-BCCB-CE070A7B39DE}"/>
    <cellStyle name="Normal 2 2 2 2 2 2 2 2 10" xfId="1202" xr:uid="{D92DD29B-69C9-4F43-A7EC-5E43DA0AA32C}"/>
    <cellStyle name="Normal 2 2 2 2 2 2 2 2 11" xfId="1203" xr:uid="{ED258C34-AEC8-425F-9135-C41348CE8142}"/>
    <cellStyle name="Normal 2 2 2 2 2 2 2 2 12" xfId="1204" xr:uid="{FDF48BEC-125A-42BF-9E70-835E13C98F6C}"/>
    <cellStyle name="Normal 2 2 2 2 2 2 2 2 13" xfId="1205" xr:uid="{18383E9C-DC7D-4A06-B850-7960E2AFACAD}"/>
    <cellStyle name="Normal 2 2 2 2 2 2 2 2 14" xfId="1206" xr:uid="{E8214159-AA2E-4431-B328-80C5B25FE809}"/>
    <cellStyle name="Normal 2 2 2 2 2 2 2 2 15" xfId="1207" xr:uid="{CF8E552E-8FC0-41DC-8E4F-CF325B6CBB94}"/>
    <cellStyle name="Normal 2 2 2 2 2 2 2 2 16" xfId="1208" xr:uid="{F516041A-F324-4E7E-859C-2FFEE5011F58}"/>
    <cellStyle name="Normal 2 2 2 2 2 2 2 2 16 2" xfId="1209" xr:uid="{750EB58C-3836-47F9-BE98-300F4612320E}"/>
    <cellStyle name="Normal 2 2 2 2 2 2 2 2 16 3" xfId="1210" xr:uid="{945C4906-CD08-4A7A-AC4A-53AD672D4206}"/>
    <cellStyle name="Normal 2 2 2 2 2 2 2 2 17" xfId="1211" xr:uid="{04A50D54-5E64-46E8-AE29-3E5B2DB22340}"/>
    <cellStyle name="Normal 2 2 2 2 2 2 2 2 18" xfId="1212" xr:uid="{67E28475-C023-467A-B3C7-F3772C2D6606}"/>
    <cellStyle name="Normal 2 2 2 2 2 2 2 2 19" xfId="1213" xr:uid="{49B30F6C-8969-4F92-AEF7-D8137A620B12}"/>
    <cellStyle name="Normal 2 2 2 2 2 2 2 2 2" xfId="1214" xr:uid="{215F1A18-73F6-4CC1-A797-BF7607A77F33}"/>
    <cellStyle name="Normal 2 2 2 2 2 2 2 2 2 10" xfId="1215" xr:uid="{53D0B844-A5D2-4ADA-A460-B8E43D25EBCE}"/>
    <cellStyle name="Normal 2 2 2 2 2 2 2 2 2 11" xfId="1216" xr:uid="{ED2AFF15-198B-47C0-858C-CBBC87D218C0}"/>
    <cellStyle name="Normal 2 2 2 2 2 2 2 2 2 12" xfId="1217" xr:uid="{125BE271-8EB5-4CD1-867A-3F591F9AA0E3}"/>
    <cellStyle name="Normal 2 2 2 2 2 2 2 2 2 13" xfId="1218" xr:uid="{5B25780B-5D71-4340-85BC-FCDE4EB9094E}"/>
    <cellStyle name="Normal 2 2 2 2 2 2 2 2 2 14" xfId="1219" xr:uid="{4A977296-B83F-4B7A-9416-C354EC11173B}"/>
    <cellStyle name="Normal 2 2 2 2 2 2 2 2 2 15" xfId="1220" xr:uid="{B1573E2E-1591-4F5D-B429-CC1DA2D53571}"/>
    <cellStyle name="Normal 2 2 2 2 2 2 2 2 2 16" xfId="1221" xr:uid="{D957FF51-AA88-42AE-B980-B0F9149580CA}"/>
    <cellStyle name="Normal 2 2 2 2 2 2 2 2 2 16 2" xfId="1222" xr:uid="{E21E0F5E-55FD-447D-BEDD-7DD1CF54C828}"/>
    <cellStyle name="Normal 2 2 2 2 2 2 2 2 2 16 3" xfId="1223" xr:uid="{D4F7EFD8-2E73-4133-9D67-9E749D8636A6}"/>
    <cellStyle name="Normal 2 2 2 2 2 2 2 2 2 17" xfId="1224" xr:uid="{2F9DFF79-8D76-466F-B312-F4CDDD05F248}"/>
    <cellStyle name="Normal 2 2 2 2 2 2 2 2 2 18" xfId="1225" xr:uid="{BAA2496B-A3E5-4415-B2AA-050504D9DB71}"/>
    <cellStyle name="Normal 2 2 2 2 2 2 2 2 2 19" xfId="1226" xr:uid="{DAA4AAAD-D2EF-44A0-9EFE-141E432A9D5A}"/>
    <cellStyle name="Normal 2 2 2 2 2 2 2 2 2 2" xfId="1227" xr:uid="{05BB7E35-5710-4AEF-B9DB-A13A7F2648C5}"/>
    <cellStyle name="Normal 2 2 2 2 2 2 2 2 2 2 10" xfId="1228" xr:uid="{EA4EE460-5985-455F-972B-4CD3D4FB7CE5}"/>
    <cellStyle name="Normal 2 2 2 2 2 2 2 2 2 2 11" xfId="1229" xr:uid="{45971630-7F9F-4F13-A88A-78E552818A54}"/>
    <cellStyle name="Normal 2 2 2 2 2 2 2 2 2 2 12" xfId="1230" xr:uid="{CFFDD3D6-C372-4DFF-BCD8-6C6E9733B0F5}"/>
    <cellStyle name="Normal 2 2 2 2 2 2 2 2 2 2 13" xfId="1231" xr:uid="{CA65CA95-1C5B-4C9D-9E34-966DCE8A4C40}"/>
    <cellStyle name="Normal 2 2 2 2 2 2 2 2 2 2 14" xfId="1232" xr:uid="{1EBCC0AE-6569-481F-8CDA-D0A4CFE40BF3}"/>
    <cellStyle name="Normal 2 2 2 2 2 2 2 2 2 2 14 2" xfId="1233" xr:uid="{F3AFDB26-09CD-4358-951A-E032FA3BD144}"/>
    <cellStyle name="Normal 2 2 2 2 2 2 2 2 2 2 14 3" xfId="1234" xr:uid="{26E1D135-1AEC-42B9-8352-24A5722E3BE2}"/>
    <cellStyle name="Normal 2 2 2 2 2 2 2 2 2 2 15" xfId="1235" xr:uid="{5B3C2E83-5C12-4907-B616-8F37A34D5F5C}"/>
    <cellStyle name="Normal 2 2 2 2 2 2 2 2 2 2 16" xfId="1236" xr:uid="{79F9237D-AD92-4343-8242-A932C6C95D63}"/>
    <cellStyle name="Normal 2 2 2 2 2 2 2 2 2 2 17" xfId="1237" xr:uid="{9A81C37D-0382-4B68-80F5-CB83BD7788B7}"/>
    <cellStyle name="Normal 2 2 2 2 2 2 2 2 2 2 2" xfId="1238" xr:uid="{9A0E92AF-A615-4EC4-BBD0-05A6D292358F}"/>
    <cellStyle name="Normal 2 2 2 2 2 2 2 2 2 2 2 10" xfId="1239" xr:uid="{F3A2327B-33BB-41E8-B3C5-BCEDE5F55584}"/>
    <cellStyle name="Normal 2 2 2 2 2 2 2 2 2 2 2 11" xfId="1240" xr:uid="{68677A4E-7693-41FE-A13E-8FFF09B2D2DE}"/>
    <cellStyle name="Normal 2 2 2 2 2 2 2 2 2 2 2 12" xfId="1241" xr:uid="{6D16E532-D3F1-40C5-AC76-234C494FBFD0}"/>
    <cellStyle name="Normal 2 2 2 2 2 2 2 2 2 2 2 13" xfId="1242" xr:uid="{D5D12F16-2A66-428F-9E38-65EA6F5E61AC}"/>
    <cellStyle name="Normal 2 2 2 2 2 2 2 2 2 2 2 14" xfId="1243" xr:uid="{7B0D4F3C-0279-41C8-B2C6-202D44E5855D}"/>
    <cellStyle name="Normal 2 2 2 2 2 2 2 2 2 2 2 14 2" xfId="1244" xr:uid="{59921F34-BDE7-493F-A4CC-508A9DBC8342}"/>
    <cellStyle name="Normal 2 2 2 2 2 2 2 2 2 2 2 14 3" xfId="1245" xr:uid="{05A82E17-3DE5-4DCE-91DA-7A819EE58AFE}"/>
    <cellStyle name="Normal 2 2 2 2 2 2 2 2 2 2 2 15" xfId="1246" xr:uid="{5EC2AC21-1602-43CD-9C79-D091294C87C5}"/>
    <cellStyle name="Normal 2 2 2 2 2 2 2 2 2 2 2 16" xfId="1247" xr:uid="{E9AD234E-2472-40EB-92D3-99D515F4D19D}"/>
    <cellStyle name="Normal 2 2 2 2 2 2 2 2 2 2 2 17" xfId="1248" xr:uid="{66218FB2-EE59-4884-9605-5C17AB2CDB6A}"/>
    <cellStyle name="Normal 2 2 2 2 2 2 2 2 2 2 2 2" xfId="1249" xr:uid="{0271121D-6710-434F-8CC8-2ED1DA31AB48}"/>
    <cellStyle name="Normal 2 2 2 2 2 2 2 2 2 2 2 2 10" xfId="1250" xr:uid="{EC613B9F-27DC-49C4-8E8F-B5C18107CEC8}"/>
    <cellStyle name="Normal 2 2 2 2 2 2 2 2 2 2 2 2 11" xfId="1251" xr:uid="{E834BF73-7B5C-43E9-9B15-7A2EF7097149}"/>
    <cellStyle name="Normal 2 2 2 2 2 2 2 2 2 2 2 2 12" xfId="1252" xr:uid="{4C9C627C-35C5-4278-9EA1-E7E64351C4AD}"/>
    <cellStyle name="Normal 2 2 2 2 2 2 2 2 2 2 2 2 12 2" xfId="1253" xr:uid="{9EE21F57-826E-4E2C-BA1C-6CE7125EAAE0}"/>
    <cellStyle name="Normal 2 2 2 2 2 2 2 2 2 2 2 2 12 3" xfId="1254" xr:uid="{34A68DC5-91D5-46A1-B41F-03A36F67ADF8}"/>
    <cellStyle name="Normal 2 2 2 2 2 2 2 2 2 2 2 2 13" xfId="1255" xr:uid="{744AD345-25F0-42F7-848D-B8794458F8F2}"/>
    <cellStyle name="Normal 2 2 2 2 2 2 2 2 2 2 2 2 14" xfId="1256" xr:uid="{9CEFEFAA-F10A-4527-B252-31DBF6C04C6E}"/>
    <cellStyle name="Normal 2 2 2 2 2 2 2 2 2 2 2 2 15" xfId="1257" xr:uid="{6A383D03-3E5E-4B20-9868-E38C18401AA6}"/>
    <cellStyle name="Normal 2 2 2 2 2 2 2 2 2 2 2 2 2" xfId="1258" xr:uid="{7F7F57AE-760F-4153-B7AF-A935C269C228}"/>
    <cellStyle name="Normal 2 2 2 2 2 2 2 2 2 2 2 2 2 10" xfId="1259" xr:uid="{BE0C8E81-96F8-4752-A3CD-C3F13CEEC3D6}"/>
    <cellStyle name="Normal 2 2 2 2 2 2 2 2 2 2 2 2 2 11" xfId="1260" xr:uid="{747DA548-B91E-4217-A98E-F4D2285E4D4E}"/>
    <cellStyle name="Normal 2 2 2 2 2 2 2 2 2 2 2 2 2 12" xfId="1261" xr:uid="{C539C095-A9AC-4218-B97C-C4096B1DBE6A}"/>
    <cellStyle name="Normal 2 2 2 2 2 2 2 2 2 2 2 2 2 12 2" xfId="1262" xr:uid="{FA342DB1-EF31-42A1-8F42-CF0C7A7B60D3}"/>
    <cellStyle name="Normal 2 2 2 2 2 2 2 2 2 2 2 2 2 12 3" xfId="1263" xr:uid="{E7410D0E-608F-410E-BE57-5B4C0F839642}"/>
    <cellStyle name="Normal 2 2 2 2 2 2 2 2 2 2 2 2 2 13" xfId="1264" xr:uid="{F1588DCB-526D-4100-8E5E-5894DEC8719B}"/>
    <cellStyle name="Normal 2 2 2 2 2 2 2 2 2 2 2 2 2 14" xfId="1265" xr:uid="{FE22E631-946D-42E1-97B0-4C868F5F7865}"/>
    <cellStyle name="Normal 2 2 2 2 2 2 2 2 2 2 2 2 2 15" xfId="1266" xr:uid="{595A6B4E-64C3-43C3-9EA4-998281A5F89B}"/>
    <cellStyle name="Normal 2 2 2 2 2 2 2 2 2 2 2 2 2 2" xfId="1267" xr:uid="{539CF058-7368-4424-A592-8A8C55A598D2}"/>
    <cellStyle name="Normal 2 2 2 2 2 2 2 2 2 2 2 2 2 2 10" xfId="1268" xr:uid="{512DBE88-3DF0-4B30-BDDA-C21FE11FA4FF}"/>
    <cellStyle name="Normal 2 2 2 2 2 2 2 2 2 2 2 2 2 2 10 2" xfId="1269" xr:uid="{2207AFEB-1BE1-49A4-B8F5-507BDD8A74B1}"/>
    <cellStyle name="Normal 2 2 2 2 2 2 2 2 2 2 2 2 2 2 10 3" xfId="1270" xr:uid="{2439D9F9-C3EB-46D3-832A-221D772EC040}"/>
    <cellStyle name="Normal 2 2 2 2 2 2 2 2 2 2 2 2 2 2 11" xfId="1271" xr:uid="{E3EF5D57-23CE-4C68-BF20-E35B8C60DC44}"/>
    <cellStyle name="Normal 2 2 2 2 2 2 2 2 2 2 2 2 2 2 12" xfId="1272" xr:uid="{655B05A7-4E5B-4B55-A937-69F9AFAABD20}"/>
    <cellStyle name="Normal 2 2 2 2 2 2 2 2 2 2 2 2 2 2 13" xfId="1273" xr:uid="{1EC4A610-33EA-4267-A229-A06382A82037}"/>
    <cellStyle name="Normal 2 2 2 2 2 2 2 2 2 2 2 2 2 2 2" xfId="1274" xr:uid="{53EFAA9D-0034-4781-9BCD-CF41A2251789}"/>
    <cellStyle name="Normal 2 2 2 2 2 2 2 2 2 2 2 2 2 2 2 10" xfId="1275" xr:uid="{52F19694-DF24-436E-B200-0D1A3848D36E}"/>
    <cellStyle name="Normal 2 2 2 2 2 2 2 2 2 2 2 2 2 2 2 10 2" xfId="1276" xr:uid="{1E5D0816-12E2-4960-A063-2B6C6F7A808C}"/>
    <cellStyle name="Normal 2 2 2 2 2 2 2 2 2 2 2 2 2 2 2 10 3" xfId="1277" xr:uid="{AA49FE9F-5396-48C9-961B-D5E1583F0593}"/>
    <cellStyle name="Normal 2 2 2 2 2 2 2 2 2 2 2 2 2 2 2 11" xfId="1278" xr:uid="{4C70BA40-3B14-4CDA-8D23-B6D8DA6C89B8}"/>
    <cellStyle name="Normal 2 2 2 2 2 2 2 2 2 2 2 2 2 2 2 12" xfId="1279" xr:uid="{8DCE8A76-052D-4632-954A-AC123AACA834}"/>
    <cellStyle name="Normal 2 2 2 2 2 2 2 2 2 2 2 2 2 2 2 13" xfId="1280" xr:uid="{4EDE78E9-DAED-40A9-9D1E-E94DA6CBB360}"/>
    <cellStyle name="Normal 2 2 2 2 2 2 2 2 2 2 2 2 2 2 2 2" xfId="1281" xr:uid="{21C1D5AB-8F88-4E96-8575-8216228429EC}"/>
    <cellStyle name="Normal 2 2 2 2 2 2 2 2 2 2 2 2 2 2 2 2 10" xfId="1282" xr:uid="{5DF07785-DF56-44D2-83FC-E6A50BB3A25A}"/>
    <cellStyle name="Normal 2 2 2 2 2 2 2 2 2 2 2 2 2 2 2 2 11" xfId="1283" xr:uid="{C5D4A515-E043-4B66-9A90-10B7C29A3DB2}"/>
    <cellStyle name="Normal 2 2 2 2 2 2 2 2 2 2 2 2 2 2 2 2 2" xfId="1284" xr:uid="{7BF037CB-46E5-48E3-98B1-96B0D71EF773}"/>
    <cellStyle name="Normal 2 2 2 2 2 2 2 2 2 2 2 2 2 2 2 2 2 10" xfId="1285" xr:uid="{4E649C1F-7256-4515-BA1C-65D5163DCAE1}"/>
    <cellStyle name="Normal 2 2 2 2 2 2 2 2 2 2 2 2 2 2 2 2 2 11" xfId="1286" xr:uid="{5DA9A533-76CE-47BD-B5F8-A368E51CB181}"/>
    <cellStyle name="Normal 2 2 2 2 2 2 2 2 2 2 2 2 2 2 2 2 2 2" xfId="1287" xr:uid="{522AF8E5-9982-42E0-A394-D69E1084EBA2}"/>
    <cellStyle name="Normal 2 2 2 2 2 2 2 2 2 2 2 2 2 2 2 2 2 2 10" xfId="1288" xr:uid="{8FED774A-F77A-4E59-884F-A96A06845C38}"/>
    <cellStyle name="Normal 2 2 2 2 2 2 2 2 2 2 2 2 2 2 2 2 2 2 2" xfId="1289" xr:uid="{AE728D13-5BC7-4A8E-ACD8-94B9BC37D8BE}"/>
    <cellStyle name="Normal 2 2 2 2 2 2 2 2 2 2 2 2 2 2 2 2 2 2 2 10" xfId="1290" xr:uid="{276A1449-9025-4759-8A83-77D6B96050DC}"/>
    <cellStyle name="Normal 2 2 2 2 2 2 2 2 2 2 2 2 2 2 2 2 2 2 2 2" xfId="1291" xr:uid="{73526D20-3972-481B-8FD2-230A84B8B122}"/>
    <cellStyle name="Normal 2 2 2 2 2 2 2 2 2 2 2 2 2 2 2 2 2 2 2 2 2" xfId="1292" xr:uid="{392012C0-4138-45C4-B9AE-4B8B453D1F68}"/>
    <cellStyle name="Normal 2 2 2 2 2 2 2 2 2 2 2 2 2 2 2 2 2 2 2 2 2 2" xfId="1293" xr:uid="{A66232E4-11F8-4714-B799-DBBA67D7BD84}"/>
    <cellStyle name="Normal 2 2 2 2 2 2 2 2 2 2 2 2 2 2 2 2 2 2 2 2 2 2 2" xfId="1294" xr:uid="{02DCF9BA-66E6-451C-96B6-3EBE2E8824B5}"/>
    <cellStyle name="Normal 2 2 2 2 2 2 2 2 2 2 2 2 2 2 2 2 2 2 2 2 2 2 2 2" xfId="1295" xr:uid="{DC1023A5-4920-4022-A301-3EDE210B0B75}"/>
    <cellStyle name="Normal 2 2 2 2 2 2 2 2 2 2 2 2 2 2 2 2 2 2 2 2 2 2 2 2 2" xfId="1296" xr:uid="{EB91CC44-4A79-4CB6-8444-4E4A279A281F}"/>
    <cellStyle name="Normal 2 2 2 2 2 2 2 2 2 2 2 2 2 2 2 2 2 2 2 2 2 2 2 2 2 2" xfId="1297" xr:uid="{62A13594-0A81-43F0-B8C5-818EF58C7D5B}"/>
    <cellStyle name="Normal 2 2 2 2 2 2 2 2 2 2 2 2 2 2 2 2 2 2 2 2 2 2 2 2 2 2 2" xfId="1298" xr:uid="{23C69FC2-C01C-49F4-AFF5-0AD50EF5EA91}"/>
    <cellStyle name="Normal 2 2 2 2 2 2 2 2 2 2 2 2 2 2 2 2 2 2 2 2 2 2 2 2 2 2 2 2" xfId="1299" xr:uid="{FE93B05A-E96E-444F-96E7-092244E5776A}"/>
    <cellStyle name="Normal 2 2 2 2 2 2 2 2 2 2 2 2 2 2 2 2 2 2 2 2 2 2 2 2 2 2 2 2 2" xfId="1300" xr:uid="{137BD14A-9D6D-4D62-904C-12BD8B27BE97}"/>
    <cellStyle name="Normal 2 2 2 2 2 2 2 2 2 2 2 2 2 2 2 2 2 2 2 2 2 2 2 2 2 2 2 2 2 2" xfId="1301" xr:uid="{1CD0D9EE-2B23-4E67-BE4B-578D4B09D425}"/>
    <cellStyle name="Normal 2 2 2 2 2 2 2 2 2 2 2 2 2 2 2 2 2 2 2 2 2 2 2 2 2 2 2 2 2 3" xfId="1302" xr:uid="{2C19F655-0F26-4E97-90B0-5156F173EC4A}"/>
    <cellStyle name="Normal 2 2 2 2 2 2 2 2 2 2 2 2 2 2 2 2 2 2 2 2 2 2 2 2 2 2 2 2 3" xfId="1303" xr:uid="{3437EF01-DEE6-4CF7-9BF0-F36A77704824}"/>
    <cellStyle name="Normal 2 2 2 2 2 2 2 2 2 2 2 2 2 2 2 2 2 2 2 2 2 2 2 2 2 2 2 2 4" xfId="1304" xr:uid="{874AF796-3850-492C-9435-E65E272CC61F}"/>
    <cellStyle name="Normal 2 2 2 2 2 2 2 2 2 2 2 2 2 2 2 2 2 2 2 2 2 2 2 2 2 2 2 2 5" xfId="1305" xr:uid="{D560C094-5779-4366-BF74-39B486B3E508}"/>
    <cellStyle name="Normal 2 2 2 2 2 2 2 2 2 2 2 2 2 2 2 2 2 2 2 2 2 2 2 2 2 2 2 2 6" xfId="1306" xr:uid="{35B1E59D-A496-479B-9045-048A943A93AF}"/>
    <cellStyle name="Normal 2 2 2 2 2 2 2 2 2 2 2 2 2 2 2 2 2 2 2 2 2 2 2 2 2 2 2 3" xfId="1307" xr:uid="{61D8C450-C57C-48A4-82FD-69292853F244}"/>
    <cellStyle name="Normal 2 2 2 2 2 2 2 2 2 2 2 2 2 2 2 2 2 2 2 2 2 2 2 2 2 2 2 3 2" xfId="1308" xr:uid="{829FE502-3605-42A2-83F7-68952D6D7960}"/>
    <cellStyle name="Normal 2 2 2 2 2 2 2 2 2 2 2 2 2 2 2 2 2 2 2 2 2 2 2 2 2 2 2 3 3" xfId="1309" xr:uid="{86B01BE8-AD70-467F-A1D7-5293E9C0F57A}"/>
    <cellStyle name="Normal 2 2 2 2 2 2 2 2 2 2 2 2 2 2 2 2 2 2 2 2 2 2 2 2 2 2 2 4" xfId="1310" xr:uid="{1A12D80A-DB5F-4BE3-BA25-E8F749E3EDD8}"/>
    <cellStyle name="Normal 2 2 2 2 2 2 2 2 2 2 2 2 2 2 2 2 2 2 2 2 2 2 2 2 2 2 2 5" xfId="1311" xr:uid="{28339FBB-A36F-4873-9096-A1F0BC9A41C9}"/>
    <cellStyle name="Normal 2 2 2 2 2 2 2 2 2 2 2 2 2 2 2 2 2 2 2 2 2 2 2 2 2 2 2 6" xfId="1312" xr:uid="{66B731A2-4D27-4E8B-9540-14C290F2BD40}"/>
    <cellStyle name="Normal 2 2 2 2 2 2 2 2 2 2 2 2 2 2 2 2 2 2 2 2 2 2 2 2 2 2 3" xfId="1313" xr:uid="{1203EE5D-ED27-48D2-9BBE-DAAD31574AE2}"/>
    <cellStyle name="Normal 2 2 2 2 2 2 2 2 2 2 2 2 2 2 2 2 2 2 2 2 2 2 2 2 2 2 3 2" xfId="1314" xr:uid="{B97BD3E9-29FF-4733-BFD5-05C407B27323}"/>
    <cellStyle name="Normal 2 2 2 2 2 2 2 2 2 2 2 2 2 2 2 2 2 2 2 2 2 2 2 2 2 2 3 3" xfId="1315" xr:uid="{582C1B56-018B-4B56-9FCB-B1B92248A4EB}"/>
    <cellStyle name="Normal 2 2 2 2 2 2 2 2 2 2 2 2 2 2 2 2 2 2 2 2 2 2 2 2 2 2 4" xfId="1316" xr:uid="{6A81A19C-C83F-48B7-B710-DB9EA62B71F1}"/>
    <cellStyle name="Normal 2 2 2 2 2 2 2 2 2 2 2 2 2 2 2 2 2 2 2 2 2 2 2 2 2 2 5" xfId="1317" xr:uid="{4C9C511B-5A09-4789-91C3-E228E3C7A83C}"/>
    <cellStyle name="Normal 2 2 2 2 2 2 2 2 2 2 2 2 2 2 2 2 2 2 2 2 2 2 2 2 2 2 6" xfId="1318" xr:uid="{9790D466-5CE3-4488-B970-ED33604D34BE}"/>
    <cellStyle name="Normal 2 2 2 2 2 2 2 2 2 2 2 2 2 2 2 2 2 2 2 2 2 2 2 2 2 3" xfId="1319" xr:uid="{73BFA1D5-ED79-478F-8CEA-C68EE2A24C16}"/>
    <cellStyle name="Normal 2 2 2 2 2 2 2 2 2 2 2 2 2 2 2 2 2 2 2 2 2 2 2 2 2 4" xfId="1320" xr:uid="{D5548F09-5A89-4567-B774-21986047414C}"/>
    <cellStyle name="Normal 2 2 2 2 2 2 2 2 2 2 2 2 2 2 2 2 2 2 2 2 2 2 2 2 2 4 2" xfId="1321" xr:uid="{34BE39E6-345D-4377-A5F8-1F6605B0E9EB}"/>
    <cellStyle name="Normal 2 2 2 2 2 2 2 2 2 2 2 2 2 2 2 2 2 2 2 2 2 2 2 2 2 4 3" xfId="1322" xr:uid="{48A6DB12-BFCA-48B3-95FB-647929DF64A7}"/>
    <cellStyle name="Normal 2 2 2 2 2 2 2 2 2 2 2 2 2 2 2 2 2 2 2 2 2 2 2 2 2 5" xfId="1323" xr:uid="{787BEEE8-FADE-49B4-AABC-87D32E5F8C9D}"/>
    <cellStyle name="Normal 2 2 2 2 2 2 2 2 2 2 2 2 2 2 2 2 2 2 2 2 2 2 2 2 2 6" xfId="1324" xr:uid="{18CDE7DC-8021-48DB-BC93-0D5D106F8354}"/>
    <cellStyle name="Normal 2 2 2 2 2 2 2 2 2 2 2 2 2 2 2 2 2 2 2 2 2 2 2 2 2 7" xfId="1325" xr:uid="{C17F8A27-BF16-4DC2-B360-83D0AFDEB197}"/>
    <cellStyle name="Normal 2 2 2 2 2 2 2 2 2 2 2 2 2 2 2 2 2 2 2 2 2 2 2 2 3" xfId="1326" xr:uid="{9FC1A464-E368-4A77-A350-F1A76CB4159A}"/>
    <cellStyle name="Normal 2 2 2 2 2 2 2 2 2 2 2 2 2 2 2 2 2 2 2 2 2 2 2 2 4" xfId="1327" xr:uid="{1B43E088-D91D-4C30-B865-ABD63EEF5D5E}"/>
    <cellStyle name="Normal 2 2 2 2 2 2 2 2 2 2 2 2 2 2 2 2 2 2 2 2 2 2 2 2 4 2" xfId="1328" xr:uid="{4F2FF897-B514-4929-B221-E43461FD3CC0}"/>
    <cellStyle name="Normal 2 2 2 2 2 2 2 2 2 2 2 2 2 2 2 2 2 2 2 2 2 2 2 2 4 3" xfId="1329" xr:uid="{6056C648-5E68-40A8-952F-537D585D70F2}"/>
    <cellStyle name="Normal 2 2 2 2 2 2 2 2 2 2 2 2 2 2 2 2 2 2 2 2 2 2 2 2 5" xfId="1330" xr:uid="{FBC48036-B31F-4EE2-B8EA-A2A8FD8D4E42}"/>
    <cellStyle name="Normal 2 2 2 2 2 2 2 2 2 2 2 2 2 2 2 2 2 2 2 2 2 2 2 2 6" xfId="1331" xr:uid="{20CEC16A-DF4A-424D-921C-3C844E8EF374}"/>
    <cellStyle name="Normal 2 2 2 2 2 2 2 2 2 2 2 2 2 2 2 2 2 2 2 2 2 2 2 2 7" xfId="1332" xr:uid="{B9C251BB-D0E4-4A42-925E-E653F535C71B}"/>
    <cellStyle name="Normal 2 2 2 2 2 2 2 2 2 2 2 2 2 2 2 2 2 2 2 2 2 2 2 3" xfId="1333" xr:uid="{D6E52309-BEF3-4B4E-A989-0B6883452F3C}"/>
    <cellStyle name="Normal 2 2 2 2 2 2 2 2 2 2 2 2 2 2 2 2 2 2 2 2 2 2 2 4" xfId="1334" xr:uid="{4CCC0722-9577-4424-B443-D0DD200D0B83}"/>
    <cellStyle name="Normal 2 2 2 2 2 2 2 2 2 2 2 2 2 2 2 2 2 2 2 2 2 2 2 5" xfId="1335" xr:uid="{D60F02A4-0651-4E17-8BF8-7F70E421079B}"/>
    <cellStyle name="Normal 2 2 2 2 2 2 2 2 2 2 2 2 2 2 2 2 2 2 2 2 2 2 2 5 2" xfId="1336" xr:uid="{ADE904A7-4278-49EB-845C-1173BF9B743A}"/>
    <cellStyle name="Normal 2 2 2 2 2 2 2 2 2 2 2 2 2 2 2 2 2 2 2 2 2 2 2 5 3" xfId="1337" xr:uid="{4208D6D6-0421-41DC-94E6-3EBDDD9EBA3B}"/>
    <cellStyle name="Normal 2 2 2 2 2 2 2 2 2 2 2 2 2 2 2 2 2 2 2 2 2 2 2 6" xfId="1338" xr:uid="{975E4BA3-1C3D-4871-AFAA-17A4DAC08F67}"/>
    <cellStyle name="Normal 2 2 2 2 2 2 2 2 2 2 2 2 2 2 2 2 2 2 2 2 2 2 2 7" xfId="1339" xr:uid="{65A55BB2-4A3F-44E9-9B16-05E7065C5396}"/>
    <cellStyle name="Normal 2 2 2 2 2 2 2 2 2 2 2 2 2 2 2 2 2 2 2 2 2 2 2 8" xfId="1340" xr:uid="{D47B6BDF-4B18-4CB2-A5F1-87B75C4158E9}"/>
    <cellStyle name="Normal 2 2 2 2 2 2 2 2 2 2 2 2 2 2 2 2 2 2 2 2 2 2 3" xfId="1341" xr:uid="{3DFC7E4F-FDA0-4CAB-B720-7DFDD96B7B71}"/>
    <cellStyle name="Normal 2 2 2 2 2 2 2 2 2 2 2 2 2 2 2 2 2 2 2 2 2 2 4" xfId="1342" xr:uid="{EE18F960-80F8-46F0-AAF5-AECC0103156C}"/>
    <cellStyle name="Normal 2 2 2 2 2 2 2 2 2 2 2 2 2 2 2 2 2 2 2 2 2 2 5" xfId="1343" xr:uid="{5EEBE883-9BA4-4569-ADDD-73037887D9B0}"/>
    <cellStyle name="Normal 2 2 2 2 2 2 2 2 2 2 2 2 2 2 2 2 2 2 2 2 2 2 5 2" xfId="1344" xr:uid="{B77235D3-204C-4987-BDAE-3A16A191382D}"/>
    <cellStyle name="Normal 2 2 2 2 2 2 2 2 2 2 2 2 2 2 2 2 2 2 2 2 2 2 5 3" xfId="1345" xr:uid="{078E912A-89CC-4636-A720-3F021913C5F4}"/>
    <cellStyle name="Normal 2 2 2 2 2 2 2 2 2 2 2 2 2 2 2 2 2 2 2 2 2 2 6" xfId="1346" xr:uid="{CA86FF59-ED4A-4B1C-9E72-9E011A3F3B1B}"/>
    <cellStyle name="Normal 2 2 2 2 2 2 2 2 2 2 2 2 2 2 2 2 2 2 2 2 2 2 7" xfId="1347" xr:uid="{FFDC671C-6C63-4A9B-897B-066B8EA126CA}"/>
    <cellStyle name="Normal 2 2 2 2 2 2 2 2 2 2 2 2 2 2 2 2 2 2 2 2 2 2 8" xfId="1348" xr:uid="{95FB8C6B-46D4-4122-A60E-C2F3D6226E94}"/>
    <cellStyle name="Normal 2 2 2 2 2 2 2 2 2 2 2 2 2 2 2 2 2 2 2 2 2 3" xfId="1349" xr:uid="{29B3E698-23DC-4902-BF26-052183E70DDE}"/>
    <cellStyle name="Normal 2 2 2 2 2 2 2 2 2 2 2 2 2 2 2 2 2 2 2 2 2 4" xfId="1350" xr:uid="{34687099-CE43-410D-B335-F1E38555CAD2}"/>
    <cellStyle name="Normal 2 2 2 2 2 2 2 2 2 2 2 2 2 2 2 2 2 2 2 2 2 5" xfId="1351" xr:uid="{5D0FA1BB-969C-4DE7-98F1-A26E334332D0}"/>
    <cellStyle name="Normal 2 2 2 2 2 2 2 2 2 2 2 2 2 2 2 2 2 2 2 2 2 6" xfId="1352" xr:uid="{FD4046AC-ECF7-46C6-8945-472EE786641F}"/>
    <cellStyle name="Normal 2 2 2 2 2 2 2 2 2 2 2 2 2 2 2 2 2 2 2 2 2 6 2" xfId="1353" xr:uid="{86503A5A-A05A-4169-B7F5-11E0DB68174F}"/>
    <cellStyle name="Normal 2 2 2 2 2 2 2 2 2 2 2 2 2 2 2 2 2 2 2 2 2 6 3" xfId="1354" xr:uid="{AA3BBEE8-12F5-4004-BEC9-AE9DBCE36321}"/>
    <cellStyle name="Normal 2 2 2 2 2 2 2 2 2 2 2 2 2 2 2 2 2 2 2 2 2 7" xfId="1355" xr:uid="{2A7D3ED4-3736-4F42-9A70-206093E0F44F}"/>
    <cellStyle name="Normal 2 2 2 2 2 2 2 2 2 2 2 2 2 2 2 2 2 2 2 2 2 8" xfId="1356" xr:uid="{7DFD4801-BEC9-4BDB-8508-3DF61E8A0C7E}"/>
    <cellStyle name="Normal 2 2 2 2 2 2 2 2 2 2 2 2 2 2 2 2 2 2 2 2 2 9" xfId="1357" xr:uid="{BF68EB23-EA44-4480-8A5D-BCB24DA11DA6}"/>
    <cellStyle name="Normal 2 2 2 2 2 2 2 2 2 2 2 2 2 2 2 2 2 2 2 2 3" xfId="1358" xr:uid="{FB04A061-EF54-4C94-A87B-9F23D45D8EEF}"/>
    <cellStyle name="Normal 2 2 2 2 2 2 2 2 2 2 2 2 2 2 2 2 2 2 2 2 4" xfId="1359" xr:uid="{2A75ECC1-1ABE-43EF-B4E0-0024FA4251BE}"/>
    <cellStyle name="Normal 2 2 2 2 2 2 2 2 2 2 2 2 2 2 2 2 2 2 2 2 5" xfId="1360" xr:uid="{22CBF427-D860-431E-9A13-8F10269FC8A9}"/>
    <cellStyle name="Normal 2 2 2 2 2 2 2 2 2 2 2 2 2 2 2 2 2 2 2 2 6" xfId="1361" xr:uid="{C1763A0B-A0BD-429B-B076-A5B1EDC0E3B1}"/>
    <cellStyle name="Normal 2 2 2 2 2 2 2 2 2 2 2 2 2 2 2 2 2 2 2 2 6 2" xfId="1362" xr:uid="{A049A338-336F-4F88-B9CE-707D183FDBFE}"/>
    <cellStyle name="Normal 2 2 2 2 2 2 2 2 2 2 2 2 2 2 2 2 2 2 2 2 6 3" xfId="1363" xr:uid="{CB35D823-95FF-4C10-9E9E-E634C82194C6}"/>
    <cellStyle name="Normal 2 2 2 2 2 2 2 2 2 2 2 2 2 2 2 2 2 2 2 2 7" xfId="1364" xr:uid="{4AFF4077-3AD1-40BE-8103-EE05A3D5E3EB}"/>
    <cellStyle name="Normal 2 2 2 2 2 2 2 2 2 2 2 2 2 2 2 2 2 2 2 2 8" xfId="1365" xr:uid="{E7CBB910-D7B9-4437-ABA6-B76ACA7AB01A}"/>
    <cellStyle name="Normal 2 2 2 2 2 2 2 2 2 2 2 2 2 2 2 2 2 2 2 2 9" xfId="1366" xr:uid="{BC958B04-C8F6-4568-B059-39831FD8FAD7}"/>
    <cellStyle name="Normal 2 2 2 2 2 2 2 2 2 2 2 2 2 2 2 2 2 2 2 3" xfId="1367" xr:uid="{FBC91EED-CEAA-4EB5-B77B-8408C595DEAB}"/>
    <cellStyle name="Normal 2 2 2 2 2 2 2 2 2 2 2 2 2 2 2 2 2 2 2 4" xfId="1368" xr:uid="{946CAE8C-5C39-4C9C-ABA3-973445992B89}"/>
    <cellStyle name="Normal 2 2 2 2 2 2 2 2 2 2 2 2 2 2 2 2 2 2 2 5" xfId="1369" xr:uid="{EA8C45DF-AA9B-4B18-AE82-FBB4945E40BB}"/>
    <cellStyle name="Normal 2 2 2 2 2 2 2 2 2 2 2 2 2 2 2 2 2 2 2 6" xfId="1370" xr:uid="{BF2B9C44-5F24-4306-9C62-74E3048F3269}"/>
    <cellStyle name="Normal 2 2 2 2 2 2 2 2 2 2 2 2 2 2 2 2 2 2 2 7" xfId="1371" xr:uid="{EB13FFEF-22D4-4F1F-8625-9AA9047C702A}"/>
    <cellStyle name="Normal 2 2 2 2 2 2 2 2 2 2 2 2 2 2 2 2 2 2 2 7 2" xfId="1372" xr:uid="{17C920CF-5ADF-490B-B4E2-B218D55D8E3D}"/>
    <cellStyle name="Normal 2 2 2 2 2 2 2 2 2 2 2 2 2 2 2 2 2 2 2 7 3" xfId="1373" xr:uid="{18B6B0D1-9038-4886-AB63-D9BFED061197}"/>
    <cellStyle name="Normal 2 2 2 2 2 2 2 2 2 2 2 2 2 2 2 2 2 2 2 8" xfId="1374" xr:uid="{8DD6A718-99E3-4A25-8D7D-18AB9933E5E9}"/>
    <cellStyle name="Normal 2 2 2 2 2 2 2 2 2 2 2 2 2 2 2 2 2 2 2 9" xfId="1375" xr:uid="{3E19188B-F4B8-443E-991D-4A2692E6EF18}"/>
    <cellStyle name="Normal 2 2 2 2 2 2 2 2 2 2 2 2 2 2 2 2 2 2 3" xfId="1376" xr:uid="{B0FA3035-9E80-4006-A8D3-7A3E7D430C1C}"/>
    <cellStyle name="Normal 2 2 2 2 2 2 2 2 2 2 2 2 2 2 2 2 2 2 4" xfId="1377" xr:uid="{E3FE8FFA-4884-48A0-A1C5-2C5BCCFE67E5}"/>
    <cellStyle name="Normal 2 2 2 2 2 2 2 2 2 2 2 2 2 2 2 2 2 2 5" xfId="1378" xr:uid="{F0B36C20-2484-4B7C-9371-E770FB3C3D7B}"/>
    <cellStyle name="Normal 2 2 2 2 2 2 2 2 2 2 2 2 2 2 2 2 2 2 6" xfId="1379" xr:uid="{34C4EC59-9A6C-4895-BF78-B17971BF3863}"/>
    <cellStyle name="Normal 2 2 2 2 2 2 2 2 2 2 2 2 2 2 2 2 2 2 7" xfId="1380" xr:uid="{A590BC31-3AD7-4074-BD21-A7820F93718E}"/>
    <cellStyle name="Normal 2 2 2 2 2 2 2 2 2 2 2 2 2 2 2 2 2 2 7 2" xfId="1381" xr:uid="{56059195-9C98-469B-B9CB-85EE3DED2E3B}"/>
    <cellStyle name="Normal 2 2 2 2 2 2 2 2 2 2 2 2 2 2 2 2 2 2 7 3" xfId="1382" xr:uid="{41F1FF03-1348-41AF-A860-9CBC36DC35D3}"/>
    <cellStyle name="Normal 2 2 2 2 2 2 2 2 2 2 2 2 2 2 2 2 2 2 8" xfId="1383" xr:uid="{7ECDC524-F0BA-4130-9E4A-A96E3F718C8B}"/>
    <cellStyle name="Normal 2 2 2 2 2 2 2 2 2 2 2 2 2 2 2 2 2 2 9" xfId="1384" xr:uid="{F04C8B91-58F3-4745-A0E4-44B85A79AE6A}"/>
    <cellStyle name="Normal 2 2 2 2 2 2 2 2 2 2 2 2 2 2 2 2 2 3" xfId="1385" xr:uid="{6A304F10-2285-4F4F-BA3E-01DECE17D60B}"/>
    <cellStyle name="Normal 2 2 2 2 2 2 2 2 2 2 2 2 2 2 2 2 2 4" xfId="1386" xr:uid="{F21CBDAF-1F11-4BBF-B1F6-46E63EF7A060}"/>
    <cellStyle name="Normal 2 2 2 2 2 2 2 2 2 2 2 2 2 2 2 2 2 5" xfId="1387" xr:uid="{F7C5FDF6-3E0C-4B51-8EEC-776EA6F6EF68}"/>
    <cellStyle name="Normal 2 2 2 2 2 2 2 2 2 2 2 2 2 2 2 2 2 6" xfId="1388" xr:uid="{BC24B615-C2F3-44C4-9545-A0AD30D9CBAC}"/>
    <cellStyle name="Normal 2 2 2 2 2 2 2 2 2 2 2 2 2 2 2 2 2 7" xfId="1389" xr:uid="{64CA32D7-5F06-48E5-92AD-018DC3657A06}"/>
    <cellStyle name="Normal 2 2 2 2 2 2 2 2 2 2 2 2 2 2 2 2 2 8" xfId="1390" xr:uid="{65202402-9F28-44CE-BEC4-1A9BBF556EB6}"/>
    <cellStyle name="Normal 2 2 2 2 2 2 2 2 2 2 2 2 2 2 2 2 2 8 2" xfId="1391" xr:uid="{611DC3FA-3F0C-41EB-92A4-817306E92F32}"/>
    <cellStyle name="Normal 2 2 2 2 2 2 2 2 2 2 2 2 2 2 2 2 2 8 3" xfId="1392" xr:uid="{2E8F3BB8-71A1-4977-A969-AB200901BF96}"/>
    <cellStyle name="Normal 2 2 2 2 2 2 2 2 2 2 2 2 2 2 2 2 2 9" xfId="1393" xr:uid="{F280AA5B-1A5E-4616-ABD8-BDF786C783AF}"/>
    <cellStyle name="Normal 2 2 2 2 2 2 2 2 2 2 2 2 2 2 2 2 3" xfId="1394" xr:uid="{8ACB6290-C8F6-4EA2-BC4E-0C9FAB79708F}"/>
    <cellStyle name="Normal 2 2 2 2 2 2 2 2 2 2 2 2 2 2 2 2 4" xfId="1395" xr:uid="{C7675C34-5472-435D-AD27-BA6876F72639}"/>
    <cellStyle name="Normal 2 2 2 2 2 2 2 2 2 2 2 2 2 2 2 2 5" xfId="1396" xr:uid="{1E30FD45-AA97-461C-B27C-578E1FB11C82}"/>
    <cellStyle name="Normal 2 2 2 2 2 2 2 2 2 2 2 2 2 2 2 2 6" xfId="1397" xr:uid="{3A13D7C0-7742-44FB-8066-44519F253530}"/>
    <cellStyle name="Normal 2 2 2 2 2 2 2 2 2 2 2 2 2 2 2 2 7" xfId="1398" xr:uid="{E3E13688-B358-446E-BB56-71BE42B2C6AF}"/>
    <cellStyle name="Normal 2 2 2 2 2 2 2 2 2 2 2 2 2 2 2 2 8" xfId="1399" xr:uid="{CE36B983-E4D0-4FB4-BC6A-2DAB5BB05A9F}"/>
    <cellStyle name="Normal 2 2 2 2 2 2 2 2 2 2 2 2 2 2 2 2 8 2" xfId="1400" xr:uid="{ADA6AA5C-2E8D-49BD-BC6F-E5F5E81EF4CA}"/>
    <cellStyle name="Normal 2 2 2 2 2 2 2 2 2 2 2 2 2 2 2 2 8 3" xfId="1401" xr:uid="{41E3CECD-BFC9-4DB9-B743-F9AE8D88A7F7}"/>
    <cellStyle name="Normal 2 2 2 2 2 2 2 2 2 2 2 2 2 2 2 2 9" xfId="1402" xr:uid="{6DBB3527-D959-4B26-ACAD-E11D599E7E2D}"/>
    <cellStyle name="Normal 2 2 2 2 2 2 2 2 2 2 2 2 2 2 2 3" xfId="1403" xr:uid="{A2A4CACB-8292-43D5-A681-0DF47A6649DE}"/>
    <cellStyle name="Normal 2 2 2 2 2 2 2 2 2 2 2 2 2 2 2 4" xfId="1404" xr:uid="{51FFC27E-F291-44EE-964F-3A302921B962}"/>
    <cellStyle name="Normal 2 2 2 2 2 2 2 2 2 2 2 2 2 2 2 5" xfId="1405" xr:uid="{D88A011B-B3A5-47E5-9A79-CED6ABC479D7}"/>
    <cellStyle name="Normal 2 2 2 2 2 2 2 2 2 2 2 2 2 2 2 6" xfId="1406" xr:uid="{250222CC-9909-4111-9B3D-C37BC2405346}"/>
    <cellStyle name="Normal 2 2 2 2 2 2 2 2 2 2 2 2 2 2 2 7" xfId="1407" xr:uid="{2AD13BA9-3DB8-462F-85CD-DA85AED1E7CE}"/>
    <cellStyle name="Normal 2 2 2 2 2 2 2 2 2 2 2 2 2 2 2 8" xfId="1408" xr:uid="{B8F087E8-7FEF-4229-81F1-B172D14A5539}"/>
    <cellStyle name="Normal 2 2 2 2 2 2 2 2 2 2 2 2 2 2 2 9" xfId="1409" xr:uid="{16176307-DC8C-4F96-92D3-CE3826428B18}"/>
    <cellStyle name="Normal 2 2 2 2 2 2 2 2 2 2 2 2 2 2 3" xfId="1410" xr:uid="{B97763D1-C4B1-4131-8905-86D843F6F837}"/>
    <cellStyle name="Normal 2 2 2 2 2 2 2 2 2 2 2 2 2 2 4" xfId="1411" xr:uid="{0660FC4F-CEFB-4DA8-812A-A41B686FB722}"/>
    <cellStyle name="Normal 2 2 2 2 2 2 2 2 2 2 2 2 2 2 5" xfId="1412" xr:uid="{75700184-5712-46A9-934D-76FEF8DBD636}"/>
    <cellStyle name="Normal 2 2 2 2 2 2 2 2 2 2 2 2 2 2 6" xfId="1413" xr:uid="{F7764897-46BB-4CFC-9AF0-DE430C2F311B}"/>
    <cellStyle name="Normal 2 2 2 2 2 2 2 2 2 2 2 2 2 2 7" xfId="1414" xr:uid="{0DEDF201-0287-4DB7-B4CB-E2D93CE9AF4D}"/>
    <cellStyle name="Normal 2 2 2 2 2 2 2 2 2 2 2 2 2 2 8" xfId="1415" xr:uid="{9ECFFAEF-7756-4D85-A040-EFA76B1F288B}"/>
    <cellStyle name="Normal 2 2 2 2 2 2 2 2 2 2 2 2 2 2 9" xfId="1416" xr:uid="{C4585E61-8A53-498B-926F-DA12228D752E}"/>
    <cellStyle name="Normal 2 2 2 2 2 2 2 2 2 2 2 2 2 3" xfId="1417" xr:uid="{6E0B738E-FCC9-4636-86DD-E961FC8C6F63}"/>
    <cellStyle name="Normal 2 2 2 2 2 2 2 2 2 2 2 2 2 4" xfId="1418" xr:uid="{67B0EB83-38D0-438A-A46A-2D3A9817D3BD}"/>
    <cellStyle name="Normal 2 2 2 2 2 2 2 2 2 2 2 2 2 5" xfId="1419" xr:uid="{D3019368-964E-4E60-B507-10A3C7BC86B7}"/>
    <cellStyle name="Normal 2 2 2 2 2 2 2 2 2 2 2 2 2 6" xfId="1420" xr:uid="{D4688E1A-26AC-4FF5-A88C-E53B6FDD18B3}"/>
    <cellStyle name="Normal 2 2 2 2 2 2 2 2 2 2 2 2 2 7" xfId="1421" xr:uid="{563F537D-5245-4EBD-A204-70845498BACB}"/>
    <cellStyle name="Normal 2 2 2 2 2 2 2 2 2 2 2 2 2 8" xfId="1422" xr:uid="{87AD55A6-FDC2-40AF-8B29-BB05EF90D589}"/>
    <cellStyle name="Normal 2 2 2 2 2 2 2 2 2 2 2 2 2 9" xfId="1423" xr:uid="{E0D4708D-AEBB-43F5-BFFB-659092F2E30B}"/>
    <cellStyle name="Normal 2 2 2 2 2 2 2 2 2 2 2 2 3" xfId="1424" xr:uid="{3124679B-E7D0-4E6E-B9FF-882D46C43285}"/>
    <cellStyle name="Normal 2 2 2 2 2 2 2 2 2 2 2 2 4" xfId="1425" xr:uid="{3295F9FE-53E7-42AD-AD27-58672FF08677}"/>
    <cellStyle name="Normal 2 2 2 2 2 2 2 2 2 2 2 2 5" xfId="1426" xr:uid="{4F84B41F-B612-42B8-8D1E-E57A8FDCCBD9}"/>
    <cellStyle name="Normal 2 2 2 2 2 2 2 2 2 2 2 2 6" xfId="1427" xr:uid="{72D50782-4D00-45EF-8506-16576915E506}"/>
    <cellStyle name="Normal 2 2 2 2 2 2 2 2 2 2 2 2 7" xfId="1428" xr:uid="{D2F55B1A-7EB4-4EFD-9E26-9D79F9ADA315}"/>
    <cellStyle name="Normal 2 2 2 2 2 2 2 2 2 2 2 2 8" xfId="1429" xr:uid="{CF045892-76A1-42B5-BE0A-8C9E4F433C49}"/>
    <cellStyle name="Normal 2 2 2 2 2 2 2 2 2 2 2 2 9" xfId="1430" xr:uid="{749EE074-2214-4741-8B46-9FCB29FA5578}"/>
    <cellStyle name="Normal 2 2 2 2 2 2 2 2 2 2 2 3" xfId="1431" xr:uid="{4B25871F-74EB-4684-B9DD-7E4FCD0822FF}"/>
    <cellStyle name="Normal 2 2 2 2 2 2 2 2 2 2 2 4" xfId="1432" xr:uid="{C142C361-EFF8-4C72-B4AB-0177471FC961}"/>
    <cellStyle name="Normal 2 2 2 2 2 2 2 2 2 2 2 5" xfId="1433" xr:uid="{4B3C2037-AEBF-47A7-904B-4362AF095826}"/>
    <cellStyle name="Normal 2 2 2 2 2 2 2 2 2 2 2 6" xfId="1434" xr:uid="{5C66EFAE-8EF4-49DA-8A63-1DA1DB86F645}"/>
    <cellStyle name="Normal 2 2 2 2 2 2 2 2 2 2 2 7" xfId="1435" xr:uid="{B1FFF074-6F43-45F1-A3D9-CDD9564E7724}"/>
    <cellStyle name="Normal 2 2 2 2 2 2 2 2 2 2 2 8" xfId="1436" xr:uid="{CBCCEF7F-77F6-4872-AC62-2AF3031EECB6}"/>
    <cellStyle name="Normal 2 2 2 2 2 2 2 2 2 2 2 9" xfId="1437" xr:uid="{555FFA0C-5BA0-4D11-8C0A-27D640C9F739}"/>
    <cellStyle name="Normal 2 2 2 2 2 2 2 2 2 2 3" xfId="1438" xr:uid="{E8510FFD-86C9-4653-9130-7C3E6475AF2E}"/>
    <cellStyle name="Normal 2 2 2 2 2 2 2 2 2 2 3 2" xfId="1439" xr:uid="{35C247B2-DDB1-493F-A7E2-5C9473187742}"/>
    <cellStyle name="Normal 2 2 2 2 2 2 2 2 2 2 4" xfId="1440" xr:uid="{A07DDB9E-F545-4702-A7BB-F5BB9B8DBBDF}"/>
    <cellStyle name="Normal 2 2 2 2 2 2 2 2 2 2 5" xfId="1441" xr:uid="{0923099E-011C-4A45-A28F-430CB5008B53}"/>
    <cellStyle name="Normal 2 2 2 2 2 2 2 2 2 2 6" xfId="1442" xr:uid="{117217FF-DA45-463E-998D-9343F0648F92}"/>
    <cellStyle name="Normal 2 2 2 2 2 2 2 2 2 2 7" xfId="1443" xr:uid="{E2F0EF16-6A0B-499E-89E0-8694064E49DD}"/>
    <cellStyle name="Normal 2 2 2 2 2 2 2 2 2 2 8" xfId="1444" xr:uid="{95FA7FE9-33B1-4AB2-BEEA-AA8F7A187906}"/>
    <cellStyle name="Normal 2 2 2 2 2 2 2 2 2 2 9" xfId="1445" xr:uid="{3AFC8714-1E4E-4409-92A9-646C8B9FBC9A}"/>
    <cellStyle name="Normal 2 2 2 2 2 2 2 2 2 3" xfId="1446" xr:uid="{28D31497-BC84-4B26-A259-E75EB52ED1F9}"/>
    <cellStyle name="Normal 2 2 2 2 2 2 2 2 2 3 2" xfId="1447" xr:uid="{8A67B245-D6A2-4A32-A8EB-8807DC571C27}"/>
    <cellStyle name="Normal 2 2 2 2 2 2 2 2 2 4" xfId="1448" xr:uid="{22ED4251-1C89-4D6C-BE57-ECB69EC3F73B}"/>
    <cellStyle name="Normal 2 2 2 2 2 2 2 2 2 4 2" xfId="1449" xr:uid="{849799C9-138A-4688-81A8-AC587D7B5545}"/>
    <cellStyle name="Normal 2 2 2 2 2 2 2 2 2 5" xfId="1450" xr:uid="{12B08413-2251-487C-8A0F-2BEA98162820}"/>
    <cellStyle name="Normal 2 2 2 2 2 2 2 2 2 6" xfId="1451" xr:uid="{2E1DB2D5-1436-4EB2-BB24-CB7593F2C13D}"/>
    <cellStyle name="Normal 2 2 2 2 2 2 2 2 2 7" xfId="1452" xr:uid="{267C835A-904A-43BE-8172-62C8CAC12ADA}"/>
    <cellStyle name="Normal 2 2 2 2 2 2 2 2 2 8" xfId="1453" xr:uid="{CE9E97D4-D461-4988-93EB-6CD77A10729F}"/>
    <cellStyle name="Normal 2 2 2 2 2 2 2 2 2 9" xfId="1454" xr:uid="{D6417E8A-7167-4B54-A8DB-AD426A2573E3}"/>
    <cellStyle name="Normal 2 2 2 2 2 2 2 2 3" xfId="1455" xr:uid="{EBD30152-5A4A-4104-A778-E0C7AB1A83BB}"/>
    <cellStyle name="Normal 2 2 2 2 2 2 2 2 3 2" xfId="1456" xr:uid="{33020443-F0EE-4401-9974-80A66BF370E8}"/>
    <cellStyle name="Normal 2 2 2 2 2 2 2 2 3 2 2" xfId="1457" xr:uid="{87AE50D7-3E12-4651-83EA-39B5A1A692F3}"/>
    <cellStyle name="Normal 2 2 2 2 2 2 2 2 4" xfId="1458" xr:uid="{BB32654B-A6E6-40B0-AEF0-B6736C599DB4}"/>
    <cellStyle name="Normal 2 2 2 2 2 2 2 2 5" xfId="1459" xr:uid="{0BDAC5B4-9DEB-4D5A-9BCF-C91D2BAC4756}"/>
    <cellStyle name="Normal 2 2 2 2 2 2 2 2 6" xfId="1460" xr:uid="{194A30E4-3BD7-4F47-BB12-1583A479B4C3}"/>
    <cellStyle name="Normal 2 2 2 2 2 2 2 2 7" xfId="1461" xr:uid="{A5119146-2022-4553-A7F4-52B954DC0A48}"/>
    <cellStyle name="Normal 2 2 2 2 2 2 2 2 8" xfId="1462" xr:uid="{2723E49C-0FBD-4437-BB74-807CD3D2FADF}"/>
    <cellStyle name="Normal 2 2 2 2 2 2 2 2 9" xfId="1463" xr:uid="{62983A36-9DAB-4768-81C6-272AC9A8BAA8}"/>
    <cellStyle name="Normal 2 2 2 2 2 2 2 20" xfId="1464" xr:uid="{B8143E9B-C22B-4846-A7A4-452A62941E1E}"/>
    <cellStyle name="Normal 2 2 2 2 2 2 2 21" xfId="1465" xr:uid="{D9328861-BA8E-4E2A-99AA-E34AA3E01015}"/>
    <cellStyle name="Normal 2 2 2 2 2 2 2 3" xfId="1466" xr:uid="{DA8907B3-94B2-4CFC-B7EC-111E3A6BA233}"/>
    <cellStyle name="Normal 2 2 2 2 2 2 2 3 2" xfId="1467" xr:uid="{5AC27132-9C0C-4956-8924-38BE2C16435C}"/>
    <cellStyle name="Normal 2 2 2 2 2 2 2 4" xfId="1468" xr:uid="{12C1D88A-4FA1-4096-A8BD-5E811D415052}"/>
    <cellStyle name="Normal 2 2 2 2 2 2 2 4 2" xfId="1469" xr:uid="{E9E0FB5C-95B0-4676-83D4-4A0C38530B35}"/>
    <cellStyle name="Normal 2 2 2 2 2 2 2 5" xfId="1470" xr:uid="{3475EDB3-ADF5-431F-A549-D33E741238A0}"/>
    <cellStyle name="Normal 2 2 2 2 2 2 2 5 2" xfId="1471" xr:uid="{7B939225-14AF-4F0A-BE5D-48FF071D926C}"/>
    <cellStyle name="Normal 2 2 2 2 2 2 2 6" xfId="1472" xr:uid="{ED6F0FE4-2B36-457D-9869-C69FFD9AA0A2}"/>
    <cellStyle name="Normal 2 2 2 2 2 2 2 7" xfId="1473" xr:uid="{09D49075-A573-4BAB-BC1D-94E226463BE4}"/>
    <cellStyle name="Normal 2 2 2 2 2 2 2 8" xfId="1474" xr:uid="{9B26D0A2-D557-4A2B-93C1-B4D5E53423F3}"/>
    <cellStyle name="Normal 2 2 2 2 2 2 2 9" xfId="1475" xr:uid="{B120553E-6339-4980-9B09-10F3FCCEA6E3}"/>
    <cellStyle name="Normal 2 2 2 2 2 2 20" xfId="1476" xr:uid="{F335ABD7-E296-448A-A973-781AAEE9DE6E}"/>
    <cellStyle name="Normal 2 2 2 2 2 2 21" xfId="1477" xr:uid="{DA3CC34C-275A-4E85-B069-4C4A9B11517F}"/>
    <cellStyle name="Normal 2 2 2 2 2 2 3" xfId="1478" xr:uid="{DE4FD500-6B63-4C8A-B77C-7A8305A6CBD4}"/>
    <cellStyle name="Normal 2 2 2 2 2 2 3 2" xfId="1479" xr:uid="{2B8074AD-C92E-4AC4-822C-49BC3D9CCBD4}"/>
    <cellStyle name="Normal 2 2 2 2 2 2 4" xfId="1480" xr:uid="{BB82EA98-E148-41A8-9DFB-095CE404E313}"/>
    <cellStyle name="Normal 2 2 2 2 2 2 4 2" xfId="1481" xr:uid="{D4B0665B-1DD1-4DF6-BB5F-9878F69D55FD}"/>
    <cellStyle name="Normal 2 2 2 2 2 2 4 2 2" xfId="1482" xr:uid="{7B1B9661-13D0-4E30-B91E-9B69553EAF95}"/>
    <cellStyle name="Normal 2 2 2 2 2 2 5" xfId="1483" xr:uid="{7D0603A9-8A51-438E-99A0-D98E11DD7C4E}"/>
    <cellStyle name="Normal 2 2 2 2 2 2 6" xfId="1484" xr:uid="{396B3529-F45A-4DBD-8B37-A08E7AB50765}"/>
    <cellStyle name="Normal 2 2 2 2 2 2 7" xfId="1485" xr:uid="{20D590D5-F49B-45B7-883E-490606E92E45}"/>
    <cellStyle name="Normal 2 2 2 2 2 2 8" xfId="1486" xr:uid="{B9C99A8D-2313-43A9-9839-23505070344F}"/>
    <cellStyle name="Normal 2 2 2 2 2 2 9" xfId="1487" xr:uid="{3BEE5A27-3FF1-4097-9066-C0BEF07DE2F5}"/>
    <cellStyle name="Normal 2 2 2 2 2 20" xfId="1488" xr:uid="{C16C36C4-3C24-4D39-9F74-B6C1AC42DD71}"/>
    <cellStyle name="Normal 2 2 2 2 2 21" xfId="1489" xr:uid="{FEE32264-B262-4B86-85B2-B3401C67D20B}"/>
    <cellStyle name="Normal 2 2 2 2 2 22" xfId="1490" xr:uid="{1BA751EA-7AAE-460E-AE04-16A357067333}"/>
    <cellStyle name="Normal 2 2 2 2 2 23" xfId="1491" xr:uid="{A5BBE9FE-C56C-4FB0-AF14-8284EEC84C1F}"/>
    <cellStyle name="Normal 2 2 2 2 2 24" xfId="1492" xr:uid="{0288E36D-CA34-47C5-ABF6-94B27BDCA3CF}"/>
    <cellStyle name="Normal 2 2 2 2 2 25" xfId="1493" xr:uid="{11151955-70DB-4EE5-9E7B-D6AC0D776B5B}"/>
    <cellStyle name="Normal 2 2 2 2 2 25 2" xfId="1494" xr:uid="{B7E9A092-64F0-4A76-86A3-CD25F96ED3C0}"/>
    <cellStyle name="Normal 2 2 2 2 2 25 3" xfId="1495" xr:uid="{890C3A83-942E-44F9-8003-EAF219673FFE}"/>
    <cellStyle name="Normal 2 2 2 2 2 26" xfId="1496" xr:uid="{29F51278-81D4-4C33-B105-E29340AB447B}"/>
    <cellStyle name="Normal 2 2 2 2 2 27" xfId="1497" xr:uid="{5DDA0075-5153-47CA-8305-CD188D7EF5DB}"/>
    <cellStyle name="Normal 2 2 2 2 2 28" xfId="1498" xr:uid="{655E35E4-105A-4BB8-BC84-31F8E04365E4}"/>
    <cellStyle name="Normal 2 2 2 2 2 3" xfId="1499" xr:uid="{EE965B23-EF85-4FCB-BB82-31BF8FA19F03}"/>
    <cellStyle name="Normal 2 2 2 2 2 3 2" xfId="1500" xr:uid="{BEDE68CE-2CEB-43F5-A14B-2810FD4E231C}"/>
    <cellStyle name="Normal 2 2 2 2 2 4" xfId="1501" xr:uid="{A2E1CAFA-F899-44FB-A125-637C28F20C9A}"/>
    <cellStyle name="Normal 2 2 2 2 2 4 2" xfId="1502" xr:uid="{26A11BC0-105E-4282-8F67-7844D73B3776}"/>
    <cellStyle name="Normal 2 2 2 2 2 5" xfId="1503" xr:uid="{D856D705-6C30-4FD4-B8DF-BC28A694B586}"/>
    <cellStyle name="Normal 2 2 2 2 2 5 2" xfId="1504" xr:uid="{B7B7CAE8-CADF-461A-A1C9-24EC7811F1B3}"/>
    <cellStyle name="Normal 2 2 2 2 2 6" xfId="1505" xr:uid="{A2BCBE7D-3F59-4FC6-B9F2-3705267A445C}"/>
    <cellStyle name="Normal 2 2 2 2 2 6 2" xfId="1506" xr:uid="{78E10556-72E0-4A70-AAAD-9F384DBC024A}"/>
    <cellStyle name="Normal 2 2 2 2 2 7" xfId="1507" xr:uid="{1647800A-0111-44DB-B551-CF4E0D6CCB0B}"/>
    <cellStyle name="Normal 2 2 2 2 2 8" xfId="1508" xr:uid="{5B1637A9-0B9E-4FD3-9D07-3D42DE2D2A8E}"/>
    <cellStyle name="Normal 2 2 2 2 2 9" xfId="1509" xr:uid="{C29025C4-64D5-459F-8B2D-5ABE21D7FB7F}"/>
    <cellStyle name="Normal 2 2 2 2 20" xfId="1510" xr:uid="{B412AD01-414B-4D74-9375-E9A5B135A412}"/>
    <cellStyle name="Normal 2 2 2 2 21" xfId="1511" xr:uid="{F5DA5662-DD83-43AD-9885-EFD99955A212}"/>
    <cellStyle name="Normal 2 2 2 2 22" xfId="1512" xr:uid="{7BBA0F12-2AB8-4884-AB3D-C162C52099ED}"/>
    <cellStyle name="Normal 2 2 2 2 23" xfId="1513" xr:uid="{7E997C91-5085-4B7C-B743-9E84ECE38350}"/>
    <cellStyle name="Normal 2 2 2 2 24" xfId="1514" xr:uid="{5CF5CA78-B252-4AA3-8DEF-C08BE49D1C49}"/>
    <cellStyle name="Normal 2 2 2 2 25" xfId="1515" xr:uid="{695803DC-6946-4151-B3E0-2860ECFA3A5E}"/>
    <cellStyle name="Normal 2 2 2 2 26" xfId="1516" xr:uid="{4B81B23C-B0C4-4949-8DDB-CF04AFAE28C9}"/>
    <cellStyle name="Normal 2 2 2 2 27" xfId="1517" xr:uid="{CD85666C-544B-43B5-B5B7-28D0BE4B33E4}"/>
    <cellStyle name="Normal 2 2 2 2 28" xfId="1518" xr:uid="{E0071ECA-D545-4536-9AFA-AC363C13818B}"/>
    <cellStyle name="Normal 2 2 2 2 29" xfId="1519" xr:uid="{637D9B2C-C2C2-44EF-8E87-6B1458D55696}"/>
    <cellStyle name="Normal 2 2 2 2 29 2" xfId="1520" xr:uid="{FD45739A-A569-4CA0-8652-E21A181DF522}"/>
    <cellStyle name="Normal 2 2 2 2 29 3" xfId="1521" xr:uid="{5A2FDE2D-11A5-42D6-B82A-A499787CF041}"/>
    <cellStyle name="Normal 2 2 2 2 3" xfId="1522" xr:uid="{5E2DB23F-B96B-48AC-9ACF-E3251C6A0049}"/>
    <cellStyle name="Normal 2 2 2 2 30" xfId="1523" xr:uid="{18CEF0E7-BF76-4773-94AB-3E77740857BF}"/>
    <cellStyle name="Normal 2 2 2 2 31" xfId="1524" xr:uid="{4C116290-50E3-4B31-AC06-EBA9AC0DCED9}"/>
    <cellStyle name="Normal 2 2 2 2 32" xfId="1525" xr:uid="{37B7D1B1-CCF8-43EA-BFE3-F885E76AF467}"/>
    <cellStyle name="Normal 2 2 2 2 4" xfId="1526" xr:uid="{6FFEF804-53FC-4179-A4A3-5CA99DE91AB3}"/>
    <cellStyle name="Normal 2 2 2 2 5" xfId="1527" xr:uid="{00A9A4AE-CC46-48B2-8309-C13948D2E224}"/>
    <cellStyle name="Normal 2 2 2 2 5 2" xfId="1528" xr:uid="{794D0F40-F1D4-4F01-A0AC-0B87BBA24BCA}"/>
    <cellStyle name="Normal 2 2 2 2 5 2 2" xfId="1529" xr:uid="{C0D14430-6106-48C5-8A68-143F985467B7}"/>
    <cellStyle name="Normal 2 2 2 2 6" xfId="1530" xr:uid="{15F830E0-E49F-4E6E-87DB-4A3A90D69DBE}"/>
    <cellStyle name="Normal 2 2 2 2 7" xfId="1531" xr:uid="{3568E174-FF0A-4090-A8D4-6EE3C108A7D5}"/>
    <cellStyle name="Normal 2 2 2 2 8" xfId="1532" xr:uid="{BE5D280F-EB69-4C2F-BCAE-E74234FDA3FC}"/>
    <cellStyle name="Normal 2 2 2 2 9" xfId="1533" xr:uid="{C183A3D6-3F24-4B42-83E4-80346A3D14FA}"/>
    <cellStyle name="Normal 2 2 2 20" xfId="1534" xr:uid="{DF695F8A-4642-489D-9864-E57358910F19}"/>
    <cellStyle name="Normal 2 2 2 21" xfId="1535" xr:uid="{1224F906-9FD9-4DFF-B54D-221510083EB7}"/>
    <cellStyle name="Normal 2 2 2 22" xfId="1536" xr:uid="{69A20C44-08DF-44D8-AD9D-DBE486AAE44B}"/>
    <cellStyle name="Normal 2 2 2 23" xfId="1537" xr:uid="{30E4E8D2-D30D-4FFE-92BE-57982D7CBF09}"/>
    <cellStyle name="Normal 2 2 2 24" xfId="1538" xr:uid="{B26A9836-B320-44DB-BAA9-3B78E29B9E75}"/>
    <cellStyle name="Normal 2 2 2 25" xfId="1539" xr:uid="{301B9DFF-198F-4469-8BD2-686826DB9013}"/>
    <cellStyle name="Normal 2 2 2 26" xfId="1540" xr:uid="{B26D5280-E937-4C29-909C-2632E3CDD6CF}"/>
    <cellStyle name="Normal 2 2 2 27" xfId="1541" xr:uid="{405B5818-1C29-4337-A3C0-ECF9D7380D37}"/>
    <cellStyle name="Normal 2 2 2 28" xfId="1542" xr:uid="{A99B52E0-A8FC-4340-B1C9-8588811C9ABD}"/>
    <cellStyle name="Normal 2 2 2 29" xfId="1543" xr:uid="{74F8116C-839D-43EB-B60A-AB430EE62A5F}"/>
    <cellStyle name="Normal 2 2 2 3" xfId="1544" xr:uid="{C7DF9BA4-55FF-444A-AD19-CDA633BE14EE}"/>
    <cellStyle name="Normal 2 2 2 3 2" xfId="1545" xr:uid="{6A704B42-60A3-4D0C-B172-AA90DF990069}"/>
    <cellStyle name="Normal 2 2 2 30" xfId="1546" xr:uid="{EB46AAF3-ACBB-440A-B966-E43A92F5B28A}"/>
    <cellStyle name="Normal 2 2 2 31" xfId="1547" xr:uid="{28A6AFE6-17EF-41CC-B1B7-FF86CA91E0E5}"/>
    <cellStyle name="Normal 2 2 2 32" xfId="1548" xr:uid="{F2E02856-516A-44E8-8F37-D4B836F8D272}"/>
    <cellStyle name="Normal 2 2 2 33" xfId="1549" xr:uid="{037AE299-E3F8-4EB4-98B4-405AF2F2E9BF}"/>
    <cellStyle name="Normal 2 2 2 34" xfId="1550" xr:uid="{6B0F5229-85FD-4B2A-AFF1-AA8ADCB577F4}"/>
    <cellStyle name="Normal 2 2 2 34 2" xfId="1551" xr:uid="{893DB7D8-749B-4CAC-814E-570AF410F98E}"/>
    <cellStyle name="Normal 2 2 2 34 3" xfId="1552" xr:uid="{14C62C90-7301-4DB1-B525-27AA542867CF}"/>
    <cellStyle name="Normal 2 2 2 35" xfId="1553" xr:uid="{6A56EE49-C62E-400E-9BED-884FC90CB821}"/>
    <cellStyle name="Normal 2 2 2 36" xfId="1554" xr:uid="{530C3E3B-26C7-49AB-BE26-25BB4A26793C}"/>
    <cellStyle name="Normal 2 2 2 37" xfId="1555" xr:uid="{CDDC82C2-9B73-4F30-9BFA-D56AE9717DCC}"/>
    <cellStyle name="Normal 2 2 2 4" xfId="1556" xr:uid="{52883031-46A6-4685-8E16-7AAAB0AE39B2}"/>
    <cellStyle name="Normal 2 2 2 4 2" xfId="1557" xr:uid="{34F3F971-B9EA-49BF-8BF9-34393961094B}"/>
    <cellStyle name="Normal 2 2 2 5" xfId="1558" xr:uid="{80F0F81D-D2BA-45A1-A4F0-6D6BBE02E8AC}"/>
    <cellStyle name="Normal 2 2 2 5 2" xfId="1559" xr:uid="{8862E60D-DCD8-4C53-9175-2F2E7522C2E2}"/>
    <cellStyle name="Normal 2 2 2 6" xfId="1560" xr:uid="{563ABE8C-DF2D-4BD8-89F4-721FB71F8CF2}"/>
    <cellStyle name="Normal 2 2 2 6 2" xfId="1561" xr:uid="{7663CA6F-8146-4187-8F62-E643E06F05C3}"/>
    <cellStyle name="Normal 2 2 2 6 2 2" xfId="1562" xr:uid="{E6A81198-9995-4189-950E-822D0D94590A}"/>
    <cellStyle name="Normal 2 2 2 6 3" xfId="1563" xr:uid="{04222D0C-4F96-4691-99B7-22F9EBBEE92B}"/>
    <cellStyle name="Normal 2 2 2 6 4" xfId="1564" xr:uid="{E8E2464C-5F59-4353-86F8-C3528CAD771B}"/>
    <cellStyle name="Normal 2 2 2 6 5" xfId="1565" xr:uid="{99AC84F8-9892-469F-B806-A7AF70EF28E7}"/>
    <cellStyle name="Normal 2 2 2 6 6" xfId="1566" xr:uid="{62FCA860-CA77-4469-A250-A7BC6ACAC9E1}"/>
    <cellStyle name="Normal 2 2 2 6 7" xfId="1567" xr:uid="{3233BEE8-4EF0-46FD-A096-795EFB4B3652}"/>
    <cellStyle name="Normal 2 2 2 6 8" xfId="1568" xr:uid="{48553617-A8A1-4706-A118-CC941D578DF0}"/>
    <cellStyle name="Normal 2 2 2 7" xfId="1569" xr:uid="{9B0AA2F0-5E4E-4732-B53E-F9D59ED4692E}"/>
    <cellStyle name="Normal 2 2 2 8" xfId="1570" xr:uid="{38CDAF4E-BBE3-4645-B9B3-312D9862241A}"/>
    <cellStyle name="Normal 2 2 2 9" xfId="1571" xr:uid="{0635318D-BD6C-463B-8B18-7266AB22E42F}"/>
    <cellStyle name="Normal 2 2 20" xfId="1572" xr:uid="{9ADB5D26-D41F-4BA2-B506-FE41DCF2100E}"/>
    <cellStyle name="Normal 2 2 21" xfId="1573" xr:uid="{515701AE-417C-40C0-8212-CC453CE87A59}"/>
    <cellStyle name="Normal 2 2 22" xfId="1574" xr:uid="{ED689DDF-143E-4B0C-85DC-367207232991}"/>
    <cellStyle name="Normal 2 2 23" xfId="1575" xr:uid="{606A2BD1-1134-45FC-BD91-F899C46E864F}"/>
    <cellStyle name="Normal 2 2 24" xfId="1576" xr:uid="{10B10F91-A997-4E8D-889E-E950994C35CC}"/>
    <cellStyle name="Normal 2 2 25" xfId="1577" xr:uid="{6346B801-1A5B-42FB-8B41-68F83966EB38}"/>
    <cellStyle name="Normal 2 2 26" xfId="1578" xr:uid="{B52CBC92-1FD2-4CD2-97DB-E0B86CAA8144}"/>
    <cellStyle name="Normal 2 2 27" xfId="1579" xr:uid="{3CFC9D32-129B-4EF4-B676-09EF54022A9E}"/>
    <cellStyle name="Normal 2 2 28" xfId="1580" xr:uid="{ABD3AD52-23ED-47FF-BC87-1C57243D9F35}"/>
    <cellStyle name="Normal 2 2 29" xfId="1581" xr:uid="{260CDA6C-7948-429B-9BF9-873A3ACCCF3F}"/>
    <cellStyle name="Normal 2 2 3" xfId="1582" xr:uid="{EA370F45-577B-493C-A434-D6950E1CCD5C}"/>
    <cellStyle name="Normal 2 2 3 2" xfId="1583" xr:uid="{DAFA4E0C-7593-4A4E-8DB4-6EBA8EBAA54F}"/>
    <cellStyle name="Normal 2 2 3 2 2" xfId="1584" xr:uid="{3DA0D0AE-376A-4083-BEFE-9FA74EEC1958}"/>
    <cellStyle name="Normal 2 2 3 3" xfId="1585" xr:uid="{428631D7-C6B6-4CFA-A13A-7CF068893742}"/>
    <cellStyle name="Normal 2 2 30" xfId="1586" xr:uid="{1FC8B61C-86E6-43C5-840D-952F09F3A0A0}"/>
    <cellStyle name="Normal 2 2 31" xfId="1587" xr:uid="{87769798-DE91-43D6-8701-8E402E27206F}"/>
    <cellStyle name="Normal 2 2 32" xfId="1588" xr:uid="{DD9B4111-8C8A-4BA8-8CBF-9CAFB3CB73D8}"/>
    <cellStyle name="Normal 2 2 33" xfId="1589" xr:uid="{1FAFB4E3-A453-4F55-945D-FE2328C8E80E}"/>
    <cellStyle name="Normal 2 2 34" xfId="1590" xr:uid="{ECBFF43D-8FA4-42EC-B411-E1AC1EE93983}"/>
    <cellStyle name="Normal 2 2 34 2" xfId="1591" xr:uid="{92505213-65FF-4743-A41A-09A982A091ED}"/>
    <cellStyle name="Normal 2 2 34 3" xfId="1592" xr:uid="{13F98AB8-5D15-4653-AAF9-444D2BD1ECAA}"/>
    <cellStyle name="Normal 2 2 35" xfId="1593" xr:uid="{4A0971FC-E55D-4013-AA13-B23179946EA4}"/>
    <cellStyle name="Normal 2 2 36" xfId="1594" xr:uid="{DE2F2511-0848-4C5A-AF34-C34D804793E1}"/>
    <cellStyle name="Normal 2 2 37" xfId="1595" xr:uid="{445652A9-1005-4384-92AD-689D02021606}"/>
    <cellStyle name="Normal 2 2 38" xfId="1596" xr:uid="{B808ABDE-AC02-44B1-9C6F-EC30F284F926}"/>
    <cellStyle name="Normal 2 2 39" xfId="1597" xr:uid="{0D110B2A-4414-4EA4-B394-67B1BA61359C}"/>
    <cellStyle name="Normal 2 2 4" xfId="1598" xr:uid="{763F0A6D-B431-4543-A564-B55B28E74BA6}"/>
    <cellStyle name="Normal 2 2 4 2" xfId="1599" xr:uid="{55B36ED7-A5CF-4A2F-8502-956278B998D5}"/>
    <cellStyle name="Normal 2 2 4 2 2" xfId="1600" xr:uid="{70FC04ED-1E81-450F-894A-8D6F750F4904}"/>
    <cellStyle name="Normal 2 2 4 3" xfId="1601" xr:uid="{624A3A68-B1F8-4A60-8994-5BF19B803A3B}"/>
    <cellStyle name="Normal 2 2 40" xfId="1602" xr:uid="{433F7929-1C24-494B-A0F0-0C7E1ED38A58}"/>
    <cellStyle name="Normal 2 2 5" xfId="1603" xr:uid="{259872CE-6E79-4AE7-872B-C10234808FD2}"/>
    <cellStyle name="Normal 2 2 5 2" xfId="1604" xr:uid="{679C2339-CBAE-452E-AC3B-EB236C317794}"/>
    <cellStyle name="Normal 2 2 6" xfId="1605" xr:uid="{595F21CA-F64A-4002-9FB3-EB47D0F19EF8}"/>
    <cellStyle name="Normal 2 2 6 2" xfId="1606" xr:uid="{9DCC8C7C-79D0-4A3D-AC2A-ACBC6AEB8695}"/>
    <cellStyle name="Normal 2 2 6 2 2" xfId="1607" xr:uid="{F7BBC8B1-08F9-4E68-B250-4E25375E6FB6}"/>
    <cellStyle name="Normal 2 2 6 3" xfId="1608" xr:uid="{621C8DE2-890C-4F25-AD97-455997706CD0}"/>
    <cellStyle name="Normal 2 2 6 4" xfId="1609" xr:uid="{C5504728-4F94-470F-A621-767A8C920063}"/>
    <cellStyle name="Normal 2 2 6 5" xfId="1610" xr:uid="{81682D14-B413-4C47-AF2D-64D3D3EFB303}"/>
    <cellStyle name="Normal 2 2 6 6" xfId="1611" xr:uid="{18D8124A-CA37-42B5-81C5-D9E6CD5F470C}"/>
    <cellStyle name="Normal 2 2 6 7" xfId="1612" xr:uid="{57012392-DD3D-4F52-A919-74AD7C8762D5}"/>
    <cellStyle name="Normal 2 2 6 8" xfId="1613" xr:uid="{4DFBC999-506E-4703-B273-F6823148F689}"/>
    <cellStyle name="Normal 2 2 7" xfId="1614" xr:uid="{3D9E70F0-71F3-43F6-9C1A-3E5883FEDC2B}"/>
    <cellStyle name="Normal 2 2 7 2" xfId="1615" xr:uid="{3006F3FB-E1AF-4287-AFE9-5C6D1DEDBC02}"/>
    <cellStyle name="Normal 2 2 7 2 2" xfId="1616" xr:uid="{98B7A7E5-C6BC-46CF-B9BF-348DB7BC95D1}"/>
    <cellStyle name="Normal 2 2 8" xfId="1617" xr:uid="{2585FDBF-200A-4BF0-B904-D98E07CCD006}"/>
    <cellStyle name="Normal 2 2 9" xfId="1618" xr:uid="{108CCC1F-A82F-4A42-ADD9-707968053BA4}"/>
    <cellStyle name="Normal 2 20" xfId="1619" xr:uid="{9D9EC4B9-F29B-45A9-9199-D134157A3B6D}"/>
    <cellStyle name="Normal 2 21" xfId="1620" xr:uid="{C258971E-AB83-4BFD-9548-4D4F8CBEC90B}"/>
    <cellStyle name="Normal 2 22" xfId="1621" xr:uid="{2E6B72DF-0953-402F-B11F-0BFF2AEE4211}"/>
    <cellStyle name="Normal 2 23" xfId="1622" xr:uid="{24F14CD9-9DBB-4108-8EDB-6540B6BB86FF}"/>
    <cellStyle name="Normal 2 24" xfId="1623" xr:uid="{1EE9FF65-B528-4246-8472-E82F77F7A253}"/>
    <cellStyle name="Normal 2 25" xfId="1624" xr:uid="{441409DE-94C8-4B46-903D-5D40EAC05E2D}"/>
    <cellStyle name="Normal 2 26" xfId="1625" xr:uid="{25573F42-0154-408A-96F8-2D4C8B4BDC8A}"/>
    <cellStyle name="Normal 2 27" xfId="1626" xr:uid="{04E3BC91-6440-4771-9660-A52A1FAAF862}"/>
    <cellStyle name="Normal 2 27 2" xfId="1627" xr:uid="{31BB18EE-FF70-4441-8B2C-A48D2AD91254}"/>
    <cellStyle name="Normal 2 27 3" xfId="1628" xr:uid="{9D065072-2FC3-4839-A093-E4AA198FD2A1}"/>
    <cellStyle name="Normal 2 28" xfId="1629" xr:uid="{9064BD6D-25C4-4363-A22D-C93B51227B25}"/>
    <cellStyle name="Normal 2 29" xfId="1630" xr:uid="{71D25F6A-47D4-4D58-8CD5-D2C3C5937D00}"/>
    <cellStyle name="Normal 2 3" xfId="1631" xr:uid="{51737881-37CE-4950-8E1F-5ECF27DBB119}"/>
    <cellStyle name="Normal 2 3 2" xfId="1632" xr:uid="{AF672A44-9BF2-434E-94B7-BD10BF3CC916}"/>
    <cellStyle name="Normal 2 3 3" xfId="1633" xr:uid="{D6C0FEE5-9949-41AF-87CC-FE355808991F}"/>
    <cellStyle name="Normal 2 3 4" xfId="16944" xr:uid="{73AC8373-9071-4746-9975-DE0B21D90C1E}"/>
    <cellStyle name="Normal 2 3 5" xfId="16967" xr:uid="{C5C14BB5-E109-4639-AA74-72B2E046F3F0}"/>
    <cellStyle name="Normal 2 30" xfId="1634" xr:uid="{7813D4A3-671A-428C-9944-E4A4FD209E3B}"/>
    <cellStyle name="Normal 2 31" xfId="2496" xr:uid="{C6716741-5D7D-4604-A719-876C3A20E36A}"/>
    <cellStyle name="Normal 2 4" xfId="1635" xr:uid="{A690C8E5-C46D-426A-9386-BECAE6901FBF}"/>
    <cellStyle name="Normal 2 4 2" xfId="1636" xr:uid="{3EF4BD38-E823-4248-94A1-A8968D725FB8}"/>
    <cellStyle name="Normal 2 4 3" xfId="17329" xr:uid="{A6059640-4006-4522-B03C-B53D4937FB97}"/>
    <cellStyle name="Normal 2 5" xfId="1637" xr:uid="{1C800A28-0EF5-49FF-83DA-C58967DED76E}"/>
    <cellStyle name="Normal 2 5 2" xfId="1638" xr:uid="{5E8706EA-77D3-4E42-9A47-04D94F0DC7D8}"/>
    <cellStyle name="Normal 2 6" xfId="1639" xr:uid="{9F16FDD0-5FA3-4DB0-A95B-C7CC830F0353}"/>
    <cellStyle name="Normal 2 6 2" xfId="1640" xr:uid="{215941BB-E981-48CE-9C9B-7F9EEDF4EEAC}"/>
    <cellStyle name="Normal 2 7" xfId="1641" xr:uid="{5016E37B-5132-4A7F-99C3-FF118926E1F2}"/>
    <cellStyle name="Normal 2 8" xfId="1642" xr:uid="{8B256C64-65A8-4DB9-B16F-998D633EDF9C}"/>
    <cellStyle name="Normal 2 8 2" xfId="1643" xr:uid="{965FF534-F744-4387-9B7B-62266E003434}"/>
    <cellStyle name="Normal 2 9" xfId="1644" xr:uid="{5C2D6614-DB87-46AD-8B66-CB5C9352ED13}"/>
    <cellStyle name="Normal 20" xfId="22" xr:uid="{4DF3910D-214D-4A0F-8D89-60EB9C382AE9}"/>
    <cellStyle name="Normal 200" xfId="138" xr:uid="{2DD55F6F-F57F-4BE4-8A64-7AE52C95BD96}"/>
    <cellStyle name="Normal 202" xfId="104" xr:uid="{BD8D6F66-6318-4D47-B8C0-3A7381C6F32B}"/>
    <cellStyle name="Normal 206" xfId="105" xr:uid="{124C7420-B1E1-4DD9-A2B3-792E0B3542FC}"/>
    <cellStyle name="Normal 21" xfId="23" xr:uid="{AD82EC02-9864-4D25-AE40-62529F949BFA}"/>
    <cellStyle name="Normal 22" xfId="24" xr:uid="{609DACFB-0A59-49CF-82D6-7D9BF5CA3048}"/>
    <cellStyle name="Normal 23" xfId="31" xr:uid="{98C411BD-0A63-4C72-BC2C-01E050E45743}"/>
    <cellStyle name="Normal 24" xfId="26" xr:uid="{BB28E4A5-021A-43FA-94DC-E9F40AC55F22}"/>
    <cellStyle name="Normal 25" xfId="27" xr:uid="{D2AA257E-D368-4EC1-9B6A-3E56BB0B7E3D}"/>
    <cellStyle name="Normal 25 10" xfId="2950" xr:uid="{6CAFB254-0EF6-4886-8225-102B43F8ADCD}"/>
    <cellStyle name="Normal 26" xfId="28" xr:uid="{66BBDC46-BDFB-46B8-A9B1-F9CE477ED6DB}"/>
    <cellStyle name="Normal 27" xfId="29" xr:uid="{A5B5676F-D9B8-4EB0-BC43-4A6FA4083859}"/>
    <cellStyle name="Normal 28" xfId="32" xr:uid="{DEDC7140-D643-4F34-B93A-C04F1F12E920}"/>
    <cellStyle name="Normal 29" xfId="33" xr:uid="{8AB90AE4-DC76-44D0-92BB-39D69C74D429}"/>
    <cellStyle name="Normal 3" xfId="4" xr:uid="{3EC3201D-6C4F-4915-8DA6-2D6C0ABCB52C}"/>
    <cellStyle name="Normal 3 2" xfId="1645" xr:uid="{0C30BFDC-C8E2-4F08-ACA0-D5AA8F4CDC00}"/>
    <cellStyle name="Normal 3 2 2" xfId="1646" xr:uid="{6AD41FC0-1265-4C23-A743-71F9439CC9B4}"/>
    <cellStyle name="Normal 3 2 2 2" xfId="1647" xr:uid="{D9216684-3070-4BAF-84C5-DEE0A8C81EA1}"/>
    <cellStyle name="Normal 3 2 2 2 2" xfId="1648" xr:uid="{E2D05CFC-9F7E-49A9-8AC3-C9597EE87CCF}"/>
    <cellStyle name="Normal 3 2 2 2 2 2" xfId="1649" xr:uid="{D017D2E7-B28E-40F1-854D-F09D3AC4B172}"/>
    <cellStyle name="Normal 3 2 2 2 2 2 2" xfId="1650" xr:uid="{96719DE4-CC0C-42B9-A2B2-80AB4AEF4D99}"/>
    <cellStyle name="Normal 3 2 2 2 2 2 2 2" xfId="1651" xr:uid="{2307DBCA-D2BC-4E00-8BB6-4A49F5416F9F}"/>
    <cellStyle name="Normal 3 2 2 2 2 2 2 2 2" xfId="1652" xr:uid="{5DA0DFE1-5213-4A12-B784-5571A6A04062}"/>
    <cellStyle name="Normal 3 2 2 2 2 2 2 2 2 2" xfId="1653" xr:uid="{C5CB94BF-BBCB-4764-A500-E1A037EC9DAC}"/>
    <cellStyle name="Normal 3 2 2 2 2 2 2 2 3" xfId="1654" xr:uid="{9ACD5430-E86A-4CFE-A13E-A80CE343D35A}"/>
    <cellStyle name="Normal 3 2 2 2 2 2 2 3" xfId="1655" xr:uid="{54D9DCA3-6217-4CE1-8825-15F5398E5B04}"/>
    <cellStyle name="Normal 3 2 2 2 2 2 3" xfId="1656" xr:uid="{6C8D24B2-7419-4E38-9B2B-005D6B375411}"/>
    <cellStyle name="Normal 3 2 2 2 2 2 4" xfId="1657" xr:uid="{B258F4C7-53D2-4429-BDB2-7E69A96E1D3C}"/>
    <cellStyle name="Normal 3 2 2 2 2 3" xfId="1658" xr:uid="{AE7030D2-7403-4BEF-BF18-8DB61CBB12A5}"/>
    <cellStyle name="Normal 3 2 2 2 2 4" xfId="1659" xr:uid="{79AAECE8-8F8E-4B47-B448-698A6F53743A}"/>
    <cellStyle name="Normal 3 2 2 2 3" xfId="1660" xr:uid="{08CB9606-40DA-40F1-9483-6EB30A97D08A}"/>
    <cellStyle name="Normal 3 2 2 2 4" xfId="1661" xr:uid="{703E37F8-5111-42CC-B159-9668EBADA50A}"/>
    <cellStyle name="Normal 3 2 2 2 5" xfId="1662" xr:uid="{E8001886-AC6F-4F3E-AA7F-8A754937C475}"/>
    <cellStyle name="Normal 3 2 2 2 6" xfId="1663" xr:uid="{6270D17C-9D7F-4570-B395-A6C953CEA142}"/>
    <cellStyle name="Normal 3 2 2 2 7" xfId="1664" xr:uid="{609DDC07-6D86-4B0E-B338-5365FC18C0EB}"/>
    <cellStyle name="Normal 3 2 2 2 8" xfId="1665" xr:uid="{D4EADB9C-B21B-42D3-9E33-17B460DC039C}"/>
    <cellStyle name="Normal 3 2 2 3" xfId="1666" xr:uid="{0ACCC341-F8FC-4D94-ACD7-4E0BC63FF46B}"/>
    <cellStyle name="Normal 3 2 2 4" xfId="1667" xr:uid="{1338AA7C-7412-45F5-AFC2-DC6446483FEA}"/>
    <cellStyle name="Normal 3 2 2 5" xfId="1668" xr:uid="{AADB6931-A82F-4325-9DE1-42B529CD3042}"/>
    <cellStyle name="Normal 3 2 2 6" xfId="1669" xr:uid="{2ACD653C-13D5-47A8-8883-629F0DB7CB9C}"/>
    <cellStyle name="Normal 3 2 2 7" xfId="1670" xr:uid="{DC78918F-6C67-4979-9FD6-6634CD295AB1}"/>
    <cellStyle name="Normal 3 2 2 8" xfId="1671" xr:uid="{42638217-C65F-4610-B329-C489888FA6D8}"/>
    <cellStyle name="Normal 3 2 3" xfId="1672" xr:uid="{8CEFCDE8-3EA6-4B3B-9C8D-EB2AC974FEAC}"/>
    <cellStyle name="Normal 3 2 4" xfId="1673" xr:uid="{91537B66-18BD-4318-B335-9BB23993FCDB}"/>
    <cellStyle name="Normal 3 2 5" xfId="1674" xr:uid="{B3A2E2F0-5086-462E-8E1D-05BBDBC8BFD1}"/>
    <cellStyle name="Normal 3 2 6" xfId="1675" xr:uid="{18F83F79-2809-4A98-A230-A57C066B9194}"/>
    <cellStyle name="Normal 3 2 7" xfId="1676" xr:uid="{96F4D15A-5C26-4D16-ABE1-616065E477B5}"/>
    <cellStyle name="Normal 3 2 8" xfId="1677" xr:uid="{23432689-C2F3-499A-8BF7-40A2D0E4CD07}"/>
    <cellStyle name="Normal 3 2 9" xfId="1678" xr:uid="{23CACE00-551D-4E0E-A632-807C40534B93}"/>
    <cellStyle name="Normal 3 3" xfId="1679" xr:uid="{DEA3C76F-75C3-4A0B-A622-0574B3ECC5AF}"/>
    <cellStyle name="Normal 3 3 2" xfId="1680" xr:uid="{474CCBBC-5353-49A8-8DC4-3CC65B6B0BCA}"/>
    <cellStyle name="Normal 3 4" xfId="1681" xr:uid="{02C092B9-29D4-4C70-9535-21406AB54679}"/>
    <cellStyle name="Normal 3 4 2" xfId="1682" xr:uid="{07F6A878-6361-4079-9755-B1693A21C3B5}"/>
    <cellStyle name="Normal 3 5" xfId="1683" xr:uid="{18803964-EC6A-4A75-A837-9D0E7BFEEE43}"/>
    <cellStyle name="Normal 30" xfId="34" xr:uid="{61721CCB-F111-4DFF-B081-D6551DC51E88}"/>
    <cellStyle name="Normal 31" xfId="39" xr:uid="{5DCB7906-37D3-4FA2-AE41-6668E2D7795A}"/>
    <cellStyle name="Normal 32" xfId="35" xr:uid="{716F8B37-2E47-4D06-AC33-CDB125F18946}"/>
    <cellStyle name="Normal 33" xfId="36" xr:uid="{34F0247D-6D22-4430-B217-886BD2FCC107}"/>
    <cellStyle name="Normal 34" xfId="37" xr:uid="{16882CE0-3A83-4105-BC67-D2E5E796C998}"/>
    <cellStyle name="Normal 35" xfId="38" xr:uid="{B66AA0FF-5C0A-40FF-9EDB-F84DFD6333CF}"/>
    <cellStyle name="Normal 36" xfId="40" xr:uid="{AF209BE2-E5AE-4BD3-AC28-A768DC63817B}"/>
    <cellStyle name="Normal 37" xfId="41" xr:uid="{684CC9A9-554F-42F0-B609-AC45EB9CA93A}"/>
    <cellStyle name="Normal 38" xfId="42" xr:uid="{EB81F1E0-3220-445B-B5BE-ECD312055FA8}"/>
    <cellStyle name="Normal 39" xfId="43" xr:uid="{8FED61F2-D663-4149-910B-A8820D25F10C}"/>
    <cellStyle name="Normal 4" xfId="5" xr:uid="{F26303F3-364C-46A0-AD32-14E3EFA737A7}"/>
    <cellStyle name="Normal 4 2" xfId="1687" xr:uid="{56B94C4F-8705-4972-9728-D620A6BC15CC}"/>
    <cellStyle name="Normal 4 2 2" xfId="1688" xr:uid="{B10DDF44-23C4-45BC-B561-146DD4B525A0}"/>
    <cellStyle name="Normal 4 3" xfId="1689" xr:uid="{FD5BB094-8F03-4C55-9375-6384EA187A6E}"/>
    <cellStyle name="Normal 4 3 2" xfId="1690" xr:uid="{35E74499-74A5-423A-BE3A-E4C3AAA1648B}"/>
    <cellStyle name="Normal 4 4" xfId="1691" xr:uid="{BC824C95-EF82-469F-8D34-FF5E029693C1}"/>
    <cellStyle name="Normal 4 5" xfId="1692" xr:uid="{A4DAA162-AEBA-4226-A8DA-1CE709A3D7AD}"/>
    <cellStyle name="Normal 4 6" xfId="1693" xr:uid="{0E83FCDF-E7E7-4FBE-8E51-597FF44091AF}"/>
    <cellStyle name="Normal 4 7" xfId="1694" xr:uid="{E6932FB6-E88F-49B5-8CF6-D691CE3FD107}"/>
    <cellStyle name="Normal 4 8" xfId="1695" xr:uid="{89DDD38E-7A3C-432D-9488-7EB4A112F439}"/>
    <cellStyle name="Normal 4 8 2" xfId="1696" xr:uid="{CAA42DC0-7473-47BB-9008-E68EEC094D19}"/>
    <cellStyle name="Normal 40" xfId="107" xr:uid="{50A40B68-222D-4A8C-AE9F-11C415BAABB9}"/>
    <cellStyle name="Normal 41" xfId="45" xr:uid="{69B0E0BA-F2CF-4F73-8D02-62D19BE5E1FA}"/>
    <cellStyle name="Normal 42" xfId="46" xr:uid="{4CA21063-D610-4D10-9C10-C0D83147A225}"/>
    <cellStyle name="Normal 43" xfId="48" xr:uid="{18C5DF4F-BB39-47C3-9C8A-1707B95E1290}"/>
    <cellStyle name="Normal 44" xfId="49" xr:uid="{7E3EF4A2-B856-44C7-8C0B-E7AAB0A6D5E7}"/>
    <cellStyle name="Normal 45" xfId="50" xr:uid="{1F78E8FC-9DCF-40FE-B1BE-4692FBECBAC0}"/>
    <cellStyle name="Normal 46" xfId="108" xr:uid="{55B8B35F-50AE-433A-8D81-1CA1AF761E81}"/>
    <cellStyle name="Normal 47" xfId="109" xr:uid="{186C1FE4-BB6A-4DE6-8579-2A2AA360B0F2}"/>
    <cellStyle name="Normal 48" xfId="110" xr:uid="{9D955E75-55A1-45B6-B658-04D92D21920B}"/>
    <cellStyle name="Normal 49" xfId="111" xr:uid="{4DC354D2-23E5-41D4-9972-6C6C9C2C937E}"/>
    <cellStyle name="Normal 5" xfId="6" xr:uid="{F7B4F944-C2C6-4516-BF86-BAFA6D237A20}"/>
    <cellStyle name="Normal 5 2" xfId="1700" xr:uid="{89D967F0-C695-4E2E-8416-0733495D8176}"/>
    <cellStyle name="Normal 5 3" xfId="1701" xr:uid="{9F123270-E322-4714-9D00-D7738D1AC024}"/>
    <cellStyle name="Normal 5 4" xfId="1702" xr:uid="{56806916-6C78-49CD-8E3D-3D3585DAAAB1}"/>
    <cellStyle name="Normal 5 5" xfId="1703" xr:uid="{6ADF4DF2-C9C2-4F9B-9227-69A6CEA57789}"/>
    <cellStyle name="Normal 5 6" xfId="1704" xr:uid="{BCA6AAE1-204D-47A0-8C83-FCA0A3871EFD}"/>
    <cellStyle name="Normal 5 7" xfId="1705" xr:uid="{577334F2-9304-40F6-8EBB-BFCB3B10B4D5}"/>
    <cellStyle name="Normal 5 8" xfId="16968" xr:uid="{9EF3B787-80F0-451D-8D63-798A64C9F019}"/>
    <cellStyle name="Normal 5 9" xfId="17328" xr:uid="{2437FB40-46CE-4DC8-9CE1-C4E189ABB120}"/>
    <cellStyle name="Normal 50" xfId="51" xr:uid="{BC95FD7A-6897-45D6-B86B-41066EBAB7F5}"/>
    <cellStyle name="Normal 51" xfId="112" xr:uid="{160B5E2D-CFDA-4B4B-989B-2885DA907AF1}"/>
    <cellStyle name="Normal 52" xfId="113" xr:uid="{521B75B3-3DB2-41E1-87EC-0851B96AC003}"/>
    <cellStyle name="Normal 53" xfId="52" xr:uid="{4DCF1D02-1163-41DD-A166-5E41C420C19A}"/>
    <cellStyle name="Normal 54" xfId="115" xr:uid="{B1414934-9DD9-4257-A88E-1AF88A621B24}"/>
    <cellStyle name="Normal 55" xfId="116" xr:uid="{4CBF19F2-424A-429D-BDAC-267A02A32666}"/>
    <cellStyle name="Normal 55 2" xfId="1706" xr:uid="{4471844E-2D79-49D9-B3EC-C0427D831958}"/>
    <cellStyle name="Normal 55 3" xfId="1707" xr:uid="{76DAD1AC-31E8-456A-A092-289D4D280853}"/>
    <cellStyle name="Normal 56" xfId="53" xr:uid="{60412571-163E-419E-B008-20318B87A68C}"/>
    <cellStyle name="Normal 56 10" xfId="2295" xr:uid="{548D46CD-B6C1-429C-9B0C-6E1C7285CE3E}"/>
    <cellStyle name="Normal 56 11" xfId="2284" xr:uid="{52CD2B35-0419-4BB2-B044-D8934DC1CBDC}"/>
    <cellStyle name="Normal 56 12" xfId="2316" xr:uid="{DDB3D6AD-C026-48AD-9B65-13ACAE30832E}"/>
    <cellStyle name="Normal 56 13" xfId="2360" xr:uid="{40B31BF4-2182-48A4-BD85-52BE171F4506}"/>
    <cellStyle name="Normal 56 14" xfId="2345" xr:uid="{AB164193-94DF-4541-BE23-0896F4EE3CD1}"/>
    <cellStyle name="Normal 56 15" xfId="2392" xr:uid="{E75691D9-3E17-4C6F-B772-3C2590F21DBB}"/>
    <cellStyle name="Normal 56 16" xfId="2341" xr:uid="{43589711-231A-4A50-BD62-14DA173DDBFB}"/>
    <cellStyle name="Normal 56 17" xfId="2356" xr:uid="{A606DA08-2428-45F5-887D-8493084409D7}"/>
    <cellStyle name="Normal 56 18" xfId="1708" xr:uid="{18E0013F-080B-459B-A121-F6FEA8E426A1}"/>
    <cellStyle name="Normal 56 2" xfId="1871" xr:uid="{C476FEDC-99DB-4A67-B9B9-9A54CF3AFD1D}"/>
    <cellStyle name="Normal 56 3" xfId="1993" xr:uid="{E1D70994-8993-447B-A78C-47CAA4B6994F}"/>
    <cellStyle name="Normal 56 4" xfId="2196" xr:uid="{B27DD6A1-6F01-4DE4-B8C8-8BA427501068}"/>
    <cellStyle name="Normal 56 5" xfId="2173" xr:uid="{FA65D757-3221-47F0-9CBF-A87C83BD92D3}"/>
    <cellStyle name="Normal 56 6" xfId="2227" xr:uid="{07AB57F0-5FEE-4089-8908-566328B845F6}"/>
    <cellStyle name="Normal 56 7" xfId="2191" xr:uid="{849B0D41-A121-4FC8-9326-E8AE60A50F6C}"/>
    <cellStyle name="Normal 56 8" xfId="2185" xr:uid="{6839CB72-59AA-4ECB-B9F7-36B588A33CE5}"/>
    <cellStyle name="Normal 56 9" xfId="2175" xr:uid="{795BFB14-31CE-44A0-BB79-D0951C2A4CCB}"/>
    <cellStyle name="Normal 57" xfId="117" xr:uid="{F6B7ECB7-C64C-496E-AC66-4549E19E475B}"/>
    <cellStyle name="Normal 57 10" xfId="2310" xr:uid="{CBC96DDC-7521-42E3-B0A2-0E823D03CDA3}"/>
    <cellStyle name="Normal 57 11" xfId="2279" xr:uid="{01B87680-AC88-4556-A001-1FB0C5AF4C37}"/>
    <cellStyle name="Normal 57 12" xfId="2298" xr:uid="{11F974F5-0F7C-45C5-84B4-8BFBA0353D03}"/>
    <cellStyle name="Normal 57 13" xfId="2384" xr:uid="{A61045CE-9366-43DC-A2A7-4726808B5365}"/>
    <cellStyle name="Normal 57 14" xfId="2338" xr:uid="{018C33FD-7988-4A15-A89A-D60DF04B6678}"/>
    <cellStyle name="Normal 57 15" xfId="2364" xr:uid="{95F383AA-7E56-44C3-A878-65C2E8C3ED1A}"/>
    <cellStyle name="Normal 57 16" xfId="2340" xr:uid="{AD8A330A-FA8B-4C9A-AC40-450FA3ECA9FB}"/>
    <cellStyle name="Normal 57 17" xfId="2362" xr:uid="{F9FFB955-4430-4F92-A3F8-FB5A6FE15D89}"/>
    <cellStyle name="Normal 57 18" xfId="1709" xr:uid="{C538A679-B397-4377-B77C-68018E6B54E8}"/>
    <cellStyle name="Normal 57 2" xfId="1873" xr:uid="{860F4C1C-430E-4BEC-B423-D38CB2004E94}"/>
    <cellStyle name="Normal 57 3" xfId="1995" xr:uid="{4B9315D2-C5F8-45AD-A245-839C688AEBBE}"/>
    <cellStyle name="Normal 57 4" xfId="2217" xr:uid="{2E870864-DF4A-4828-86D5-6A01C9AB0868}"/>
    <cellStyle name="Normal 57 5" xfId="2222" xr:uid="{D61A2314-C242-4BDF-BE81-C10CE3C8CD4B}"/>
    <cellStyle name="Normal 57 6" xfId="2200" xr:uid="{19695613-BF02-4491-9509-5FE7614B1797}"/>
    <cellStyle name="Normal 57 7" xfId="2240" xr:uid="{6D5C6702-1B8E-4F13-A784-F18CB08301EE}"/>
    <cellStyle name="Normal 57 8" xfId="2198" xr:uid="{6C33D214-4EDB-45BE-BB3C-7995D32FDF96}"/>
    <cellStyle name="Normal 57 9" xfId="2165" xr:uid="{EF190C24-A1A9-4456-9DDA-89F2BFA338E9}"/>
    <cellStyle name="Normal 58" xfId="140" xr:uid="{1DBAB801-97C6-4660-B991-A44FA0EA6803}"/>
    <cellStyle name="Normal 59" xfId="141" xr:uid="{0F61C0FD-D902-444B-B6CB-C4534DE6276C}"/>
    <cellStyle name="Normal 6" xfId="12" xr:uid="{96CDCAED-7984-4CA2-B6F8-D6FC8AC09AA4}"/>
    <cellStyle name="Normal 6 2" xfId="1711" xr:uid="{B257A988-E74D-410A-8EBE-CD37E9BBD342}"/>
    <cellStyle name="Normal 6 2 2" xfId="1712" xr:uid="{B5F6BA11-A06D-49A3-8B9C-F5564CD9C915}"/>
    <cellStyle name="Normal 6 2 3" xfId="1713" xr:uid="{B9963D89-1142-453B-9C80-16277F600DB5}"/>
    <cellStyle name="Normal 6 2 4" xfId="1714" xr:uid="{B068D27F-03C1-45EE-BF82-87675F0BD121}"/>
    <cellStyle name="Normal 6 2 5" xfId="1715" xr:uid="{791F2D24-418C-4205-8CAA-D262D92EA035}"/>
    <cellStyle name="Normal 6 2 6" xfId="16969" xr:uid="{84AC7E7F-C95F-4519-82E1-B75F9F366E75}"/>
    <cellStyle name="Normal 60" xfId="142" xr:uid="{458171A9-40AD-4E3A-90D1-149C6ACA4D36}"/>
    <cellStyle name="Normal 61" xfId="143" xr:uid="{AD313D06-F31F-4F2E-BDF6-D27441C8371E}"/>
    <cellStyle name="Normal 62" xfId="144" xr:uid="{AEF045EA-2200-471E-B523-B84B76337894}"/>
    <cellStyle name="Normal 63" xfId="145" xr:uid="{677DA015-3B9C-4E1B-A683-B7EBD042A4A8}"/>
    <cellStyle name="Normal 64" xfId="146" xr:uid="{3DFC3CC2-8A60-46C4-9C22-8F5430114D68}"/>
    <cellStyle name="Normal 65" xfId="147" xr:uid="{5C44AE9A-7C16-41B6-97A7-BC20717C96C3}"/>
    <cellStyle name="Normal 66" xfId="148" xr:uid="{AB35A0E9-397B-4FAD-B27A-09424D611A0A}"/>
    <cellStyle name="Normal 67" xfId="54" xr:uid="{8120DB17-91CA-471F-91ED-F74A03455BA4}"/>
    <cellStyle name="Normal 68" xfId="60" xr:uid="{1E1F9DE0-11C1-45AD-9E5F-E088D5411236}"/>
    <cellStyle name="Normal 69" xfId="149" xr:uid="{025EBA9B-611A-42C2-93AD-E9C05944AB4A}"/>
    <cellStyle name="Normal 7" xfId="8" xr:uid="{F40AD46B-0355-4B3C-A893-13651A28A4B2}"/>
    <cellStyle name="Normal 7 2" xfId="16970" xr:uid="{0CA111D2-C22D-41A7-8554-0511BF479BEF}"/>
    <cellStyle name="Normal 7 4" xfId="16971" xr:uid="{C2ECC850-C248-46C6-954C-60353740D17F}"/>
    <cellStyle name="Normal 70" xfId="150" xr:uid="{373EFA78-A2A9-45F7-9925-18D84CF3E2E6}"/>
    <cellStyle name="Normal 71" xfId="56" xr:uid="{E5975990-A8D6-4708-8FDC-D3A501D9A35D}"/>
    <cellStyle name="Normal 72" xfId="57" xr:uid="{9DEE592E-F74C-4561-8E75-23F7B3919318}"/>
    <cellStyle name="Normal 73" xfId="61" xr:uid="{16B9AA6E-4F9C-4BB1-99FD-B0E8981EA79E}"/>
    <cellStyle name="Normal 74" xfId="58" xr:uid="{9A08C22D-D7D6-47E9-87EC-403E581E758C}"/>
    <cellStyle name="Normal 75" xfId="59" xr:uid="{ADF76C45-BB30-4255-B006-F59EFC59B29E}"/>
    <cellStyle name="Normal 76" xfId="62" xr:uid="{4345DBA5-E917-4068-B2CF-B9DB83CE1303}"/>
    <cellStyle name="Normal 77" xfId="63" xr:uid="{1A38B61A-6BB4-4F14-AB39-E6901098DEBA}"/>
    <cellStyle name="Normal 78" xfId="69" xr:uid="{5D814FEF-8BAC-43D8-A441-3C4F22354D0C}"/>
    <cellStyle name="Normal 79" xfId="65" xr:uid="{F6BA418E-5E30-47BC-BD75-CADE56414A75}"/>
    <cellStyle name="Normal 8" xfId="9" xr:uid="{E7B1268E-35A1-4A04-B938-651C200A215E}"/>
    <cellStyle name="Normal 80" xfId="66" xr:uid="{E2D0C4F1-AEE9-4000-8ECA-97829B2E759F}"/>
    <cellStyle name="Normal 81" xfId="67" xr:uid="{DA499F25-455C-4CD0-B162-F353955F0BE3}"/>
    <cellStyle name="Normal 82" xfId="68" xr:uid="{C20824AF-A4A1-495A-8D92-74E501CD5642}"/>
    <cellStyle name="Normal 83" xfId="70" xr:uid="{6C153E82-C86E-4B96-8340-AF70759F13F0}"/>
    <cellStyle name="Normal 84" xfId="71" xr:uid="{10EC3D7C-9A38-4C18-8661-4A93378A99C9}"/>
    <cellStyle name="Normal 85" xfId="72" xr:uid="{4778C8B0-5E0D-40EB-9BAC-4C6955B7C963}"/>
    <cellStyle name="Normal 86" xfId="77" xr:uid="{C70E71B9-02BA-49D4-8A38-B7A07D4A545C}"/>
    <cellStyle name="Normal 87" xfId="74" xr:uid="{B1D9D75E-EAE9-4CC4-B4D6-20AD01E42EDE}"/>
    <cellStyle name="Normal 88" xfId="78" xr:uid="{2CF04355-4B0F-4C8E-984E-7F38F7993475}"/>
    <cellStyle name="Normal 89" xfId="75" xr:uid="{ED243372-B392-44D8-BDE8-C5CEBF48BC48}"/>
    <cellStyle name="Normal 9" xfId="10" xr:uid="{77DFE9D9-75AF-4B4D-A4A4-8D72556A8EBA}"/>
    <cellStyle name="Normal 90" xfId="76" xr:uid="{54A046A2-9A33-4EE8-8543-0A582BED2F9F}"/>
    <cellStyle name="Normal 91" xfId="118" xr:uid="{D5B2C5BA-FC1C-4003-B706-3624B21BC7B2}"/>
    <cellStyle name="Normal 92" xfId="119" xr:uid="{B10826BD-B772-4EBB-8237-CF68589B463B}"/>
    <cellStyle name="Normal 93" xfId="120" xr:uid="{BA75069B-7F2E-45B5-85CB-574468A63ADB}"/>
    <cellStyle name="Normal 94" xfId="121" xr:uid="{2CE26EF9-17D1-4A8F-8F67-3A4A105EA896}"/>
    <cellStyle name="Normal 95" xfId="79" xr:uid="{EDC707F1-1025-4EC9-B7C2-971E73518E2B}"/>
    <cellStyle name="Normal 96" xfId="123" xr:uid="{050C90A1-6B03-4CB5-89C0-213DCCE68FE0}"/>
    <cellStyle name="Normal 97" xfId="125" xr:uid="{ED1E0A9A-8086-48BD-9A77-79A4344377B7}"/>
    <cellStyle name="Normal 98" xfId="124" xr:uid="{8494131E-BD93-4968-A1A3-09915A93DB7B}"/>
    <cellStyle name="Normal 99" xfId="80" xr:uid="{8BC86D95-1DE7-49AE-9124-6407009DC071}"/>
    <cellStyle name="Note 2" xfId="1718" xr:uid="{935716D7-274B-4078-A33F-F4FAB7827B3B}"/>
    <cellStyle name="Note 2 10" xfId="5892" xr:uid="{B44A442A-3D88-4D4D-9D1A-67E68B135263}"/>
    <cellStyle name="Note 2 2" xfId="2996" xr:uid="{795CEC1F-3D2C-4B31-9BC9-953F9E87D845}"/>
    <cellStyle name="Note 2 2 10" xfId="3441" xr:uid="{FD6EDFB2-4733-4D98-8784-D9E2FFD4FFFD}"/>
    <cellStyle name="Note 2 2 10 2" xfId="4484" xr:uid="{93CF7CAB-A102-4763-9943-85934332B19A}"/>
    <cellStyle name="Note 2 2 10 2 2" xfId="6979" xr:uid="{5D88C2E5-45DA-4202-A114-7864106D28E5}"/>
    <cellStyle name="Note 2 2 10 2 3" xfId="8400" xr:uid="{52639E27-3E2D-4749-B65D-55B1D17AF5EA}"/>
    <cellStyle name="Note 2 2 10 2 4" xfId="10101" xr:uid="{87DDEE14-83EE-47C4-9BC5-88BB26B1B8CE}"/>
    <cellStyle name="Note 2 2 10 2 5" xfId="11597" xr:uid="{B29CE158-FBE2-48D5-BAF5-CF485C5C8C18}"/>
    <cellStyle name="Note 2 2 10 2 6" xfId="13077" xr:uid="{B1BDF4E8-C65D-4570-AA80-69546DE3D557}"/>
    <cellStyle name="Note 2 2 10 2 7" xfId="14744" xr:uid="{C9F2444B-6397-452E-9A8C-EDAFAB9236B0}"/>
    <cellStyle name="Note 2 2 10 2 8" xfId="16417" xr:uid="{F3BFB645-E467-4EEB-A8A2-AB525C81CBF2}"/>
    <cellStyle name="Note 2 2 10 3" xfId="6188" xr:uid="{FE8850B8-931A-428C-9B34-E0B3CE199896}"/>
    <cellStyle name="Note 2 2 10 4" xfId="5199" xr:uid="{17D8D6C0-594F-4047-98FB-5986B98DB4A3}"/>
    <cellStyle name="Note 2 2 10 5" xfId="9060" xr:uid="{F15A04D5-10B5-438C-BAF0-7014D6AD3164}"/>
    <cellStyle name="Note 2 2 10 6" xfId="10822" xr:uid="{0DBA3DBA-530B-4CD2-A5F9-76131E521D2D}"/>
    <cellStyle name="Note 2 2 10 7" xfId="5330" xr:uid="{1CC01225-6DFE-492D-8CD6-2D4BF3F8F6E2}"/>
    <cellStyle name="Note 2 2 10 8" xfId="13703" xr:uid="{92F81E19-4C0C-4275-B596-6C2A6415F4F2}"/>
    <cellStyle name="Note 2 2 10 9" xfId="15394" xr:uid="{ED18428F-F8BB-47A2-A3EC-1C825FB5C1A4}"/>
    <cellStyle name="Note 2 2 11" xfId="5796" xr:uid="{36C161FA-DF4F-44C7-9702-55EED239A14F}"/>
    <cellStyle name="Note 2 2 12" xfId="5263" xr:uid="{C84865C5-C66E-4954-B012-DFF91829529D}"/>
    <cellStyle name="Note 2 2 2" xfId="3282" xr:uid="{ACB88417-C6A7-4203-9A6F-CB56EA555828}"/>
    <cellStyle name="Note 2 2 2 2" xfId="4162" xr:uid="{F818C745-B8C5-490A-82AA-CC352949B5F1}"/>
    <cellStyle name="Note 2 2 2 2 2" xfId="4955" xr:uid="{2A21B40B-BC18-4B68-AB2E-E861C183DC18}"/>
    <cellStyle name="Note 2 2 2 2 2 2" xfId="7450" xr:uid="{06716F37-E3F4-4C07-AC0D-AD304C2A5068}"/>
    <cellStyle name="Note 2 2 2 2 2 3" xfId="8862" xr:uid="{C94F947B-D791-4077-BCEB-447C32A41E80}"/>
    <cellStyle name="Note 2 2 2 2 2 4" xfId="10572" xr:uid="{A2249F7E-3F04-4EE0-98A4-ADA0D2AE6F12}"/>
    <cellStyle name="Note 2 2 2 2 2 5" xfId="12068" xr:uid="{DD4BC2D6-A054-4896-A7A9-F53F4DC96346}"/>
    <cellStyle name="Note 2 2 2 2 2 6" xfId="13539" xr:uid="{D7FFC5D8-1F32-4777-9D57-7B27AB193F02}"/>
    <cellStyle name="Note 2 2 2 2 2 7" xfId="15215" xr:uid="{5A1FE021-44C4-4295-B958-A409BFDF5444}"/>
    <cellStyle name="Note 2 2 2 2 2 8" xfId="16879" xr:uid="{181A375F-56C8-4B22-A7BB-DB0EA4CC2EB4}"/>
    <cellStyle name="Note 2 2 2 2 3" xfId="6730" xr:uid="{DB009537-4AEA-4E6F-BD53-D698D5421FE0}"/>
    <cellStyle name="Note 2 2 2 2 4" xfId="8087" xr:uid="{751864EA-DE22-439B-826D-270770B9B62E}"/>
    <cellStyle name="Note 2 2 2 2 5" xfId="9781" xr:uid="{8EAF13CE-7024-4BBD-83D1-DD07DEDAB713}"/>
    <cellStyle name="Note 2 2 2 2 6" xfId="11357" xr:uid="{16CFC9C3-7DDB-4B5F-BD37-32A25E33DFC6}"/>
    <cellStyle name="Note 2 2 2 2 7" xfId="12766" xr:uid="{9A5F5513-F360-45DA-AC82-34A936532554}"/>
    <cellStyle name="Note 2 2 2 2 8" xfId="14424" xr:uid="{879166A8-600E-4D13-B6AF-7D9D6689432E}"/>
    <cellStyle name="Note 2 2 2 2 9" xfId="16106" xr:uid="{DA7C0884-0C78-4179-82FF-695542C42DBC}"/>
    <cellStyle name="Note 2 2 2 3" xfId="3724" xr:uid="{06703EFB-2863-4B07-B32F-5DC4C0F34ABC}"/>
    <cellStyle name="Note 2 2 2 3 2" xfId="4669" xr:uid="{6FB6AA1C-DCC4-4FC8-91BC-586CFD8A8AD3}"/>
    <cellStyle name="Note 2 2 2 3 2 2" xfId="7164" xr:uid="{C1D29C9E-E1C1-4A3B-8156-F475BC836245}"/>
    <cellStyle name="Note 2 2 2 3 2 3" xfId="8582" xr:uid="{79C5026F-ACF8-4385-A98A-890E849B0983}"/>
    <cellStyle name="Note 2 2 2 3 2 4" xfId="10286" xr:uid="{C9CFFCE8-6680-4CF9-A0E7-C6885944C089}"/>
    <cellStyle name="Note 2 2 2 3 2 5" xfId="11782" xr:uid="{932AA5DC-978A-4419-A975-06B8613613A1}"/>
    <cellStyle name="Note 2 2 2 3 2 6" xfId="13259" xr:uid="{6B0099F8-17F7-4685-8871-8614A97F8D3B}"/>
    <cellStyle name="Note 2 2 2 3 2 7" xfId="14929" xr:uid="{3B8D23D4-4412-499C-9091-A69551A34574}"/>
    <cellStyle name="Note 2 2 2 3 2 8" xfId="16599" xr:uid="{9BBCEB84-C9E2-4C78-A405-64B5DC33F678}"/>
    <cellStyle name="Note 2 2 2 3 3" xfId="6404" xr:uid="{A9E5BA44-EB88-4EFF-A9C8-98E36AF5F935}"/>
    <cellStyle name="Note 2 2 2 3 4" xfId="7655" xr:uid="{8B194F95-F844-4FAC-8C72-4862153EF85F}"/>
    <cellStyle name="Note 2 2 2 3 5" xfId="9343" xr:uid="{DA30AD90-3FA2-4EF8-B8BF-FC3C7B480E08}"/>
    <cellStyle name="Note 2 2 2 3 6" xfId="11030" xr:uid="{460FF751-1D69-4F27-B62F-8962AFB79EDD}"/>
    <cellStyle name="Note 2 2 2 3 7" xfId="12334" xr:uid="{2B613A34-4E08-4847-BADB-B264E4CCDC90}"/>
    <cellStyle name="Note 2 2 2 3 8" xfId="13986" xr:uid="{8DC3ABA8-A24E-4ADA-A8DA-B7ACA3BF5F20}"/>
    <cellStyle name="Note 2 2 2 3 9" xfId="15674" xr:uid="{A99A25ED-4578-47AB-A10D-E4BF990B0336}"/>
    <cellStyle name="Note 2 2 2 4" xfId="8949" xr:uid="{C017B928-A235-48F0-97D6-75C625C5B492}"/>
    <cellStyle name="Note 2 2 3" xfId="3148" xr:uid="{EBF7DBE0-9965-411A-9175-3484060A075C}"/>
    <cellStyle name="Note 2 2 3 2" xfId="4028" xr:uid="{6CF94BD3-2E83-404E-B63C-E4D533AB1C7D}"/>
    <cellStyle name="Note 2 2 3 2 2" xfId="4871" xr:uid="{363E0855-9425-4267-ABF6-E43D7E5ED25F}"/>
    <cellStyle name="Note 2 2 3 2 2 2" xfId="7366" xr:uid="{8BD7A6A6-012C-4A4F-91B0-BF9284BA1971}"/>
    <cellStyle name="Note 2 2 3 2 2 3" xfId="8779" xr:uid="{D0EEB070-37E6-4B69-81D8-C10F099AFD8A}"/>
    <cellStyle name="Note 2 2 3 2 2 4" xfId="10488" xr:uid="{E0090233-584B-40B9-B48E-18D576E177C5}"/>
    <cellStyle name="Note 2 2 3 2 2 5" xfId="11984" xr:uid="{39F17CF9-C706-4C4E-85C2-32A50C6F8131}"/>
    <cellStyle name="Note 2 2 3 2 2 6" xfId="13456" xr:uid="{FA39FAC3-2684-4EB5-A5E0-0F20D604F6CB}"/>
    <cellStyle name="Note 2 2 3 2 2 7" xfId="15131" xr:uid="{FCE3ACDB-E810-4EF1-AB66-97629A793D94}"/>
    <cellStyle name="Note 2 2 3 2 2 8" xfId="16796" xr:uid="{E7ECF110-857F-4E7C-BE11-1B396AD16264}"/>
    <cellStyle name="Note 2 2 3 2 3" xfId="6632" xr:uid="{C3362E35-B275-418D-9515-C51280DDC897}"/>
    <cellStyle name="Note 2 2 3 2 4" xfId="7954" xr:uid="{55BBAE96-27DF-4043-BC6C-5F57E11D4093}"/>
    <cellStyle name="Note 2 2 3 2 5" xfId="9647" xr:uid="{F4F09836-B80A-4C9F-ACB9-71E8A5A22673}"/>
    <cellStyle name="Note 2 2 3 2 6" xfId="11258" xr:uid="{5E62C5F1-5F03-4C92-A32C-A32A3C0CD560}"/>
    <cellStyle name="Note 2 2 3 2 7" xfId="12633" xr:uid="{EB98E1BA-A2DA-4204-9CE2-59E547A3AA72}"/>
    <cellStyle name="Note 2 2 3 2 8" xfId="14290" xr:uid="{9FC7C2C3-8160-472B-8C6D-18900D729099}"/>
    <cellStyle name="Note 2 2 3 2 9" xfId="15973" xr:uid="{29D4187E-BE84-49EC-8EBC-1035FBA8F784}"/>
    <cellStyle name="Note 2 2 3 3" xfId="3590" xr:uid="{948F6C0A-A77C-4689-A0C5-61C04BF994A1}"/>
    <cellStyle name="Note 2 2 3 3 2" xfId="4585" xr:uid="{DFC08D43-CF55-47DF-B5E2-52C96EEC8764}"/>
    <cellStyle name="Note 2 2 3 3 2 2" xfId="7080" xr:uid="{2691FC7F-6B6A-4487-B07A-5F3617A35651}"/>
    <cellStyle name="Note 2 2 3 3 2 3" xfId="8499" xr:uid="{79B1189F-8A28-43CB-888F-88F11E8C1329}"/>
    <cellStyle name="Note 2 2 3 3 2 4" xfId="10202" xr:uid="{FBD0DD9E-ECA3-4BAC-A8B1-779A91AB3D25}"/>
    <cellStyle name="Note 2 2 3 3 2 5" xfId="11698" xr:uid="{88B14B1A-3656-47F1-9055-17BC119F8A5E}"/>
    <cellStyle name="Note 2 2 3 3 2 6" xfId="13176" xr:uid="{73A6E420-B081-4B6D-AC57-A8403FCBE3E1}"/>
    <cellStyle name="Note 2 2 3 3 2 7" xfId="14845" xr:uid="{DC58629E-EDC8-4A18-819D-616CBE4F2356}"/>
    <cellStyle name="Note 2 2 3 3 2 8" xfId="16516" xr:uid="{44BB4F90-B3AC-4BE8-9746-2FE19590D5FC}"/>
    <cellStyle name="Note 2 2 3 3 3" xfId="6302" xr:uid="{A047F840-1A4C-4FC9-902D-1E1E4906E049}"/>
    <cellStyle name="Note 2 2 3 3 4" xfId="7522" xr:uid="{93EC05B3-2A7E-4F30-A4F3-EC86F82CC9CB}"/>
    <cellStyle name="Note 2 2 3 3 5" xfId="9209" xr:uid="{2E9C4773-C1DB-4845-B552-E92BD9DE3433}"/>
    <cellStyle name="Note 2 2 3 3 6" xfId="10933" xr:uid="{C8D0B5FA-30BE-4913-B420-CE1929758CC9}"/>
    <cellStyle name="Note 2 2 3 3 7" xfId="12201" xr:uid="{8FC478BC-B483-403A-85ED-0E96C3CE91FD}"/>
    <cellStyle name="Note 2 2 3 3 8" xfId="13852" xr:uid="{371ABA7E-7DDA-4BD6-917C-C03207558FB8}"/>
    <cellStyle name="Note 2 2 3 3 9" xfId="15541" xr:uid="{01E392FA-B3A2-49CA-BD18-C5E7667E0325}"/>
    <cellStyle name="Note 2 2 3 4" xfId="6001" xr:uid="{84305970-4492-4E40-93A9-E298791BCB17}"/>
    <cellStyle name="Note 2 2 4" xfId="3221" xr:uid="{4ACA08CB-20FF-4718-B61F-7CA015215A29}"/>
    <cellStyle name="Note 2 2 4 2" xfId="4101" xr:uid="{3D83C541-10ED-4FD5-B454-058031CCE19E}"/>
    <cellStyle name="Note 2 2 4 2 2" xfId="4912" xr:uid="{C8A1FF69-AF3A-4D4C-93FC-A91AC7165C8F}"/>
    <cellStyle name="Note 2 2 4 2 2 2" xfId="7407" xr:uid="{E730DAC4-F3F5-41CE-8E65-2BE8169828E5}"/>
    <cellStyle name="Note 2 2 4 2 2 3" xfId="8819" xr:uid="{F5AC10DD-F2D7-40D4-8A63-13C5CC366EBE}"/>
    <cellStyle name="Note 2 2 4 2 2 4" xfId="10529" xr:uid="{835BAD52-3002-4C68-8CA5-A45041DBC018}"/>
    <cellStyle name="Note 2 2 4 2 2 5" xfId="12025" xr:uid="{3E6D5238-3544-4954-9E9E-EC434D241A09}"/>
    <cellStyle name="Note 2 2 4 2 2 6" xfId="13496" xr:uid="{6B035511-ACE7-4206-B174-3360051F4356}"/>
    <cellStyle name="Note 2 2 4 2 2 7" xfId="15172" xr:uid="{38D5F09B-A0D1-4944-8341-A30759D41E55}"/>
    <cellStyle name="Note 2 2 4 2 2 8" xfId="16836" xr:uid="{BC7A8D21-CE0C-4F56-A421-4E81590FC259}"/>
    <cellStyle name="Note 2 2 4 2 3" xfId="6681" xr:uid="{9DF960A8-62B1-4569-814D-037A87DAECF6}"/>
    <cellStyle name="Note 2 2 4 2 4" xfId="8026" xr:uid="{48CFD100-BFC8-455C-9189-D3F3E781DEFD}"/>
    <cellStyle name="Note 2 2 4 2 5" xfId="9720" xr:uid="{46C9776D-7F8B-42B5-8EC3-B8903F20A132}"/>
    <cellStyle name="Note 2 2 4 2 6" xfId="11309" xr:uid="{61840E4E-CB75-44D8-B3DD-37943FC12826}"/>
    <cellStyle name="Note 2 2 4 2 7" xfId="12705" xr:uid="{5BC258D7-B011-4BAA-B4C7-CEF468DFB4B4}"/>
    <cellStyle name="Note 2 2 4 2 8" xfId="14363" xr:uid="{3BE0119A-1209-493C-847F-99ACB3C9C347}"/>
    <cellStyle name="Note 2 2 4 2 9" xfId="16045" xr:uid="{C3B5381B-C71B-46FC-9BF3-6963FD76C626}"/>
    <cellStyle name="Note 2 2 4 3" xfId="3663" xr:uid="{1B6D7ABA-4F87-401B-819F-0763C6EB26C7}"/>
    <cellStyle name="Note 2 2 4 3 2" xfId="4626" xr:uid="{F5055574-C805-4CAC-9512-C50423D76520}"/>
    <cellStyle name="Note 2 2 4 3 2 2" xfId="7121" xr:uid="{A7A70193-8195-4864-B4AB-9AC22EACCEB3}"/>
    <cellStyle name="Note 2 2 4 3 2 3" xfId="8539" xr:uid="{942FE860-B4B0-4660-8E9A-DA8D1F069303}"/>
    <cellStyle name="Note 2 2 4 3 2 4" xfId="10243" xr:uid="{AF98E88B-3FA0-479F-8321-978BC8237E72}"/>
    <cellStyle name="Note 2 2 4 3 2 5" xfId="11739" xr:uid="{90771E53-E3AF-4AB4-9D8D-D51FE794F8A4}"/>
    <cellStyle name="Note 2 2 4 3 2 6" xfId="13216" xr:uid="{241FB64B-353C-4A64-804A-6ABB9C210799}"/>
    <cellStyle name="Note 2 2 4 3 2 7" xfId="14886" xr:uid="{F012A315-C5C3-4EA1-A0DE-34B54111ABD3}"/>
    <cellStyle name="Note 2 2 4 3 2 8" xfId="16556" xr:uid="{C135F982-9799-4A67-86FE-DB12B97F99FF}"/>
    <cellStyle name="Note 2 2 4 3 3" xfId="6354" xr:uid="{DEF9F9E5-189D-4F64-90ED-837C38BDD0C9}"/>
    <cellStyle name="Note 2 2 4 3 4" xfId="7594" xr:uid="{980C1D29-A6D8-4A45-BA37-2F084495DC99}"/>
    <cellStyle name="Note 2 2 4 3 5" xfId="9282" xr:uid="{DB632C5E-45F0-48AA-8559-9AA18B09F574}"/>
    <cellStyle name="Note 2 2 4 3 6" xfId="10981" xr:uid="{521CEFBF-D8B6-4B0F-B2A1-C24AD1CDDAB4}"/>
    <cellStyle name="Note 2 2 4 3 7" xfId="12273" xr:uid="{0D109DFC-CD4F-4D2A-BE9E-045FD7872FF7}"/>
    <cellStyle name="Note 2 2 4 3 8" xfId="13925" xr:uid="{3D4DF3DB-0F3B-40A7-A91A-2136DA8DA3DD}"/>
    <cellStyle name="Note 2 2 4 3 9" xfId="15613" xr:uid="{C3243527-17BA-42ED-A756-DAAE59A3442D}"/>
    <cellStyle name="Note 2 2 4 4" xfId="5452" xr:uid="{03C79E68-C986-4E14-B581-A3D711F4EB47}"/>
    <cellStyle name="Note 2 2 5" xfId="3320" xr:uid="{10E75EFD-A496-430C-965D-E94A275FFFD8}"/>
    <cellStyle name="Note 2 2 5 2" xfId="4200" xr:uid="{F267D878-BFC6-4D30-96FC-F8781F7D0B34}"/>
    <cellStyle name="Note 2 2 5 2 2" xfId="4984" xr:uid="{39FF99F8-936D-45C2-9A5B-D1388E8BF34F}"/>
    <cellStyle name="Note 2 2 5 2 2 2" xfId="7479" xr:uid="{A373454F-8AEF-45C1-B58D-86E7981C635C}"/>
    <cellStyle name="Note 2 2 5 2 2 3" xfId="8890" xr:uid="{05F102D5-6264-43E2-B22A-AD499474CAB8}"/>
    <cellStyle name="Note 2 2 5 2 2 4" xfId="10601" xr:uid="{D57317BD-E53C-4C3E-9465-4169B6179033}"/>
    <cellStyle name="Note 2 2 5 2 2 5" xfId="12097" xr:uid="{E762B0DD-FDD5-4F3A-B6A5-82C92F173A80}"/>
    <cellStyle name="Note 2 2 5 2 2 6" xfId="13567" xr:uid="{49D28CCE-9AB0-4BD6-8266-38B788E19A17}"/>
    <cellStyle name="Note 2 2 5 2 2 7" xfId="15244" xr:uid="{36E51DA1-BCC7-4F4F-A9D7-AAAF4CDC4C86}"/>
    <cellStyle name="Note 2 2 5 2 2 8" xfId="16907" xr:uid="{71803457-0114-4CC3-99D2-47393C6525F1}"/>
    <cellStyle name="Note 2 2 5 2 3" xfId="6760" xr:uid="{36B50C43-AE8C-4606-A995-18D005DBCC6A}"/>
    <cellStyle name="Note 2 2 5 2 4" xfId="8124" xr:uid="{EF98A44E-2769-47AA-A239-7A18B2C2190C}"/>
    <cellStyle name="Note 2 2 5 2 5" xfId="9819" xr:uid="{72417FA8-0D9C-4EE8-9AED-D860484D3027}"/>
    <cellStyle name="Note 2 2 5 2 6" xfId="11388" xr:uid="{64ED72F0-2932-4288-AAAD-5ACC0752C67A}"/>
    <cellStyle name="Note 2 2 5 2 7" xfId="12803" xr:uid="{A72C1340-0395-4EBE-BCD6-F7ECBA7FC6FA}"/>
    <cellStyle name="Note 2 2 5 2 8" xfId="14462" xr:uid="{05F52385-8728-4C64-A8B1-3E189F6ACE36}"/>
    <cellStyle name="Note 2 2 5 2 9" xfId="16143" xr:uid="{F3F6D054-2301-43C7-BEA1-2C4F38D651A2}"/>
    <cellStyle name="Note 2 2 5 3" xfId="3761" xr:uid="{C1A91CBF-134C-4912-BB22-873A18778581}"/>
    <cellStyle name="Note 2 2 5 3 2" xfId="4697" xr:uid="{98BDF513-DBB9-49AA-9992-46E2EAF14EDD}"/>
    <cellStyle name="Note 2 2 5 3 2 2" xfId="7192" xr:uid="{B69276D1-4A9C-45E4-B580-03CF20999245}"/>
    <cellStyle name="Note 2 2 5 3 2 3" xfId="8610" xr:uid="{EEB7BAE6-E029-4DB1-8200-6D7BBD43DE1C}"/>
    <cellStyle name="Note 2 2 5 3 2 4" xfId="10314" xr:uid="{DC333978-1AE0-47A4-A303-331AA706B6B2}"/>
    <cellStyle name="Note 2 2 5 3 2 5" xfId="11810" xr:uid="{CB88D25C-622E-4A4E-9C40-F869F120467B}"/>
    <cellStyle name="Note 2 2 5 3 2 6" xfId="13287" xr:uid="{68AD8690-C6CA-41F1-A4B7-AF992210F441}"/>
    <cellStyle name="Note 2 2 5 3 2 7" xfId="14957" xr:uid="{5E12EF61-F385-472F-AB21-B2471D881265}"/>
    <cellStyle name="Note 2 2 5 3 2 8" xfId="16627" xr:uid="{DCCB3F42-3B64-4C2D-AF93-C8E9A630E568}"/>
    <cellStyle name="Note 2 2 5 3 3" xfId="6433" xr:uid="{C392F0AA-3302-47BA-9C7F-33F958E1154D}"/>
    <cellStyle name="Note 2 2 5 3 4" xfId="7692" xr:uid="{90864CEF-0591-4A5C-8E54-C3F6F669559F}"/>
    <cellStyle name="Note 2 2 5 3 5" xfId="9380" xr:uid="{638DE77F-683B-415A-ADC2-9C584448E476}"/>
    <cellStyle name="Note 2 2 5 3 6" xfId="11062" xr:uid="{8A93A9E1-58BA-49FD-B727-1FC8B159A8AB}"/>
    <cellStyle name="Note 2 2 5 3 7" xfId="12371" xr:uid="{C556B81A-A9C1-4CE4-9D11-14E0970EF6CD}"/>
    <cellStyle name="Note 2 2 5 3 8" xfId="14023" xr:uid="{CA959078-F8A0-4BFA-9C07-3D904E9189EF}"/>
    <cellStyle name="Note 2 2 5 3 9" xfId="15711" xr:uid="{BE19AA94-FFB0-412A-BA83-C38F942E2B9D}"/>
    <cellStyle name="Note 2 2 5 4" xfId="8983" xr:uid="{77649488-1FE2-4259-BF28-656DB84D84E5}"/>
    <cellStyle name="Note 2 2 6" xfId="3346" xr:uid="{0E913F35-C969-4802-8FF8-184AC55B7BDF}"/>
    <cellStyle name="Note 2 2 6 10" xfId="15303" xr:uid="{80CFED62-79FB-457F-B6B1-DF2B9BFF4C49}"/>
    <cellStyle name="Note 2 2 6 2" xfId="4226" xr:uid="{8F204824-C985-4639-A043-A11C8E5B4C56}"/>
    <cellStyle name="Note 2 2 6 2 2" xfId="4991" xr:uid="{09F2DB14-E8F4-455C-9522-EE0D781DF7B3}"/>
    <cellStyle name="Note 2 2 6 2 2 2" xfId="7486" xr:uid="{5D2510A4-AE0E-46EA-BDA1-9348A3283598}"/>
    <cellStyle name="Note 2 2 6 2 2 3" xfId="8896" xr:uid="{5EA8FFAD-5426-436D-A3CF-4334B5E46FFC}"/>
    <cellStyle name="Note 2 2 6 2 2 4" xfId="10608" xr:uid="{1B7F211D-C488-4A03-B169-CA8D54C76B9C}"/>
    <cellStyle name="Note 2 2 6 2 2 5" xfId="12104" xr:uid="{BCAF01DE-B605-43CF-8E2A-C23ABBABACEC}"/>
    <cellStyle name="Note 2 2 6 2 2 6" xfId="13573" xr:uid="{AE3E68BF-3824-4F36-BCF4-2816407DC759}"/>
    <cellStyle name="Note 2 2 6 2 2 7" xfId="15251" xr:uid="{70DAF87F-D4E1-4600-A168-9760BDDC4D42}"/>
    <cellStyle name="Note 2 2 6 2 2 8" xfId="16913" xr:uid="{A61402E5-1FC2-4CF0-9C76-82D4E7DEBECE}"/>
    <cellStyle name="Note 2 2 6 2 3" xfId="6772" xr:uid="{8C475258-A199-4130-A9CA-BE816A634498}"/>
    <cellStyle name="Note 2 2 6 2 4" xfId="8149" xr:uid="{B6E2DCFD-BB32-4B07-A8AF-34131BB2B89E}"/>
    <cellStyle name="Note 2 2 6 2 5" xfId="9845" xr:uid="{CE184F50-8E7F-419C-BF32-A29600CF7952}"/>
    <cellStyle name="Note 2 2 6 2 6" xfId="11397" xr:uid="{CBA1642C-5F96-46B2-B0C2-429BB2C466CE}"/>
    <cellStyle name="Note 2 2 6 2 7" xfId="12828" xr:uid="{BA4B2734-E3AA-4B3F-870E-0815571885CD}"/>
    <cellStyle name="Note 2 2 6 2 8" xfId="14488" xr:uid="{0DFE9BA6-CF84-4012-8D99-59952766F347}"/>
    <cellStyle name="Note 2 2 6 2 9" xfId="16168" xr:uid="{B0FBF341-6CA7-402C-AFC9-0FF06845B957}"/>
    <cellStyle name="Note 2 2 6 3" xfId="3786" xr:uid="{564D4040-1F2C-4ED3-A539-3AB4245FC053}"/>
    <cellStyle name="Note 2 2 6 3 2" xfId="4703" xr:uid="{72F9BA5A-B808-40E1-8C5D-9D5A7CB6BA0E}"/>
    <cellStyle name="Note 2 2 6 3 2 2" xfId="7198" xr:uid="{D6D8F028-9FE0-41CD-9BC6-6A9FBB5E6292}"/>
    <cellStyle name="Note 2 2 6 3 2 3" xfId="8616" xr:uid="{CEDDFADE-4316-46E5-90BC-C07EBE991516}"/>
    <cellStyle name="Note 2 2 6 3 2 4" xfId="10320" xr:uid="{B67B68D7-F670-4340-BAEE-134F85B24FB9}"/>
    <cellStyle name="Note 2 2 6 3 2 5" xfId="11816" xr:uid="{D890DB3F-406A-412A-81FB-2E4DF4F5844E}"/>
    <cellStyle name="Note 2 2 6 3 2 6" xfId="13293" xr:uid="{D4212716-E201-40CF-BC06-9BB1ED8B017B}"/>
    <cellStyle name="Note 2 2 6 3 2 7" xfId="14963" xr:uid="{DDE23896-06B7-4458-B7A9-81E465A2E26E}"/>
    <cellStyle name="Note 2 2 6 3 2 8" xfId="16633" xr:uid="{9070BFFA-E1B0-4BFB-99E4-C5DC90DFAA86}"/>
    <cellStyle name="Note 2 2 6 3 3" xfId="6445" xr:uid="{BE41AD7D-D5B9-4DC1-88C7-1BAF3327813A}"/>
    <cellStyle name="Note 2 2 6 3 4" xfId="7717" xr:uid="{608A1208-1F7C-4C62-B80A-323625B4048B}"/>
    <cellStyle name="Note 2 2 6 3 5" xfId="9405" xr:uid="{FCCAB3AC-1EB2-4F5C-9407-B3632D209C07}"/>
    <cellStyle name="Note 2 2 6 3 6" xfId="11074" xr:uid="{FEDBC5D3-AAFF-48EB-95B8-1D4DC7FDC13E}"/>
    <cellStyle name="Note 2 2 6 3 7" xfId="12396" xr:uid="{93E51FC7-9E4D-47E8-A9A4-BF596B51F911}"/>
    <cellStyle name="Note 2 2 6 3 8" xfId="14048" xr:uid="{9C615EF7-1A95-4442-9906-8A76111FF2C2}"/>
    <cellStyle name="Note 2 2 6 3 9" xfId="15736" xr:uid="{226562A5-470E-4859-B8AE-5952A942A94C}"/>
    <cellStyle name="Note 2 2 6 4" xfId="4402" xr:uid="{41E5ABD5-C3C2-433C-8E9D-21CADA46C8AF}"/>
    <cellStyle name="Note 2 2 6 4 2" xfId="6908" xr:uid="{9D51E93D-8C16-472E-8CD8-EAAA81DBF4D2}"/>
    <cellStyle name="Note 2 2 6 4 3" xfId="8319" xr:uid="{4CB90BB2-038C-4580-9375-5604A3C9C2AF}"/>
    <cellStyle name="Note 2 2 6 4 4" xfId="10019" xr:uid="{043DAE73-4C49-4231-9640-BFD562FF169E}"/>
    <cellStyle name="Note 2 2 6 4 5" xfId="11528" xr:uid="{9FBA1C01-13B4-4AEB-92F1-153F54550BDB}"/>
    <cellStyle name="Note 2 2 6 4 6" xfId="12996" xr:uid="{990581D4-2B61-4465-AE23-201DA45F3552}"/>
    <cellStyle name="Note 2 2 6 4 7" xfId="14662" xr:uid="{5129B43E-4DB2-4F88-ACE6-C353A0C74E19}"/>
    <cellStyle name="Note 2 2 6 4 8" xfId="16336" xr:uid="{454ECFEF-0999-49B2-99DC-262F049CA101}"/>
    <cellStyle name="Note 2 2 6 5" xfId="6104" xr:uid="{FDB232A7-387E-4415-853C-59A195FCBA08}"/>
    <cellStyle name="Note 2 2 6 6" xfId="5216" xr:uid="{CB1F3BB7-65C5-4BB9-990F-6D71BB8A95A9}"/>
    <cellStyle name="Note 2 2 6 7" xfId="10736" xr:uid="{7CB66EDD-1FBB-43C5-9F04-357A817583DD}"/>
    <cellStyle name="Note 2 2 6 8" xfId="10730" xr:uid="{68DB7877-7C5C-4DF4-AEF6-98F87ECF0997}"/>
    <cellStyle name="Note 2 2 6 9" xfId="13612" xr:uid="{7BEB0925-849F-4C20-A431-0B6CFAA0C79A}"/>
    <cellStyle name="Note 2 2 7" xfId="3188" xr:uid="{D797ADBF-49EC-4E66-B55A-E2D1F11AA47B}"/>
    <cellStyle name="Note 2 2 7 10" xfId="5997" xr:uid="{586370F8-211C-40E7-A036-093B3D443E27}"/>
    <cellStyle name="Note 2 2 7 2" xfId="4068" xr:uid="{0F2B83C8-A9A7-4B99-AC89-390BE9DC944F}"/>
    <cellStyle name="Note 2 2 7 2 2" xfId="4890" xr:uid="{4360378C-764C-4C34-9AD7-256E29458AF1}"/>
    <cellStyle name="Note 2 2 7 2 2 2" xfId="7385" xr:uid="{EC3558E9-849C-4D14-867A-66863BD32090}"/>
    <cellStyle name="Note 2 2 7 2 2 3" xfId="8797" xr:uid="{76BD68A9-1BA3-4A1A-8801-89827D4D2D7D}"/>
    <cellStyle name="Note 2 2 7 2 2 4" xfId="10507" xr:uid="{CCD770C8-92C9-4A39-8638-6E9C78A195C1}"/>
    <cellStyle name="Note 2 2 7 2 2 5" xfId="12003" xr:uid="{A327785A-AB84-4980-A24A-F7A2CCF1BF53}"/>
    <cellStyle name="Note 2 2 7 2 2 6" xfId="13474" xr:uid="{DAD331ED-CE17-424E-8126-D668DE67187A}"/>
    <cellStyle name="Note 2 2 7 2 2 7" xfId="15150" xr:uid="{60B1E273-F03D-443F-957C-C71E3F3F5371}"/>
    <cellStyle name="Note 2 2 7 2 2 8" xfId="16814" xr:uid="{B8BE78A4-52A1-4E04-94DF-3E474F8C95BE}"/>
    <cellStyle name="Note 2 2 7 2 3" xfId="6657" xr:uid="{57DE2E9F-50A1-48DE-A9EE-1C9F8775D3FB}"/>
    <cellStyle name="Note 2 2 7 2 4" xfId="7993" xr:uid="{1E804CD3-3B32-4FEF-A660-C3D74521B0C6}"/>
    <cellStyle name="Note 2 2 7 2 5" xfId="9687" xr:uid="{C9A1E5C4-3BCE-4C00-BD2D-389F1DAB2F39}"/>
    <cellStyle name="Note 2 2 7 2 6" xfId="11284" xr:uid="{A2D8A285-174C-4E94-A2BB-CAD25B3BCB55}"/>
    <cellStyle name="Note 2 2 7 2 7" xfId="12672" xr:uid="{11733A62-BB3E-41D0-869E-945A7B32D218}"/>
    <cellStyle name="Note 2 2 7 2 8" xfId="14330" xr:uid="{A2779470-F74A-4A11-B894-0715BBA813EE}"/>
    <cellStyle name="Note 2 2 7 2 9" xfId="16012" xr:uid="{98B599B3-07CB-43B0-91D3-1DE1D944EDE2}"/>
    <cellStyle name="Note 2 2 7 3" xfId="3630" xr:uid="{378B5BEC-C1C0-4DC2-B2A2-917630D95B2C}"/>
    <cellStyle name="Note 2 2 7 3 2" xfId="4604" xr:uid="{A30B3B41-0512-40C1-8F82-17218F9B6BEF}"/>
    <cellStyle name="Note 2 2 7 3 2 2" xfId="7099" xr:uid="{93CDBF20-F01B-40DD-929D-B51C5AC4F412}"/>
    <cellStyle name="Note 2 2 7 3 2 3" xfId="8517" xr:uid="{3527936B-886D-4349-9809-812D8284CC54}"/>
    <cellStyle name="Note 2 2 7 3 2 4" xfId="10221" xr:uid="{4CF4638C-19B4-43B4-B4FD-D25443E22808}"/>
    <cellStyle name="Note 2 2 7 3 2 5" xfId="11717" xr:uid="{C485238E-F031-4444-B8F6-37CD73B44B7B}"/>
    <cellStyle name="Note 2 2 7 3 2 6" xfId="13194" xr:uid="{436C237D-EB80-4E5A-8937-422778BE0A62}"/>
    <cellStyle name="Note 2 2 7 3 2 7" xfId="14864" xr:uid="{81FF13F4-6C6A-41BB-9FAA-21D59D5170EE}"/>
    <cellStyle name="Note 2 2 7 3 2 8" xfId="16534" xr:uid="{7AEF42D8-4EA8-4657-8AB5-C848B8A7C22C}"/>
    <cellStyle name="Note 2 2 7 3 3" xfId="6330" xr:uid="{B05968AC-F2A0-4D2B-B449-22765646C969}"/>
    <cellStyle name="Note 2 2 7 3 4" xfId="7561" xr:uid="{E665E57D-62C1-4CBD-86C1-931C7F2DB8D3}"/>
    <cellStyle name="Note 2 2 7 3 5" xfId="9249" xr:uid="{BD0B478A-FD96-476A-BE5C-BDF3F26A6712}"/>
    <cellStyle name="Note 2 2 7 3 6" xfId="10957" xr:uid="{B16889C3-2944-45BA-BA21-9D363F8AD486}"/>
    <cellStyle name="Note 2 2 7 3 7" xfId="12240" xr:uid="{0952A53C-1C96-46EB-BA07-0BA8DA4E2B9F}"/>
    <cellStyle name="Note 2 2 7 3 8" xfId="13892" xr:uid="{F4398E14-55F6-488A-87C5-245D0D7AAD78}"/>
    <cellStyle name="Note 2 2 7 3 9" xfId="15580" xr:uid="{6D5D648D-C0DD-4806-99F3-CA87844D0608}"/>
    <cellStyle name="Note 2 2 7 4" xfId="4349" xr:uid="{A6A6B623-3956-4F66-B5BE-239348E3C970}"/>
    <cellStyle name="Note 2 2 7 4 2" xfId="6866" xr:uid="{2EA1230B-529C-4E1D-9072-3358ADC1A5E7}"/>
    <cellStyle name="Note 2 2 7 4 3" xfId="8268" xr:uid="{D532984A-6BE5-4E8D-A398-875225C67CFC}"/>
    <cellStyle name="Note 2 2 7 4 4" xfId="9966" xr:uid="{38A66793-2BFE-4907-AC4B-983E2B1A5EAB}"/>
    <cellStyle name="Note 2 2 7 4 5" xfId="11485" xr:uid="{1B1CE00A-8D69-4209-8555-297ADE6FB099}"/>
    <cellStyle name="Note 2 2 7 4 6" xfId="12945" xr:uid="{A7D52E10-F07C-4098-9D8A-7AD8AE6C889E}"/>
    <cellStyle name="Note 2 2 7 4 7" xfId="14609" xr:uid="{40974EAA-100E-4E5D-9B08-824212AA2492}"/>
    <cellStyle name="Note 2 2 7 4 8" xfId="16285" xr:uid="{AA2742AE-757A-4B1B-A19A-C5FAD1C9CC58}"/>
    <cellStyle name="Note 2 2 7 5" xfId="6015" xr:uid="{E3E9EE97-9DDD-4B32-8F49-C3D7E6261952}"/>
    <cellStyle name="Note 2 2 7 6" xfId="5626" xr:uid="{0EBB2DEB-CB81-4EE6-93E6-9B388D41D04F}"/>
    <cellStyle name="Note 2 2 7 7" xfId="10661" xr:uid="{B72031A6-7DB4-4386-A1E3-97284CFCF4C6}"/>
    <cellStyle name="Note 2 2 7 8" xfId="5049" xr:uid="{557D2210-E490-4B8E-BC8E-7B77075516B8}"/>
    <cellStyle name="Note 2 2 7 9" xfId="10705" xr:uid="{338630FC-3B7C-4ED5-BCEA-3125A0368A52}"/>
    <cellStyle name="Note 2 2 8" xfId="3381" xr:uid="{A311AD43-CD9C-4C59-B7AE-6B129323AAF5}"/>
    <cellStyle name="Note 2 2 8 10" xfId="15338" xr:uid="{2CDE1286-ABE2-4EB7-A907-FF555185BA9E}"/>
    <cellStyle name="Note 2 2 8 2" xfId="4261" xr:uid="{443D2E10-CF02-4346-BD0C-9261B68D71A5}"/>
    <cellStyle name="Note 2 2 8 2 2" xfId="5013" xr:uid="{C1EF7551-221B-4080-BBC8-47EDCE47564A}"/>
    <cellStyle name="Note 2 2 8 2 2 2" xfId="7508" xr:uid="{09EFE3FF-A91C-47A7-B997-0C1F3CECD2DF}"/>
    <cellStyle name="Note 2 2 8 2 2 3" xfId="8918" xr:uid="{67CD989E-4515-44FB-A103-F3ACC1711569}"/>
    <cellStyle name="Note 2 2 8 2 2 4" xfId="10630" xr:uid="{D84853C9-AE8A-42F5-AC34-8DB589C4926A}"/>
    <cellStyle name="Note 2 2 8 2 2 5" xfId="12126" xr:uid="{2A2FE421-D999-46E4-ABED-5FF891C7654A}"/>
    <cellStyle name="Note 2 2 8 2 2 6" xfId="13595" xr:uid="{4CAF15C6-61DA-489B-ACB5-1D556EA42BDB}"/>
    <cellStyle name="Note 2 2 8 2 2 7" xfId="15273" xr:uid="{AADB1616-5D69-41C4-8F68-74A70D830F2A}"/>
    <cellStyle name="Note 2 2 8 2 2 8" xfId="16935" xr:uid="{30AA0C9E-FD52-4711-B40A-91033D2F9691}"/>
    <cellStyle name="Note 2 2 8 2 3" xfId="6801" xr:uid="{4A26A34B-B402-4807-A4D1-7E2AEBAA7360}"/>
    <cellStyle name="Note 2 2 8 2 4" xfId="8184" xr:uid="{A497A785-F607-419A-82D7-7A54CBA3EF8F}"/>
    <cellStyle name="Note 2 2 8 2 5" xfId="9880" xr:uid="{FD0A99FE-658B-4565-824C-DA6161762E99}"/>
    <cellStyle name="Note 2 2 8 2 6" xfId="11419" xr:uid="{F1994AF9-E09E-41FC-A2AA-55BA55FE7760}"/>
    <cellStyle name="Note 2 2 8 2 7" xfId="12863" xr:uid="{C3014E59-2BF5-47A8-B9D4-F1B52488F8B3}"/>
    <cellStyle name="Note 2 2 8 2 8" xfId="14523" xr:uid="{3D109410-A599-4DD5-9DD3-084752273788}"/>
    <cellStyle name="Note 2 2 8 2 9" xfId="16203" xr:uid="{260DF227-98CB-42C2-8280-BF05C3824775}"/>
    <cellStyle name="Note 2 2 8 3" xfId="3821" xr:uid="{9854A6C3-7CFA-4CDF-B210-20D46D5F9278}"/>
    <cellStyle name="Note 2 2 8 3 2" xfId="4725" xr:uid="{54404632-227C-48B4-892D-B6272F76D5CF}"/>
    <cellStyle name="Note 2 2 8 3 2 2" xfId="7220" xr:uid="{5AE9342C-017D-4BF0-B216-808758895CB3}"/>
    <cellStyle name="Note 2 2 8 3 2 3" xfId="8638" xr:uid="{21136081-AD46-4D7B-9A94-8C248BD9F0A6}"/>
    <cellStyle name="Note 2 2 8 3 2 4" xfId="10342" xr:uid="{B337818F-5341-4917-BFB2-697567C3F0EF}"/>
    <cellStyle name="Note 2 2 8 3 2 5" xfId="11838" xr:uid="{775B666C-8EDA-46D9-9102-1FF472B510C6}"/>
    <cellStyle name="Note 2 2 8 3 2 6" xfId="13315" xr:uid="{4CF77399-2A34-47B9-9ECA-37602FA913A6}"/>
    <cellStyle name="Note 2 2 8 3 2 7" xfId="14985" xr:uid="{8AA2B902-58E9-4E9F-B3C0-2EE462C5695A}"/>
    <cellStyle name="Note 2 2 8 3 2 8" xfId="16655" xr:uid="{2F1B1FF9-DF78-4A40-854F-52D938550942}"/>
    <cellStyle name="Note 2 2 8 3 3" xfId="6471" xr:uid="{7962A349-55E6-41FF-9472-B077E7770F55}"/>
    <cellStyle name="Note 2 2 8 3 4" xfId="7752" xr:uid="{9706C98D-6436-4E29-93B3-911040E42C80}"/>
    <cellStyle name="Note 2 2 8 3 5" xfId="9440" xr:uid="{4EDA5CC8-4D8C-4A42-B8A0-39EDEC97EBB4}"/>
    <cellStyle name="Note 2 2 8 3 6" xfId="11100" xr:uid="{A9A90A21-D8F3-4E98-ABE7-5E5E8F8AD11B}"/>
    <cellStyle name="Note 2 2 8 3 7" xfId="12431" xr:uid="{C1031173-4B40-4358-AD62-30192CC8F2C0}"/>
    <cellStyle name="Note 2 2 8 3 8" xfId="14083" xr:uid="{3BF0815C-B2C1-4D4F-AEEA-9292746A812C}"/>
    <cellStyle name="Note 2 2 8 3 9" xfId="15771" xr:uid="{A583EDE6-309D-40DF-AAE9-888917D375A6}"/>
    <cellStyle name="Note 2 2 8 4" xfId="4437" xr:uid="{BF23DE89-6718-48CC-A919-F5FF478C27B7}"/>
    <cellStyle name="Note 2 2 8 4 2" xfId="6935" xr:uid="{4BAB029A-A52F-4D15-93F0-DA15E8BE8366}"/>
    <cellStyle name="Note 2 2 8 4 3" xfId="8354" xr:uid="{1413F564-3427-44DC-B61C-5E08655F1F9F}"/>
    <cellStyle name="Note 2 2 8 4 4" xfId="10054" xr:uid="{A37E905E-20BA-40F6-A181-CFFFF13B3A24}"/>
    <cellStyle name="Note 2 2 8 4 5" xfId="11552" xr:uid="{848B7CCD-CC11-4898-9D90-DA068C4046EA}"/>
    <cellStyle name="Note 2 2 8 4 6" xfId="13031" xr:uid="{F890CBDD-D581-4181-A906-0B297A1FED8A}"/>
    <cellStyle name="Note 2 2 8 4 7" xfId="14697" xr:uid="{BC1A17A7-5478-4E72-B419-0B913FAAA7A1}"/>
    <cellStyle name="Note 2 2 8 4 8" xfId="16371" xr:uid="{3E086021-EBFD-44DE-9200-760A90F69BD6}"/>
    <cellStyle name="Note 2 2 8 5" xfId="6139" xr:uid="{9FC15634-6855-43BC-9A37-C02F12F13557}"/>
    <cellStyle name="Note 2 2 8 6" xfId="5672" xr:uid="{4EB9CAFB-4364-4ACA-AAD8-223A29302729}"/>
    <cellStyle name="Note 2 2 8 7" xfId="10771" xr:uid="{DD6A99E3-ADFD-4A9A-95ED-95D6B9EEDF02}"/>
    <cellStyle name="Note 2 2 8 8" xfId="5776" xr:uid="{39549879-47A8-45B2-9B75-5858D7F6DDFE}"/>
    <cellStyle name="Note 2 2 8 9" xfId="13647" xr:uid="{28EE0E4F-7B8A-480A-BA13-5A5A2B38FB6E}"/>
    <cellStyle name="Note 2 2 9" xfId="3879" xr:uid="{404858F9-91B2-4265-8A17-A9EEB96852CD}"/>
    <cellStyle name="Note 2 2 9 2" xfId="4770" xr:uid="{5E8D956C-2814-4B96-A30A-F94521ABFDB7}"/>
    <cellStyle name="Note 2 2 9 2 2" xfId="7265" xr:uid="{9194F92E-D2E6-41DC-9E66-80CF69CDF8E5}"/>
    <cellStyle name="Note 2 2 9 2 3" xfId="8680" xr:uid="{494F4649-7ED8-4930-9044-3908A3DC1EA2}"/>
    <cellStyle name="Note 2 2 9 2 4" xfId="10387" xr:uid="{55BFB0EF-3223-4900-A88D-7A9DB25833CB}"/>
    <cellStyle name="Note 2 2 9 2 5" xfId="11883" xr:uid="{2245DDBC-0A5F-4DAF-9CDB-732DF4ED0D6F}"/>
    <cellStyle name="Note 2 2 9 2 6" xfId="13357" xr:uid="{52B75014-82DC-4A64-90D6-1447159B80DA}"/>
    <cellStyle name="Note 2 2 9 2 7" xfId="15030" xr:uid="{E7B37556-4853-49D3-87DC-A078EA6F3B19}"/>
    <cellStyle name="Note 2 2 9 2 8" xfId="16697" xr:uid="{2B0905FC-B208-4E66-90BA-ADD959EC9AD9}"/>
    <cellStyle name="Note 2 2 9 3" xfId="6520" xr:uid="{03F83445-C627-4E8B-82FE-18ACCC5A825D}"/>
    <cellStyle name="Note 2 2 9 4" xfId="7807" xr:uid="{8EBE3746-25AE-4C69-A683-3CB528AFDB7B}"/>
    <cellStyle name="Note 2 2 9 5" xfId="9498" xr:uid="{F65FFACD-E016-4FE5-BE33-865612A00293}"/>
    <cellStyle name="Note 2 2 9 6" xfId="11151" xr:uid="{EF35BFFD-EA22-4503-B43F-3DA64D46FD74}"/>
    <cellStyle name="Note 2 2 9 7" xfId="12486" xr:uid="{BB05F5A7-3ED3-458A-A686-ECDDC0535B68}"/>
    <cellStyle name="Note 2 2 9 8" xfId="14141" xr:uid="{1FF5B418-45F4-4F08-B2F3-7A594F4555D6}"/>
    <cellStyle name="Note 2 2 9 9" xfId="15826" xr:uid="{BABDDC97-994B-4B6B-9890-F376E4E7EACA}"/>
    <cellStyle name="Note 2 3" xfId="2976" xr:uid="{21D2110D-0BEB-4F53-9551-4B919093608B}"/>
    <cellStyle name="Note 2 3 10" xfId="3423" xr:uid="{181D941C-8517-4420-938D-5E4FBE8D0543}"/>
    <cellStyle name="Note 2 3 10 2" xfId="4470" xr:uid="{7777ACAF-3DE5-4562-94F1-6C3C12F431D2}"/>
    <cellStyle name="Note 2 3 10 2 2" xfId="6965" xr:uid="{5CBB3FCE-B7B4-4F5C-A82E-264D2157F4C5}"/>
    <cellStyle name="Note 2 3 10 2 3" xfId="8386" xr:uid="{EC4C6A0C-40E7-4A9A-B9E4-6F7E31AF0163}"/>
    <cellStyle name="Note 2 3 10 2 4" xfId="10087" xr:uid="{0655911B-EA6A-4C87-9F5D-E49592D5E47C}"/>
    <cellStyle name="Note 2 3 10 2 5" xfId="11583" xr:uid="{9014887F-89F8-4FA1-A539-ECEE59AEB867}"/>
    <cellStyle name="Note 2 3 10 2 6" xfId="13063" xr:uid="{1856EA8B-88C3-4781-85CC-A642F424977E}"/>
    <cellStyle name="Note 2 3 10 2 7" xfId="14730" xr:uid="{8FAE929B-5309-4392-8C8E-88F6610B8D58}"/>
    <cellStyle name="Note 2 3 10 2 8" xfId="16403" xr:uid="{559AE063-4340-439E-8FAE-411FFB812F08}"/>
    <cellStyle name="Note 2 3 10 3" xfId="6173" xr:uid="{FC27803C-6803-4ED6-8494-168040CEFB51}"/>
    <cellStyle name="Note 2 3 10 4" xfId="5888" xr:uid="{D6791954-62BE-4F3C-B8D7-25E938FDD7F3}"/>
    <cellStyle name="Note 2 3 10 5" xfId="9042" xr:uid="{356F6830-95A6-43E5-9C30-23D3DD4919AD}"/>
    <cellStyle name="Note 2 3 10 6" xfId="10806" xr:uid="{DBE5CB98-A426-405C-B754-B6DEB0C799E1}"/>
    <cellStyle name="Note 2 3 10 7" xfId="5848" xr:uid="{53113D0E-B42E-4CD2-AA67-48AE429C78B9}"/>
    <cellStyle name="Note 2 3 10 8" xfId="13685" xr:uid="{296049AC-CF0A-4E6A-A409-291B691081DC}"/>
    <cellStyle name="Note 2 3 10 9" xfId="15376" xr:uid="{0FC847FC-98B3-4DE8-AF0D-B34C4FC8A532}"/>
    <cellStyle name="Note 2 3 11" xfId="5394" xr:uid="{C3556D45-7B05-4FA4-8EEF-CC248A58FCF7}"/>
    <cellStyle name="Note 2 3 12" xfId="5882" xr:uid="{D69E2D65-3AA5-4C72-856C-A1C4F6F995BA}"/>
    <cellStyle name="Note 2 3 2" xfId="3264" xr:uid="{2BE9333D-6D3C-43E2-8CA7-939B43342537}"/>
    <cellStyle name="Note 2 3 2 2" xfId="4144" xr:uid="{838EB30B-60A3-4AAC-9792-B460EC4A993D}"/>
    <cellStyle name="Note 2 3 2 2 2" xfId="4941" xr:uid="{351C61A2-5933-4866-AFB9-D19ADEF7B986}"/>
    <cellStyle name="Note 2 3 2 2 2 2" xfId="7436" xr:uid="{E0EDFE2D-424A-4FB8-9BC1-BED57E2355AC}"/>
    <cellStyle name="Note 2 3 2 2 2 3" xfId="8848" xr:uid="{89E6BA1B-1D56-4AE3-9BB0-905EF9009967}"/>
    <cellStyle name="Note 2 3 2 2 2 4" xfId="10558" xr:uid="{A4EF062D-6649-44BA-8C7A-C55AC9018EDA}"/>
    <cellStyle name="Note 2 3 2 2 2 5" xfId="12054" xr:uid="{1134017D-5122-4A7B-8730-23A822B3BA5A}"/>
    <cellStyle name="Note 2 3 2 2 2 6" xfId="13525" xr:uid="{9FEE3326-ABE8-44A5-90FA-1ADA419FAA76}"/>
    <cellStyle name="Note 2 3 2 2 2 7" xfId="15201" xr:uid="{EE68CE17-539F-48B6-B1DF-CD47E39AA428}"/>
    <cellStyle name="Note 2 3 2 2 2 8" xfId="16865" xr:uid="{433EA3E5-E70A-472D-9483-B0A045F33E80}"/>
    <cellStyle name="Note 2 3 2 2 3" xfId="6715" xr:uid="{C0B9DF16-A144-4785-9CB4-1D0CA72AD34B}"/>
    <cellStyle name="Note 2 3 2 2 4" xfId="8069" xr:uid="{B0D10C21-1275-47BD-911B-5AD17685EE5D}"/>
    <cellStyle name="Note 2 3 2 2 5" xfId="9763" xr:uid="{38A9DD53-4892-4C1C-A838-85FE0D98220C}"/>
    <cellStyle name="Note 2 3 2 2 6" xfId="11343" xr:uid="{BE81B826-DD6A-4E48-A79F-0BA487C5622E}"/>
    <cellStyle name="Note 2 3 2 2 7" xfId="12748" xr:uid="{195C3DA3-2AC6-431A-960F-973E828912C0}"/>
    <cellStyle name="Note 2 3 2 2 8" xfId="14406" xr:uid="{7E0ECFB2-25D2-47FB-AB89-AD5BA1B05F00}"/>
    <cellStyle name="Note 2 3 2 2 9" xfId="16088" xr:uid="{8820C00C-C6E1-4D3D-B98F-CE2D745559A3}"/>
    <cellStyle name="Note 2 3 2 3" xfId="3706" xr:uid="{757B66FC-121F-46B0-908B-D158189363CC}"/>
    <cellStyle name="Note 2 3 2 3 2" xfId="4655" xr:uid="{71214DE5-7B0B-4D09-AB39-6D923869BD3E}"/>
    <cellStyle name="Note 2 3 2 3 2 2" xfId="7150" xr:uid="{B94D87DB-AEC2-412D-80F8-D0CDB3D93AF4}"/>
    <cellStyle name="Note 2 3 2 3 2 3" xfId="8568" xr:uid="{3460382B-0B04-46AC-9760-7363FA03717B}"/>
    <cellStyle name="Note 2 3 2 3 2 4" xfId="10272" xr:uid="{879D4FE3-EA81-4F5C-A0D2-A050BD2B2E91}"/>
    <cellStyle name="Note 2 3 2 3 2 5" xfId="11768" xr:uid="{DDAA55F3-B434-4B04-8605-5018E6BECFF7}"/>
    <cellStyle name="Note 2 3 2 3 2 6" xfId="13245" xr:uid="{49BD766A-51DB-43FC-AF2C-9BEEF3793AB0}"/>
    <cellStyle name="Note 2 3 2 3 2 7" xfId="14915" xr:uid="{01DEF8D7-D3CB-4EAD-8BF1-67453937C744}"/>
    <cellStyle name="Note 2 3 2 3 2 8" xfId="16585" xr:uid="{A724FD15-D47F-49CE-AF83-4A2BB1D0313E}"/>
    <cellStyle name="Note 2 3 2 3 3" xfId="6388" xr:uid="{6BC80DEE-6E95-4EB0-8B6D-9B3998658464}"/>
    <cellStyle name="Note 2 3 2 3 4" xfId="7637" xr:uid="{9B69A703-1FE6-4799-8DFA-02E4DD785EC5}"/>
    <cellStyle name="Note 2 3 2 3 5" xfId="9325" xr:uid="{6CB8425F-E391-4EB4-BDBC-0B1845A097E8}"/>
    <cellStyle name="Note 2 3 2 3 6" xfId="11015" xr:uid="{2F864E07-D357-408F-8E28-23DC129853C8}"/>
    <cellStyle name="Note 2 3 2 3 7" xfId="12316" xr:uid="{FB6EF058-296F-4700-AC24-7AE87A92D4F2}"/>
    <cellStyle name="Note 2 3 2 3 8" xfId="13968" xr:uid="{BA107470-50A7-4EAE-845A-CACF819B0E16}"/>
    <cellStyle name="Note 2 3 2 3 9" xfId="15656" xr:uid="{CFBC7504-820F-42CA-A564-4BEB42A4FB94}"/>
    <cellStyle name="Note 2 3 2 4" xfId="8931" xr:uid="{C06F8655-4F8F-42B1-A887-3E6887E296F2}"/>
    <cellStyle name="Note 2 3 3" xfId="3161" xr:uid="{B08C4D24-2589-4061-9646-48CF8B84777C}"/>
    <cellStyle name="Note 2 3 3 2" xfId="4041" xr:uid="{30B296DA-83BE-4EBA-BDBC-332595434802}"/>
    <cellStyle name="Note 2 3 3 2 2" xfId="4876" xr:uid="{CC5E3C79-A158-4E0F-B2B9-074730B4F51D}"/>
    <cellStyle name="Note 2 3 3 2 2 2" xfId="7371" xr:uid="{FB0B1499-E269-4CC2-BC8E-16EC87C94F97}"/>
    <cellStyle name="Note 2 3 3 2 2 3" xfId="8784" xr:uid="{E23AFB47-5451-4C2A-ABB4-FAEAA114EC3B}"/>
    <cellStyle name="Note 2 3 3 2 2 4" xfId="10493" xr:uid="{28C95832-4841-4F4D-9E06-9BA43523706E}"/>
    <cellStyle name="Note 2 3 3 2 2 5" xfId="11989" xr:uid="{4CA57F3E-22C4-42D6-923F-0408081D8B49}"/>
    <cellStyle name="Note 2 3 3 2 2 6" xfId="13461" xr:uid="{85CFCCFA-4EE4-4624-8077-54A1B11ED8BA}"/>
    <cellStyle name="Note 2 3 3 2 2 7" xfId="15136" xr:uid="{4F115C16-ED2B-40DB-97D5-C300DD5D89BA}"/>
    <cellStyle name="Note 2 3 3 2 2 8" xfId="16801" xr:uid="{B11E65BF-D8CA-4D0E-854D-72ED96A0640F}"/>
    <cellStyle name="Note 2 3 3 2 3" xfId="6641" xr:uid="{43AE4620-DB94-402C-9905-8D49E5C2742F}"/>
    <cellStyle name="Note 2 3 3 2 4" xfId="7967" xr:uid="{44DC23DA-2639-4445-8F03-2BF68928F3E9}"/>
    <cellStyle name="Note 2 3 3 2 5" xfId="9660" xr:uid="{98AF6DF1-F4BB-4C82-8A0B-4C2ED5213A05}"/>
    <cellStyle name="Note 2 3 3 2 6" xfId="11267" xr:uid="{AA77236B-1213-41FC-B3C8-F195FF3EEEA1}"/>
    <cellStyle name="Note 2 3 3 2 7" xfId="12646" xr:uid="{C639C322-118F-4A0A-B75B-6ED854746685}"/>
    <cellStyle name="Note 2 3 3 2 8" xfId="14303" xr:uid="{9AD7127B-236D-4A18-B069-58075B619E1A}"/>
    <cellStyle name="Note 2 3 3 2 9" xfId="15986" xr:uid="{C000B7EE-9B75-425A-8F42-58A34FB04E6E}"/>
    <cellStyle name="Note 2 3 3 3" xfId="3603" xr:uid="{0B9285DE-C85B-4DF9-9827-37B3A0081AD6}"/>
    <cellStyle name="Note 2 3 3 3 2" xfId="4590" xr:uid="{36F0DA0B-68D0-4050-8715-EC3551113B5E}"/>
    <cellStyle name="Note 2 3 3 3 2 2" xfId="7085" xr:uid="{4D0BDBD8-EDD8-4A5E-8BC0-886B4267F7C6}"/>
    <cellStyle name="Note 2 3 3 3 2 3" xfId="8504" xr:uid="{EA45093E-3070-4216-9953-715384765329}"/>
    <cellStyle name="Note 2 3 3 3 2 4" xfId="10207" xr:uid="{A3BF0032-526C-4A19-87FD-863131798841}"/>
    <cellStyle name="Note 2 3 3 3 2 5" xfId="11703" xr:uid="{D8822910-41AC-4822-8180-A07244693A74}"/>
    <cellStyle name="Note 2 3 3 3 2 6" xfId="13181" xr:uid="{3091A9B4-9884-4C29-8F31-972477586A47}"/>
    <cellStyle name="Note 2 3 3 3 2 7" xfId="14850" xr:uid="{575AD1F0-6E54-4C29-919A-1FD653F48438}"/>
    <cellStyle name="Note 2 3 3 3 2 8" xfId="16521" xr:uid="{692A7E83-F6CC-4BE0-8187-370E583B6DC4}"/>
    <cellStyle name="Note 2 3 3 3 3" xfId="6310" xr:uid="{BB192DC2-1C63-40F8-AE35-1DD08BEBFB94}"/>
    <cellStyle name="Note 2 3 3 3 4" xfId="7535" xr:uid="{998D44AA-64C7-4D63-8172-2A74E8C7C2A2}"/>
    <cellStyle name="Note 2 3 3 3 5" xfId="9222" xr:uid="{A75095F1-B6F9-43AA-A842-B2AECC58040E}"/>
    <cellStyle name="Note 2 3 3 3 6" xfId="10941" xr:uid="{5E21A4AA-8A16-44BE-9D40-8F27703C256C}"/>
    <cellStyle name="Note 2 3 3 3 7" xfId="12214" xr:uid="{2ECE53ED-EBCE-421F-AB84-65F2F4565927}"/>
    <cellStyle name="Note 2 3 3 3 8" xfId="13865" xr:uid="{26B2C17C-F2A6-4CD4-B25F-AAAF764EB553}"/>
    <cellStyle name="Note 2 3 3 3 9" xfId="15554" xr:uid="{C2105239-E87C-43BD-A602-92091069A255}"/>
    <cellStyle name="Note 2 3 3 4" xfId="6103" xr:uid="{1CE685E3-4386-4E53-925B-A11C75003584}"/>
    <cellStyle name="Note 2 3 4" xfId="3089" xr:uid="{352DF6F8-97F9-42DA-A05E-785805763BA0}"/>
    <cellStyle name="Note 2 3 4 2" xfId="3969" xr:uid="{484DFA01-D8BC-480B-9218-5959CAEB6453}"/>
    <cellStyle name="Note 2 3 4 2 2" xfId="4826" xr:uid="{F5475F6D-757D-433B-9286-091A3DAF1BD9}"/>
    <cellStyle name="Note 2 3 4 2 2 2" xfId="7321" xr:uid="{B247AA3C-EBBE-4A96-B3ED-D2061E7FFA1E}"/>
    <cellStyle name="Note 2 3 4 2 2 3" xfId="8734" xr:uid="{757B70D6-3E31-4D1B-900D-51EE18ADA9CE}"/>
    <cellStyle name="Note 2 3 4 2 2 4" xfId="10443" xr:uid="{541E9453-2789-44CB-AF09-7DEEF2CF488F}"/>
    <cellStyle name="Note 2 3 4 2 2 5" xfId="11939" xr:uid="{F63BA29B-3B4E-4829-BB8A-1C6E1435E8B6}"/>
    <cellStyle name="Note 2 3 4 2 2 6" xfId="13411" xr:uid="{18CD616F-DD9B-4E91-B081-913302CB9FD8}"/>
    <cellStyle name="Note 2 3 4 2 2 7" xfId="15086" xr:uid="{05A1C299-2304-4719-A4A4-B5CAD0B8E3D7}"/>
    <cellStyle name="Note 2 3 4 2 2 8" xfId="16751" xr:uid="{3611C6DE-C00C-445B-BD2F-FE4A7AE36E0C}"/>
    <cellStyle name="Note 2 3 4 2 3" xfId="6585" xr:uid="{30A333DB-D30E-4466-875A-91DEA712D700}"/>
    <cellStyle name="Note 2 3 4 2 4" xfId="7895" xr:uid="{0B6AC020-040B-4C0F-A29D-EDF4DCD8BCDC}"/>
    <cellStyle name="Note 2 3 4 2 5" xfId="9588" xr:uid="{544A9A00-96A8-4B6B-BE73-6709CE2C222F}"/>
    <cellStyle name="Note 2 3 4 2 6" xfId="11213" xr:uid="{B056BFAB-D882-46B0-8D5E-BF27DDC100C7}"/>
    <cellStyle name="Note 2 3 4 2 7" xfId="12574" xr:uid="{F8B0CA13-F490-4542-9BF7-78FC73B37C86}"/>
    <cellStyle name="Note 2 3 4 2 8" xfId="14231" xr:uid="{342E2765-ED87-44B5-9430-5C5B4E32E640}"/>
    <cellStyle name="Note 2 3 4 2 9" xfId="15914" xr:uid="{C9A8CFE0-9EA2-4F16-8883-F6D3BD604228}"/>
    <cellStyle name="Note 2 3 4 3" xfId="3531" xr:uid="{4A8AE269-6A4A-4E65-8FE7-AC10CB5C3FF7}"/>
    <cellStyle name="Note 2 3 4 3 2" xfId="4540" xr:uid="{B17B0CD9-20D8-4F90-BBDD-6DC07F9C6727}"/>
    <cellStyle name="Note 2 3 4 3 2 2" xfId="7035" xr:uid="{51ACF0CE-E699-462B-8288-0B797547AD3F}"/>
    <cellStyle name="Note 2 3 4 3 2 3" xfId="8454" xr:uid="{6BAE08A9-F216-40C6-9820-77BE7B373F94}"/>
    <cellStyle name="Note 2 3 4 3 2 4" xfId="10157" xr:uid="{A0C8C65F-E224-4202-8C0D-C23991DCBDFB}"/>
    <cellStyle name="Note 2 3 4 3 2 5" xfId="11653" xr:uid="{35248EB0-CBFE-4845-BD3C-626DC0D52F63}"/>
    <cellStyle name="Note 2 3 4 3 2 6" xfId="13131" xr:uid="{8FFBA2C6-8071-4FA6-84CE-7FA0380EB2A5}"/>
    <cellStyle name="Note 2 3 4 3 2 7" xfId="14800" xr:uid="{55A2E4FF-3AC8-40E3-A005-043B17844E2E}"/>
    <cellStyle name="Note 2 3 4 3 2 8" xfId="16471" xr:uid="{800FCBE7-61A0-417C-BD98-A58957BF8BB7}"/>
    <cellStyle name="Note 2 3 4 3 3" xfId="6254" xr:uid="{A3789BE1-EB9F-413D-B816-6C3D42CDC27F}"/>
    <cellStyle name="Note 2 3 4 3 4" xfId="5138" xr:uid="{0DF40682-D33F-4804-B98C-D6922767C176}"/>
    <cellStyle name="Note 2 3 4 3 5" xfId="9150" xr:uid="{9C554BB6-060E-4BF9-ACE2-97322D423417}"/>
    <cellStyle name="Note 2 3 4 3 6" xfId="10884" xr:uid="{BB9A0B15-406D-4E3A-AC03-97F9D1CE7B0D}"/>
    <cellStyle name="Note 2 3 4 3 7" xfId="12142" xr:uid="{B98F41F8-9EBF-491D-98C7-BE18014C10DA}"/>
    <cellStyle name="Note 2 3 4 3 8" xfId="13793" xr:uid="{E7E0B5CE-8EE9-408B-B16D-218A50731C33}"/>
    <cellStyle name="Note 2 3 4 3 9" xfId="15482" xr:uid="{681CF5D3-ACA1-4637-B9D8-78963CB91187}"/>
    <cellStyle name="Note 2 3 4 4" xfId="5746" xr:uid="{B4CAD4DE-0526-45A9-B83B-586CEBB931E8}"/>
    <cellStyle name="Note 2 3 5" xfId="3302" xr:uid="{72567824-E8B3-4E51-B238-C3AD1B429A4D}"/>
    <cellStyle name="Note 2 3 5 2" xfId="4182" xr:uid="{B904F98C-2D7E-4EBF-B96D-DFB6A91A7C74}"/>
    <cellStyle name="Note 2 3 5 2 2" xfId="4970" xr:uid="{4CF666F7-621E-48A2-95B8-EEC4662C5CB5}"/>
    <cellStyle name="Note 2 3 5 2 2 2" xfId="7465" xr:uid="{7DE377EA-833A-4A42-9A2B-15E801980B47}"/>
    <cellStyle name="Note 2 3 5 2 2 3" xfId="8876" xr:uid="{B6B33F02-D1B7-4C6D-84F6-AFB3565DAECE}"/>
    <cellStyle name="Note 2 3 5 2 2 4" xfId="10587" xr:uid="{C2715E1B-AE60-458A-AD76-789A30A97370}"/>
    <cellStyle name="Note 2 3 5 2 2 5" xfId="12083" xr:uid="{E533FF75-F6FB-4773-A930-B4732262FC59}"/>
    <cellStyle name="Note 2 3 5 2 2 6" xfId="13553" xr:uid="{47C5B032-CE89-4607-9182-600E3BCF65D2}"/>
    <cellStyle name="Note 2 3 5 2 2 7" xfId="15230" xr:uid="{5EB33423-47C5-48E5-8842-1A3303C91162}"/>
    <cellStyle name="Note 2 3 5 2 2 8" xfId="16893" xr:uid="{D6EACF9F-8214-4FED-B911-E8409435C7A2}"/>
    <cellStyle name="Note 2 3 5 2 3" xfId="6745" xr:uid="{ED907F76-3FA7-4E0B-8892-6377396C9618}"/>
    <cellStyle name="Note 2 3 5 2 4" xfId="8106" xr:uid="{E44468FF-0930-41E6-8007-72A9025040B1}"/>
    <cellStyle name="Note 2 3 5 2 5" xfId="9801" xr:uid="{64B79701-D7F4-43F2-BE73-CC0320A7082E}"/>
    <cellStyle name="Note 2 3 5 2 6" xfId="11373" xr:uid="{AA25EFEC-B41C-476A-A6F0-005406250F21}"/>
    <cellStyle name="Note 2 3 5 2 7" xfId="12785" xr:uid="{35FF358C-402B-45C4-A71B-3142517F3B6C}"/>
    <cellStyle name="Note 2 3 5 2 8" xfId="14444" xr:uid="{38B81B44-F61A-4E0D-9CFC-00C55AC5EF71}"/>
    <cellStyle name="Note 2 3 5 2 9" xfId="16125" xr:uid="{BBB91DD1-0ECF-41EC-AE02-CCB0D2617A91}"/>
    <cellStyle name="Note 2 3 5 3" xfId="3743" xr:uid="{AA71B44D-4D39-4E27-AE3B-73C5F8F6C155}"/>
    <cellStyle name="Note 2 3 5 3 2" xfId="4683" xr:uid="{5EDAD533-1D19-4E19-9B68-AC1822ACC5F7}"/>
    <cellStyle name="Note 2 3 5 3 2 2" xfId="7178" xr:uid="{015F5F91-A4E1-4D7C-A50E-0BA6C9E38738}"/>
    <cellStyle name="Note 2 3 5 3 2 3" xfId="8596" xr:uid="{594AB1F8-3234-4479-9773-D9A950B7578B}"/>
    <cellStyle name="Note 2 3 5 3 2 4" xfId="10300" xr:uid="{454B5AB3-8217-4B52-AFCA-A8521B841893}"/>
    <cellStyle name="Note 2 3 5 3 2 5" xfId="11796" xr:uid="{B9329FBD-01F8-4DAA-A11E-0532008FBB9B}"/>
    <cellStyle name="Note 2 3 5 3 2 6" xfId="13273" xr:uid="{655DA724-1337-4A07-BEBD-CF0E0DE96914}"/>
    <cellStyle name="Note 2 3 5 3 2 7" xfId="14943" xr:uid="{7276C2D6-BD9A-4F82-AF5D-563C28C2607F}"/>
    <cellStyle name="Note 2 3 5 3 2 8" xfId="16613" xr:uid="{8369E77A-E113-4ADC-853B-3B083258D6FF}"/>
    <cellStyle name="Note 2 3 5 3 3" xfId="6418" xr:uid="{23489B3C-A4AF-448B-9557-6AA3C285E20C}"/>
    <cellStyle name="Note 2 3 5 3 4" xfId="7674" xr:uid="{817D1227-9625-4105-AFC6-AAF5EB042932}"/>
    <cellStyle name="Note 2 3 5 3 5" xfId="9362" xr:uid="{A8A4F42C-3631-4715-BFCE-E42D1B53069D}"/>
    <cellStyle name="Note 2 3 5 3 6" xfId="11046" xr:uid="{370A0772-4992-48C8-A74C-CE2EFBE5825C}"/>
    <cellStyle name="Note 2 3 5 3 7" xfId="12353" xr:uid="{40B6C685-4B10-4024-8E72-C4CF5091643B}"/>
    <cellStyle name="Note 2 3 5 3 8" xfId="14005" xr:uid="{06C1A242-CD99-44E2-8FA4-B1759F8048D4}"/>
    <cellStyle name="Note 2 3 5 3 9" xfId="15693" xr:uid="{380C9498-5514-413A-8CC0-567A9AB4A86F}"/>
    <cellStyle name="Note 2 3 5 4" xfId="8965" xr:uid="{69925AF5-BA07-4EE8-A4EC-A6C7CBFEBA2B}"/>
    <cellStyle name="Note 2 3 6" xfId="3047" xr:uid="{008208AA-6372-4B8A-816F-FD0674BD6612}"/>
    <cellStyle name="Note 2 3 6 10" xfId="11177" xr:uid="{995E6C91-B8D3-480E-8C1F-2F22837E3D02}"/>
    <cellStyle name="Note 2 3 6 2" xfId="3927" xr:uid="{D4BB7708-E02E-43A9-96C6-A616372D02B3}"/>
    <cellStyle name="Note 2 3 6 2 2" xfId="4796" xr:uid="{28C06991-9D2B-4FED-A73F-DE51A7E8691E}"/>
    <cellStyle name="Note 2 3 6 2 2 2" xfId="7291" xr:uid="{859E8AA7-074A-4E41-822D-8F909475274E}"/>
    <cellStyle name="Note 2 3 6 2 2 3" xfId="8706" xr:uid="{89BE4CF8-E1A3-4CEF-B80B-7A139A22D5E6}"/>
    <cellStyle name="Note 2 3 6 2 2 4" xfId="10413" xr:uid="{333BC4EF-A5F1-4AF7-8EF5-115B2DCE3A26}"/>
    <cellStyle name="Note 2 3 6 2 2 5" xfId="11909" xr:uid="{C19B3837-631E-49C2-99C4-C009BCA2967A}"/>
    <cellStyle name="Note 2 3 6 2 2 6" xfId="13383" xr:uid="{A7845C5A-19FB-42EA-9A94-9705AF272618}"/>
    <cellStyle name="Note 2 3 6 2 2 7" xfId="15056" xr:uid="{2BE67091-3E38-4195-9ED9-E31C2B911950}"/>
    <cellStyle name="Note 2 3 6 2 2 8" xfId="16723" xr:uid="{6748517C-2898-447F-A8D5-7DCB3C0F3341}"/>
    <cellStyle name="Note 2 3 6 2 3" xfId="6551" xr:uid="{D96932CC-E466-480C-9C7F-E3122A540BCF}"/>
    <cellStyle name="Note 2 3 6 2 4" xfId="7855" xr:uid="{8C050C86-3032-4D43-B88A-3BB83B5FF1B2}"/>
    <cellStyle name="Note 2 3 6 2 5" xfId="9546" xr:uid="{85305A76-2189-4EF3-932C-A090E13B529D}"/>
    <cellStyle name="Note 2 3 6 2 6" xfId="11182" xr:uid="{FBF3D36F-B2CC-4C73-B045-316F6E62DA72}"/>
    <cellStyle name="Note 2 3 6 2 7" xfId="12534" xr:uid="{EEFB1602-E42D-4AA2-8BE4-2BEBCDE4D325}"/>
    <cellStyle name="Note 2 3 6 2 8" xfId="14189" xr:uid="{6D81C20E-A449-4200-9AC3-250EEF31C926}"/>
    <cellStyle name="Note 2 3 6 2 9" xfId="15874" xr:uid="{68C26BF2-B78B-4EC3-8236-CA18377AD4C0}"/>
    <cellStyle name="Note 2 3 6 3" xfId="3489" xr:uid="{BD382B64-FAD4-44D0-8892-B3E25CA89EF6}"/>
    <cellStyle name="Note 2 3 6 3 2" xfId="4510" xr:uid="{30C95EE1-2D1E-44D3-AF4D-530C8F5FC6F1}"/>
    <cellStyle name="Note 2 3 6 3 2 2" xfId="7005" xr:uid="{DDBBBD12-CE12-40A9-84DE-6A713CEDECEE}"/>
    <cellStyle name="Note 2 3 6 3 2 3" xfId="8426" xr:uid="{E10771F7-B122-4522-B181-42F5E8051D68}"/>
    <cellStyle name="Note 2 3 6 3 2 4" xfId="10127" xr:uid="{E6AC29CA-73CC-4444-974A-90EF90D53264}"/>
    <cellStyle name="Note 2 3 6 3 2 5" xfId="11623" xr:uid="{71CABA25-602A-4725-B185-C4256F4300B8}"/>
    <cellStyle name="Note 2 3 6 3 2 6" xfId="13103" xr:uid="{1874F7E5-C422-4B60-A494-E1C06E91D39B}"/>
    <cellStyle name="Note 2 3 6 3 2 7" xfId="14770" xr:uid="{AAA6DDC5-B43A-4394-B53E-DFB9FC2C7956}"/>
    <cellStyle name="Note 2 3 6 3 2 8" xfId="16443" xr:uid="{DE649485-21F3-4D5C-8C25-344D6A7DA579}"/>
    <cellStyle name="Note 2 3 6 3 3" xfId="6220" xr:uid="{73439F0E-559E-48DB-8CE5-027B36CD8A62}"/>
    <cellStyle name="Note 2 3 6 3 4" xfId="5165" xr:uid="{E9156794-2D0A-46EF-BCA5-455120F30EE9}"/>
    <cellStyle name="Note 2 3 6 3 5" xfId="9108" xr:uid="{5F3A3F05-229D-4C49-A478-F6F75A951206}"/>
    <cellStyle name="Note 2 3 6 3 6" xfId="10854" xr:uid="{443D97C6-35F3-488E-83EF-7DE46E8082F4}"/>
    <cellStyle name="Note 2 3 6 3 7" xfId="5710" xr:uid="{3089A903-CFDD-4760-B79B-448A2D3310C9}"/>
    <cellStyle name="Note 2 3 6 3 8" xfId="13751" xr:uid="{BB1E1EAE-A702-4400-9C96-859A9CA36C09}"/>
    <cellStyle name="Note 2 3 6 3 9" xfId="15442" xr:uid="{04A53FFA-106F-430D-82F9-1E47B27AC700}"/>
    <cellStyle name="Note 2 3 6 4" xfId="4294" xr:uid="{712D9D0D-B60E-4529-AB74-6F0349108833}"/>
    <cellStyle name="Note 2 3 6 4 2" xfId="6821" xr:uid="{57362AE0-7FB6-43E5-9DBD-B931D95F347D}"/>
    <cellStyle name="Note 2 3 6 4 3" xfId="8216" xr:uid="{FFA4A631-F904-427B-8FDD-F49A82B7E9D0}"/>
    <cellStyle name="Note 2 3 6 4 4" xfId="9911" xr:uid="{6A55C092-F134-4945-A231-10074D5461ED}"/>
    <cellStyle name="Note 2 3 6 4 5" xfId="11442" xr:uid="{4846C47B-0E85-4C1A-9D06-988FC55988D8}"/>
    <cellStyle name="Note 2 3 6 4 6" xfId="12893" xr:uid="{2D75B380-2431-441F-8F4B-30DAAFC9660D}"/>
    <cellStyle name="Note 2 3 6 4 7" xfId="14554" xr:uid="{9F1214F1-6099-46A3-9032-2959E265CA81}"/>
    <cellStyle name="Note 2 3 6 4 8" xfId="16233" xr:uid="{076ECF78-14AC-4546-8765-72687DAA260A}"/>
    <cellStyle name="Note 2 3 6 5" xfId="5930" xr:uid="{7DB3DD73-4063-4B9B-BBFA-14AEF14FB4F9}"/>
    <cellStyle name="Note 2 3 6 6" xfId="5099" xr:uid="{2B02DD6B-50EC-4EF5-B5ED-15E95B3129D2}"/>
    <cellStyle name="Note 2 3 6 7" xfId="5791" xr:uid="{14EC3516-BFDD-4619-8A90-EEC7591640E3}"/>
    <cellStyle name="Note 2 3 6 8" xfId="5477" xr:uid="{CA339E85-E20A-452E-A790-82C30BDAAAEA}"/>
    <cellStyle name="Note 2 3 6 9" xfId="6311" xr:uid="{24C74E0F-E709-4CEC-92A6-BCED387C1AD9}"/>
    <cellStyle name="Note 2 3 7" xfId="3190" xr:uid="{93AAA280-8028-4FCB-8A0A-F24AAB42AA03}"/>
    <cellStyle name="Note 2 3 7 10" xfId="10715" xr:uid="{5E2C890F-D290-4FDF-8166-9FC7A354D80D}"/>
    <cellStyle name="Note 2 3 7 2" xfId="4070" xr:uid="{63EF4EF7-E798-419A-A9BE-0AEF69E1A7EC}"/>
    <cellStyle name="Note 2 3 7 2 2" xfId="4892" xr:uid="{8F049ECD-C08A-4A03-8653-B203F5023E77}"/>
    <cellStyle name="Note 2 3 7 2 2 2" xfId="7387" xr:uid="{360EE165-681A-41E1-A860-267A48B76D50}"/>
    <cellStyle name="Note 2 3 7 2 2 3" xfId="8799" xr:uid="{8FC5545F-432F-434B-BCC0-0AE4F7EB1217}"/>
    <cellStyle name="Note 2 3 7 2 2 4" xfId="10509" xr:uid="{FADBC8F7-4C8E-4024-9031-239A8D0A69DE}"/>
    <cellStyle name="Note 2 3 7 2 2 5" xfId="12005" xr:uid="{B37D8946-3D39-4740-93D6-B04431FA1DBF}"/>
    <cellStyle name="Note 2 3 7 2 2 6" xfId="13476" xr:uid="{B29D6029-F37A-4BC4-81E1-97D9409CC830}"/>
    <cellStyle name="Note 2 3 7 2 2 7" xfId="15152" xr:uid="{2717B01B-3221-41E8-A16A-EDA50451956B}"/>
    <cellStyle name="Note 2 3 7 2 2 8" xfId="16816" xr:uid="{7D0B92D8-8EE0-4566-9EEB-7843FAC1EC09}"/>
    <cellStyle name="Note 2 3 7 2 3" xfId="6659" xr:uid="{C323A5FE-DAD0-463F-8901-0CC85E788136}"/>
    <cellStyle name="Note 2 3 7 2 4" xfId="7995" xr:uid="{843AFCC1-B7C8-4EE8-BE80-00AF1FF372D0}"/>
    <cellStyle name="Note 2 3 7 2 5" xfId="9689" xr:uid="{D588F93A-0260-4A9C-BF04-D17D39D19B85}"/>
    <cellStyle name="Note 2 3 7 2 6" xfId="11286" xr:uid="{0B62175D-674B-4C93-97FC-785A6C0CD017}"/>
    <cellStyle name="Note 2 3 7 2 7" xfId="12674" xr:uid="{3169D172-0725-4C0B-89D7-697AE754FA48}"/>
    <cellStyle name="Note 2 3 7 2 8" xfId="14332" xr:uid="{088C291C-18D2-4957-843A-D82F99F4A881}"/>
    <cellStyle name="Note 2 3 7 2 9" xfId="16014" xr:uid="{B22D5B23-E64F-4A98-A03C-7135D8FE57FF}"/>
    <cellStyle name="Note 2 3 7 3" xfId="3632" xr:uid="{9225C2BC-8FDF-46C0-97B9-7FDBA0A9F2F4}"/>
    <cellStyle name="Note 2 3 7 3 2" xfId="4606" xr:uid="{6B0F1C74-D875-4889-8FD2-D30B7D347E0C}"/>
    <cellStyle name="Note 2 3 7 3 2 2" xfId="7101" xr:uid="{055344C5-E92F-430E-8DD1-B453C299B545}"/>
    <cellStyle name="Note 2 3 7 3 2 3" xfId="8519" xr:uid="{73CF5D60-6BC2-4B02-B625-AD6DC3CE06CD}"/>
    <cellStyle name="Note 2 3 7 3 2 4" xfId="10223" xr:uid="{0B7E7C0C-1FE8-4EA3-BBD7-34BBC9510C25}"/>
    <cellStyle name="Note 2 3 7 3 2 5" xfId="11719" xr:uid="{66C714A7-1520-4FC8-B34C-49EEEDA69532}"/>
    <cellStyle name="Note 2 3 7 3 2 6" xfId="13196" xr:uid="{CD34FDE4-5F84-4860-A50B-428FFA2DDBAC}"/>
    <cellStyle name="Note 2 3 7 3 2 7" xfId="14866" xr:uid="{3389D9A7-1CAC-47B8-A33B-7954A8AA9EBC}"/>
    <cellStyle name="Note 2 3 7 3 2 8" xfId="16536" xr:uid="{F6B26D5B-9F00-49DB-A3F4-30D8DF0200E4}"/>
    <cellStyle name="Note 2 3 7 3 3" xfId="6332" xr:uid="{D612EB20-4F18-40D1-870C-B4D35A9F9A76}"/>
    <cellStyle name="Note 2 3 7 3 4" xfId="7563" xr:uid="{1F3F5F85-616A-4F10-A418-FDE7463D82A0}"/>
    <cellStyle name="Note 2 3 7 3 5" xfId="9251" xr:uid="{C89F1254-55BC-46E2-A735-09E690B9ECEB}"/>
    <cellStyle name="Note 2 3 7 3 6" xfId="10959" xr:uid="{CA84DDBD-E6DE-41A4-AE7F-D11AD2BE1288}"/>
    <cellStyle name="Note 2 3 7 3 7" xfId="12242" xr:uid="{311BA12A-CBC9-4B0E-BFF3-6E4B91B615EA}"/>
    <cellStyle name="Note 2 3 7 3 8" xfId="13894" xr:uid="{3ACAB21A-0569-41B4-962D-D7C85E226B9D}"/>
    <cellStyle name="Note 2 3 7 3 9" xfId="15582" xr:uid="{62AF7FDA-4F36-4ECF-9CA6-7A50EBF2A156}"/>
    <cellStyle name="Note 2 3 7 4" xfId="4351" xr:uid="{1D2A8F0E-D98D-4FA6-8B35-806A0FAA2AF8}"/>
    <cellStyle name="Note 2 3 7 4 2" xfId="6868" xr:uid="{FD98F11F-E1E3-4F8A-B8D2-3CF574FA4E63}"/>
    <cellStyle name="Note 2 3 7 4 3" xfId="8270" xr:uid="{D6CD1051-1451-4027-BEBB-116EE868DF42}"/>
    <cellStyle name="Note 2 3 7 4 4" xfId="9968" xr:uid="{2ECD6A98-1DE2-4C40-BF41-92374492AAED}"/>
    <cellStyle name="Note 2 3 7 4 5" xfId="11487" xr:uid="{7103EAC5-AD82-43D4-89B8-591EAC314EA6}"/>
    <cellStyle name="Note 2 3 7 4 6" xfId="12947" xr:uid="{F3779AFA-877E-44BE-A6EB-ECE545F2D3B6}"/>
    <cellStyle name="Note 2 3 7 4 7" xfId="14611" xr:uid="{4593F82C-040C-4AEC-A9E7-E9D5F5AD5874}"/>
    <cellStyle name="Note 2 3 7 4 8" xfId="16287" xr:uid="{F5B4189B-5F89-4D6E-A050-EFB080F506DF}"/>
    <cellStyle name="Note 2 3 7 5" xfId="6017" xr:uid="{79233683-0516-41BE-80CD-7E4BA7696BF2}"/>
    <cellStyle name="Note 2 3 7 6" xfId="5235" xr:uid="{D421DD53-6A6B-48F9-91D9-2387ACA48F87}"/>
    <cellStyle name="Note 2 3 7 7" xfId="10663" xr:uid="{B991CD88-53F9-426B-9FA1-E295FAA1E5C7}"/>
    <cellStyle name="Note 2 3 7 8" xfId="5507" xr:uid="{154E3423-9A8A-4D27-B28E-B0BB5ADD1C70}"/>
    <cellStyle name="Note 2 3 7 9" xfId="10735" xr:uid="{5A791CA1-B868-4255-A47C-EE23D00F68B0}"/>
    <cellStyle name="Note 2 3 8" xfId="3363" xr:uid="{6202B1B7-58A4-4ADC-9111-FD60A82FC9DE}"/>
    <cellStyle name="Note 2 3 8 10" xfId="15320" xr:uid="{C1BC0A5E-B4BF-4C2A-8948-19EB78D9E533}"/>
    <cellStyle name="Note 2 3 8 2" xfId="4243" xr:uid="{817E8186-65B5-4059-B1CC-3CBDB9327424}"/>
    <cellStyle name="Note 2 3 8 2 2" xfId="4999" xr:uid="{731AC1B0-1181-43E4-A792-986A87D7E90B}"/>
    <cellStyle name="Note 2 3 8 2 2 2" xfId="7494" xr:uid="{FC867CC6-9DC5-4C03-AE06-733523E7E143}"/>
    <cellStyle name="Note 2 3 8 2 2 3" xfId="8904" xr:uid="{C82909C4-221B-44DD-AC72-3B48C3CE097A}"/>
    <cellStyle name="Note 2 3 8 2 2 4" xfId="10616" xr:uid="{6CF46F55-C738-4F60-BA21-07A2E9C7EA25}"/>
    <cellStyle name="Note 2 3 8 2 2 5" xfId="12112" xr:uid="{4416980A-6DF5-4CC7-8305-0C08E871FF5F}"/>
    <cellStyle name="Note 2 3 8 2 2 6" xfId="13581" xr:uid="{B7C8DD40-E4B5-4593-80BB-7007491D9D48}"/>
    <cellStyle name="Note 2 3 8 2 2 7" xfId="15259" xr:uid="{07DBD430-9A40-404F-AF62-B6AB0E99B5C1}"/>
    <cellStyle name="Note 2 3 8 2 2 8" xfId="16921" xr:uid="{BB40E694-671F-4892-BC14-DDF918B5DA89}"/>
    <cellStyle name="Note 2 3 8 2 3" xfId="6785" xr:uid="{A67DFC87-452B-4471-850F-5F1D88FC67C1}"/>
    <cellStyle name="Note 2 3 8 2 4" xfId="8166" xr:uid="{7954A5FF-CCA9-406B-9F55-86913E91C32D}"/>
    <cellStyle name="Note 2 3 8 2 5" xfId="9862" xr:uid="{D5539378-EF73-42D0-B3DB-C705F1516F16}"/>
    <cellStyle name="Note 2 3 8 2 6" xfId="11405" xr:uid="{ED4D13FB-3883-4E73-9159-001F150567AA}"/>
    <cellStyle name="Note 2 3 8 2 7" xfId="12845" xr:uid="{43E87478-4AF6-4347-9770-7464E478FE4B}"/>
    <cellStyle name="Note 2 3 8 2 8" xfId="14505" xr:uid="{88B9A060-DF66-4064-B86A-E8A627D98560}"/>
    <cellStyle name="Note 2 3 8 2 9" xfId="16185" xr:uid="{A9B20D06-48A6-4214-A652-A03267B4A1A7}"/>
    <cellStyle name="Note 2 3 8 3" xfId="3803" xr:uid="{C7DBC86E-5994-4D2F-B000-460991BF0936}"/>
    <cellStyle name="Note 2 3 8 3 2" xfId="4711" xr:uid="{969F6984-C652-459B-9663-BEB5E772A9F3}"/>
    <cellStyle name="Note 2 3 8 3 2 2" xfId="7206" xr:uid="{8B2331F5-AE0D-4B2D-9105-18F0921FC75F}"/>
    <cellStyle name="Note 2 3 8 3 2 3" xfId="8624" xr:uid="{A683778A-008D-432A-BD73-F15DA87091BB}"/>
    <cellStyle name="Note 2 3 8 3 2 4" xfId="10328" xr:uid="{58E289F4-7621-480C-94A0-47C06D64A756}"/>
    <cellStyle name="Note 2 3 8 3 2 5" xfId="11824" xr:uid="{D524CF6D-178D-4F47-8F14-841C69D77EEF}"/>
    <cellStyle name="Note 2 3 8 3 2 6" xfId="13301" xr:uid="{2176C342-FE4C-483B-95FE-7A762F0B6427}"/>
    <cellStyle name="Note 2 3 8 3 2 7" xfId="14971" xr:uid="{B26AD41F-16E1-4CD9-9092-CAE62281A9CC}"/>
    <cellStyle name="Note 2 3 8 3 2 8" xfId="16641" xr:uid="{F4C543DC-8156-4EF4-84BD-472949A7A889}"/>
    <cellStyle name="Note 2 3 8 3 3" xfId="6456" xr:uid="{D260BAEF-5A18-4593-92F1-6505F005BBD7}"/>
    <cellStyle name="Note 2 3 8 3 4" xfId="7734" xr:uid="{3B51EAB7-FEAC-4335-9CD8-C6C4422EC681}"/>
    <cellStyle name="Note 2 3 8 3 5" xfId="9422" xr:uid="{2EF24A6C-0F2A-4802-A456-12818A23E41C}"/>
    <cellStyle name="Note 2 3 8 3 6" xfId="11085" xr:uid="{A64283AC-C565-489D-8FBA-D43B7FDA8507}"/>
    <cellStyle name="Note 2 3 8 3 7" xfId="12413" xr:uid="{9A85F556-D7BB-400E-94AD-4BCBB4A52A72}"/>
    <cellStyle name="Note 2 3 8 3 8" xfId="14065" xr:uid="{5238C9E5-0F18-413B-9BAD-626EB6746F6A}"/>
    <cellStyle name="Note 2 3 8 3 9" xfId="15753" xr:uid="{BCC293BA-1944-41B3-99B6-13FC989D8B90}"/>
    <cellStyle name="Note 2 3 8 4" xfId="4419" xr:uid="{7EB4D83D-70F1-4415-B851-CAEB86C76CDA}"/>
    <cellStyle name="Note 2 3 8 4 2" xfId="6920" xr:uid="{381F449B-668F-4C83-9296-8A6A982B6835}"/>
    <cellStyle name="Note 2 3 8 4 3" xfId="8336" xr:uid="{3CA07D76-DE8A-4F97-BD22-89AE48CC678E}"/>
    <cellStyle name="Note 2 3 8 4 4" xfId="10036" xr:uid="{BDFC779D-DEB8-47D2-B985-D88133370154}"/>
    <cellStyle name="Note 2 3 8 4 5" xfId="11537" xr:uid="{852A5791-24C5-4249-B7BF-2938AF022F4C}"/>
    <cellStyle name="Note 2 3 8 4 6" xfId="13013" xr:uid="{E5EC2BBF-C3AB-43EC-8D2E-0912EE294406}"/>
    <cellStyle name="Note 2 3 8 4 7" xfId="14679" xr:uid="{F74B6E72-6C18-4B68-8636-3991F08EA972}"/>
    <cellStyle name="Note 2 3 8 4 8" xfId="16353" xr:uid="{BCF44055-5490-4BFD-9FC5-5C19A275D011}"/>
    <cellStyle name="Note 2 3 8 5" xfId="6121" xr:uid="{DD2A7187-8249-42E7-A424-57CCBD417F27}"/>
    <cellStyle name="Note 2 3 8 6" xfId="5769" xr:uid="{587C377C-0905-4341-8CF1-3628997AEA02}"/>
    <cellStyle name="Note 2 3 8 7" xfId="10753" xr:uid="{66FF7E3E-3E05-443D-A183-2EFB8E7930A4}"/>
    <cellStyle name="Note 2 3 8 8" xfId="10713" xr:uid="{723D5BF0-5A9D-4F02-AC94-6EC976D294B2}"/>
    <cellStyle name="Note 2 3 8 9" xfId="13629" xr:uid="{7B97623A-9A1C-45F7-92CA-0C632C7BC03E}"/>
    <cellStyle name="Note 2 3 9" xfId="3860" xr:uid="{90628BD8-E4A0-4350-9389-B2C2670B9B99}"/>
    <cellStyle name="Note 2 3 9 2" xfId="4755" xr:uid="{27EFB34B-E432-459E-BA62-BE1675E96864}"/>
    <cellStyle name="Note 2 3 9 2 2" xfId="7250" xr:uid="{D287D7B4-D691-44FB-B4E1-773C6D57F541}"/>
    <cellStyle name="Note 2 3 9 2 3" xfId="8666" xr:uid="{25BE6B44-B49C-468F-A1B5-1DEE88512D8C}"/>
    <cellStyle name="Note 2 3 9 2 4" xfId="10372" xr:uid="{57DB5E1D-0F18-47FA-B75D-00237ECA6B46}"/>
    <cellStyle name="Note 2 3 9 2 5" xfId="11868" xr:uid="{F42E1ADB-AA6B-49FD-A691-CBD2DF42911B}"/>
    <cellStyle name="Note 2 3 9 2 6" xfId="13343" xr:uid="{D2EF228A-6D20-428C-B099-F9F546AC1404}"/>
    <cellStyle name="Note 2 3 9 2 7" xfId="15015" xr:uid="{4BA52615-011F-45F7-910A-638342460556}"/>
    <cellStyle name="Note 2 3 9 2 8" xfId="16683" xr:uid="{76C7815B-C6D6-45E1-A5DA-3A43A4F18B27}"/>
    <cellStyle name="Note 2 3 9 3" xfId="6503" xr:uid="{B666F0EB-23BB-4E38-A774-63EBBCFC0578}"/>
    <cellStyle name="Note 2 3 9 4" xfId="7789" xr:uid="{7DFC639E-40C6-4EBD-934E-EA241D54E9B9}"/>
    <cellStyle name="Note 2 3 9 5" xfId="9479" xr:uid="{E656B07D-9320-418F-887B-1793CB036ABD}"/>
    <cellStyle name="Note 2 3 9 6" xfId="11133" xr:uid="{D158D118-EAB1-4CDC-854D-B3F6DA60C156}"/>
    <cellStyle name="Note 2 3 9 7" xfId="12468" xr:uid="{AFF5A0A6-C55B-4B7F-8C0E-8914AF81D7F7}"/>
    <cellStyle name="Note 2 3 9 8" xfId="14122" xr:uid="{1CCE86DD-7274-4B9F-9005-254DAD1774F6}"/>
    <cellStyle name="Note 2 3 9 9" xfId="15808" xr:uid="{495081B8-C18D-4C04-9B1D-8A3AAD220781}"/>
    <cellStyle name="Note 2 4" xfId="3104" xr:uid="{228A3FA6-5658-4965-8C18-FAA55C58A48F}"/>
    <cellStyle name="Note 2 4 2" xfId="3984" xr:uid="{D894455A-8221-4C01-A8A2-D6C841772939}"/>
    <cellStyle name="Note 2 4 2 2" xfId="4836" xr:uid="{EC1FD545-45D3-4FFC-ADE2-79814A2AC340}"/>
    <cellStyle name="Note 2 4 2 2 2" xfId="7331" xr:uid="{7745883F-BBB2-4CC9-B75A-08339BD22E98}"/>
    <cellStyle name="Note 2 4 2 2 3" xfId="8744" xr:uid="{2DD5A645-D521-4E80-8037-7BCE548F8448}"/>
    <cellStyle name="Note 2 4 2 2 4" xfId="10453" xr:uid="{6E45B1BC-A392-46EA-9F88-C6DF14798D54}"/>
    <cellStyle name="Note 2 4 2 2 5" xfId="11949" xr:uid="{2EE63795-5BC8-4AE8-8404-7906AED90214}"/>
    <cellStyle name="Note 2 4 2 2 6" xfId="13421" xr:uid="{9FB29514-3E40-4339-B2FF-AAE44633F45B}"/>
    <cellStyle name="Note 2 4 2 2 7" xfId="15096" xr:uid="{CB2464F6-7FF3-4572-8627-A6AD721427CF}"/>
    <cellStyle name="Note 2 4 2 2 8" xfId="16761" xr:uid="{B82F923B-E918-4F05-904A-54356C95B941}"/>
    <cellStyle name="Note 2 4 2 3" xfId="6596" xr:uid="{24F5879D-53C2-4013-8C79-06DF76A48223}"/>
    <cellStyle name="Note 2 4 2 4" xfId="7910" xr:uid="{C672ECD4-71E9-4913-95BF-80D73DAA1125}"/>
    <cellStyle name="Note 2 4 2 5" xfId="9603" xr:uid="{5C25351E-2B96-49AF-A65C-63C9073343A4}"/>
    <cellStyle name="Note 2 4 2 6" xfId="11223" xr:uid="{864C21E3-49D2-4E31-9028-DC7AD02FB248}"/>
    <cellStyle name="Note 2 4 2 7" xfId="12589" xr:uid="{04D75CAB-73EF-4261-87A3-B2D92124055F}"/>
    <cellStyle name="Note 2 4 2 8" xfId="14246" xr:uid="{3B462CA3-E9E9-486A-A506-E21B18D1FAA6}"/>
    <cellStyle name="Note 2 4 2 9" xfId="15929" xr:uid="{8D66B8DA-E038-4712-A019-0DD96AD27F8D}"/>
    <cellStyle name="Note 2 4 3" xfId="3546" xr:uid="{3F8EA1C8-6E5B-46D0-AF8B-36A2AA7932EA}"/>
    <cellStyle name="Note 2 4 3 2" xfId="4550" xr:uid="{329F52C9-1FD4-4FE0-AA2A-C27996B0F229}"/>
    <cellStyle name="Note 2 4 3 2 2" xfId="7045" xr:uid="{28D46D1C-B427-4CBA-95B9-0E0AD0B60631}"/>
    <cellStyle name="Note 2 4 3 2 3" xfId="8464" xr:uid="{5BA478F3-5A42-4591-A21C-A8FF70C6E0D6}"/>
    <cellStyle name="Note 2 4 3 2 4" xfId="10167" xr:uid="{8EF5C352-8885-4B95-B754-610A5A6D8BAC}"/>
    <cellStyle name="Note 2 4 3 2 5" xfId="11663" xr:uid="{72258C95-E93E-405E-B19E-C54235A6E2DB}"/>
    <cellStyle name="Note 2 4 3 2 6" xfId="13141" xr:uid="{24704EE2-7EDA-4DC7-8C0C-D1F66D63F6A9}"/>
    <cellStyle name="Note 2 4 3 2 7" xfId="14810" xr:uid="{6318CE8C-2B45-4B51-A4E3-6F096F7F83DC}"/>
    <cellStyle name="Note 2 4 3 2 8" xfId="16481" xr:uid="{EBABFF5B-4D80-4B2A-80DD-86FA188620EE}"/>
    <cellStyle name="Note 2 4 3 3" xfId="6266" xr:uid="{D25F57C6-BFD4-4C24-A8A1-C37F1DC30A6F}"/>
    <cellStyle name="Note 2 4 3 4" xfId="5056" xr:uid="{EBC4D329-5A66-489A-BC71-8B3F5E249B3F}"/>
    <cellStyle name="Note 2 4 3 5" xfId="9165" xr:uid="{B8993BBB-FF6D-44A7-8647-6844E58A4AD7}"/>
    <cellStyle name="Note 2 4 3 6" xfId="10896" xr:uid="{5BD69FD3-925D-4943-9F67-77F06D0C00B2}"/>
    <cellStyle name="Note 2 4 3 7" xfId="12157" xr:uid="{828E1DBE-0C7F-4A3D-AD3A-63C6AD1D4178}"/>
    <cellStyle name="Note 2 4 3 8" xfId="13808" xr:uid="{19ADB25A-AEE5-44BB-B16F-17A20AA688C7}"/>
    <cellStyle name="Note 2 4 3 9" xfId="15497" xr:uid="{564322DC-D7B7-4D1D-B908-64E668281C21}"/>
    <cellStyle name="Note 2 4 4" xfId="6312" xr:uid="{00A90281-FDD4-4B9C-9CBE-CA2C7216C088}"/>
    <cellStyle name="Note 2 5" xfId="3055" xr:uid="{0899FE4B-B62D-4B06-9FDA-4A5C3589FC48}"/>
    <cellStyle name="Note 2 5 10" xfId="10902" xr:uid="{A3C4BD61-3AA0-4446-A0B8-230B29080038}"/>
    <cellStyle name="Note 2 5 2" xfId="3935" xr:uid="{7B50408D-59E9-4D66-BB0D-82F827C3B8A8}"/>
    <cellStyle name="Note 2 5 2 2" xfId="4804" xr:uid="{6B13BB93-D907-4361-BB35-367D7E58BC52}"/>
    <cellStyle name="Note 2 5 2 2 2" xfId="7299" xr:uid="{B382DF8A-C832-49D4-875D-2E12AECF9B38}"/>
    <cellStyle name="Note 2 5 2 2 3" xfId="8714" xr:uid="{460F87A8-0A02-45E7-AFEC-B085FCC75D24}"/>
    <cellStyle name="Note 2 5 2 2 4" xfId="10421" xr:uid="{258D2AC7-E7A5-48AB-B51D-73F3064872E2}"/>
    <cellStyle name="Note 2 5 2 2 5" xfId="11917" xr:uid="{EBDA9BA9-3250-4A53-B304-7A9C9CE82381}"/>
    <cellStyle name="Note 2 5 2 2 6" xfId="13391" xr:uid="{236A1700-8C71-4D05-A013-A355068BCAB9}"/>
    <cellStyle name="Note 2 5 2 2 7" xfId="15064" xr:uid="{296B391C-CC3B-4B22-9DAF-9C41C5830E45}"/>
    <cellStyle name="Note 2 5 2 2 8" xfId="16731" xr:uid="{F11CBD8E-A93D-4B59-95F2-384CFF0A3AC8}"/>
    <cellStyle name="Note 2 5 2 3" xfId="6559" xr:uid="{C86000B7-42A4-4F94-BC58-438BBF9BF7E9}"/>
    <cellStyle name="Note 2 5 2 4" xfId="7863" xr:uid="{CF6EB181-1C65-458C-A401-2006302D3DBF}"/>
    <cellStyle name="Note 2 5 2 5" xfId="9554" xr:uid="{7B6EB2BD-475B-4F29-A63C-0EF145D5FB2C}"/>
    <cellStyle name="Note 2 5 2 6" xfId="11190" xr:uid="{6DD034DB-0100-487E-9CAB-04B52D71ECE3}"/>
    <cellStyle name="Note 2 5 2 7" xfId="12542" xr:uid="{97102A1F-42DE-42C6-A119-615E76D38AD2}"/>
    <cellStyle name="Note 2 5 2 8" xfId="14197" xr:uid="{47B7751F-E20E-4C7A-ACB7-BE35E3BCBA83}"/>
    <cellStyle name="Note 2 5 2 9" xfId="15882" xr:uid="{CB7C0C0B-9453-40F3-A76A-FAE3D601BBC9}"/>
    <cellStyle name="Note 2 5 3" xfId="3497" xr:uid="{E05CD07F-5A2B-4218-BB1C-3134136F27A7}"/>
    <cellStyle name="Note 2 5 3 2" xfId="4518" xr:uid="{8B9BB3F7-5DB3-4085-9DBF-6494D08C0963}"/>
    <cellStyle name="Note 2 5 3 2 2" xfId="7013" xr:uid="{EB267529-CF8B-425E-B6A2-DE113BAD7BEA}"/>
    <cellStyle name="Note 2 5 3 2 3" xfId="8434" xr:uid="{BE388A9A-FFA4-4A7D-9A71-E2EE1AE2272A}"/>
    <cellStyle name="Note 2 5 3 2 4" xfId="10135" xr:uid="{7DFFC239-92BC-43F2-91FD-8A3A8E797947}"/>
    <cellStyle name="Note 2 5 3 2 5" xfId="11631" xr:uid="{F2F41808-7C4E-4B74-B37F-0E943426D292}"/>
    <cellStyle name="Note 2 5 3 2 6" xfId="13111" xr:uid="{6DFA1982-96EB-48A8-BB8A-57AC010CE5A6}"/>
    <cellStyle name="Note 2 5 3 2 7" xfId="14778" xr:uid="{16DBC249-8F96-4DD5-BF0A-D20310F9D460}"/>
    <cellStyle name="Note 2 5 3 2 8" xfId="16451" xr:uid="{96A44DB7-246A-4AD4-BC4E-A2DCEF741C71}"/>
    <cellStyle name="Note 2 5 3 3" xfId="6228" xr:uid="{B71EC166-A64F-46D1-88FF-94F9A9276652}"/>
    <cellStyle name="Note 2 5 3 4" xfId="5159" xr:uid="{703E92C0-460C-4F8E-8A17-EB26C11504D9}"/>
    <cellStyle name="Note 2 5 3 5" xfId="9116" xr:uid="{30D0A2A8-9E7C-45DB-A222-ED07F48E3074}"/>
    <cellStyle name="Note 2 5 3 6" xfId="10862" xr:uid="{7FCAA98F-0C4B-4911-A906-95B42B057307}"/>
    <cellStyle name="Note 2 5 3 7" xfId="5522" xr:uid="{8F250708-97E8-4554-B025-DDE1E2426996}"/>
    <cellStyle name="Note 2 5 3 8" xfId="13759" xr:uid="{C81F7D5C-3BA1-4FD0-A43A-96A2DF763E85}"/>
    <cellStyle name="Note 2 5 3 9" xfId="15450" xr:uid="{6DE63B07-B7CC-424C-9406-24604DD9CBF8}"/>
    <cellStyle name="Note 2 5 4" xfId="4297" xr:uid="{1685096E-D93F-44F2-A53F-623143C99C0A}"/>
    <cellStyle name="Note 2 5 4 2" xfId="6824" xr:uid="{5509586C-262F-41B6-81FE-1FEFC69526F9}"/>
    <cellStyle name="Note 2 5 4 3" xfId="8219" xr:uid="{F98D4D13-DDA9-40F0-A5C6-FAEED7C05739}"/>
    <cellStyle name="Note 2 5 4 4" xfId="9914" xr:uid="{52C663C7-2FEF-4025-9A66-ACB773B5197D}"/>
    <cellStyle name="Note 2 5 4 5" xfId="11445" xr:uid="{34B8769C-5253-468D-9392-05425B133F2D}"/>
    <cellStyle name="Note 2 5 4 6" xfId="12896" xr:uid="{AF948598-9280-4185-9D60-D58F9F9C6EC6}"/>
    <cellStyle name="Note 2 5 4 7" xfId="14557" xr:uid="{F54A3ADE-B857-4842-869C-B6EDF74A8CCA}"/>
    <cellStyle name="Note 2 5 4 8" xfId="16236" xr:uid="{9908B6F8-61E9-4325-BFFD-F05A39D5FFC1}"/>
    <cellStyle name="Note 2 5 5" xfId="5935" xr:uid="{562497C6-1C95-4C36-BC36-2FD9B4F4B4AA}"/>
    <cellStyle name="Note 2 5 6" xfId="5730" xr:uid="{917BACE0-5482-4FB0-BF28-3B9D32B8D3EE}"/>
    <cellStyle name="Note 2 5 7" xfId="5871" xr:uid="{BF7AE8D2-FAC2-4875-AD39-97B4F4BA3670}"/>
    <cellStyle name="Note 2 5 8" xfId="5438" xr:uid="{0E6D3716-BAA9-485D-99BC-75EDF5A31A97}"/>
    <cellStyle name="Note 2 5 9" xfId="5478" xr:uid="{B1EEC207-84D9-4D30-9A80-A031264D6377}"/>
    <cellStyle name="Note 2 6" xfId="3207" xr:uid="{757E45D5-A5EA-4471-90E8-3785AE995A17}"/>
    <cellStyle name="Note 2 6 10" xfId="11517" xr:uid="{AF441897-61AC-40AF-84F2-ACD81668F745}"/>
    <cellStyle name="Note 2 6 2" xfId="4087" xr:uid="{782AFB29-FED1-4C96-92E2-27E8AA8E1467}"/>
    <cellStyle name="Note 2 6 2 2" xfId="4903" xr:uid="{D4739B2A-620D-4825-8FE7-8D5043ADACD6}"/>
    <cellStyle name="Note 2 6 2 2 2" xfId="7398" xr:uid="{E6282837-F69E-4347-8AE1-9DB84A195A21}"/>
    <cellStyle name="Note 2 6 2 2 3" xfId="8810" xr:uid="{5AC6A89F-27EE-49E3-81B4-930CD3DEEB6D}"/>
    <cellStyle name="Note 2 6 2 2 4" xfId="10520" xr:uid="{56FBABBA-CD55-471C-8F2E-2A7C75A54C56}"/>
    <cellStyle name="Note 2 6 2 2 5" xfId="12016" xr:uid="{DC9F7189-B942-4E08-AF7E-96D0E757ACDE}"/>
    <cellStyle name="Note 2 6 2 2 6" xfId="13487" xr:uid="{3601FDE9-D968-427C-B4AB-67389F7FEDD8}"/>
    <cellStyle name="Note 2 6 2 2 7" xfId="15163" xr:uid="{5F3D6408-5BC7-447F-A194-7D962E2BA583}"/>
    <cellStyle name="Note 2 6 2 2 8" xfId="16827" xr:uid="{D738605F-EEC7-4F58-87AE-593E6242FDAA}"/>
    <cellStyle name="Note 2 6 2 3" xfId="6671" xr:uid="{49E92168-C457-45F5-BD6B-A3B206D71C34}"/>
    <cellStyle name="Note 2 6 2 4" xfId="8012" xr:uid="{C008E0D8-7426-4755-BB4A-4A5995EB2B2E}"/>
    <cellStyle name="Note 2 6 2 5" xfId="9706" xr:uid="{A03308AF-CE9B-433F-B3E9-E23E43A69F8A}"/>
    <cellStyle name="Note 2 6 2 6" xfId="11299" xr:uid="{A3D3677B-2FDD-4DD9-B8D9-875A373F720E}"/>
    <cellStyle name="Note 2 6 2 7" xfId="12691" xr:uid="{FB0AE166-D219-4A0C-AAF2-74E4D0A0DBCC}"/>
    <cellStyle name="Note 2 6 2 8" xfId="14349" xr:uid="{A53F3C35-E770-418F-B557-89869B572757}"/>
    <cellStyle name="Note 2 6 2 9" xfId="16031" xr:uid="{CF8347BD-8B59-456E-9FFC-B0B5C56D15E9}"/>
    <cellStyle name="Note 2 6 3" xfId="3649" xr:uid="{853D85BE-10A5-4B0D-A707-A137EA92DB0F}"/>
    <cellStyle name="Note 2 6 3 2" xfId="4617" xr:uid="{9BF8E585-4325-4E5D-8777-98C4CEC1B83B}"/>
    <cellStyle name="Note 2 6 3 2 2" xfId="7112" xr:uid="{4385B952-57F1-441C-B948-7DBEF2471DD4}"/>
    <cellStyle name="Note 2 6 3 2 3" xfId="8530" xr:uid="{16A874A5-8D80-4AB9-A773-E21BEA4BA743}"/>
    <cellStyle name="Note 2 6 3 2 4" xfId="10234" xr:uid="{43BDBCF1-1309-4B7B-BCCF-74F218BFB238}"/>
    <cellStyle name="Note 2 6 3 2 5" xfId="11730" xr:uid="{8288ECAE-CD06-4F4E-AB44-F5BD02AFE32C}"/>
    <cellStyle name="Note 2 6 3 2 6" xfId="13207" xr:uid="{C7D4214D-722C-4E53-956E-FF00689C1A0B}"/>
    <cellStyle name="Note 2 6 3 2 7" xfId="14877" xr:uid="{822C9BD7-E53E-4A98-875D-88F73112C028}"/>
    <cellStyle name="Note 2 6 3 2 8" xfId="16547" xr:uid="{8EEC7CD4-D5FD-4368-B660-867BB96F25C2}"/>
    <cellStyle name="Note 2 6 3 3" xfId="6344" xr:uid="{E85C127C-9337-4096-8260-A9F1C9220E41}"/>
    <cellStyle name="Note 2 6 3 4" xfId="7580" xr:uid="{7906C49C-4E67-4D75-8AD2-22155F6AB86E}"/>
    <cellStyle name="Note 2 6 3 5" xfId="9268" xr:uid="{7A2D2BB5-3325-4043-9179-AB6A6607D672}"/>
    <cellStyle name="Note 2 6 3 6" xfId="10971" xr:uid="{2864DF31-D1DE-49F3-9DCA-F9841026715A}"/>
    <cellStyle name="Note 2 6 3 7" xfId="12259" xr:uid="{C84F0029-F560-4FE5-8E98-66A215BE2607}"/>
    <cellStyle name="Note 2 6 3 8" xfId="13911" xr:uid="{75595DEF-1B78-4C1A-BD77-0EFC9C3D574C}"/>
    <cellStyle name="Note 2 6 3 9" xfId="15599" xr:uid="{56C8EE9A-0A7B-462B-8FD8-53AC72BDB457}"/>
    <cellStyle name="Note 2 6 4" xfId="4365" xr:uid="{0EC5B999-7C6D-4626-9AA1-A3D7C21C6127}"/>
    <cellStyle name="Note 2 6 4 2" xfId="6879" xr:uid="{32B4C53E-43E3-4D1B-A5DF-0ACEA3855B5D}"/>
    <cellStyle name="Note 2 6 4 3" xfId="8284" xr:uid="{036FD127-2FBE-4EF1-8C34-7DFBEBAE790A}"/>
    <cellStyle name="Note 2 6 4 4" xfId="9982" xr:uid="{24ECF1B4-1F21-4C1A-AAEB-0B7960B559B9}"/>
    <cellStyle name="Note 2 6 4 5" xfId="11498" xr:uid="{F59CC23C-65A2-4542-9FAF-633BA5367891}"/>
    <cellStyle name="Note 2 6 4 6" xfId="12961" xr:uid="{78A3485E-E18D-47EE-B659-FE0925047865}"/>
    <cellStyle name="Note 2 6 4 7" xfId="14625" xr:uid="{DCAABFC3-EDC6-410D-AF4C-15435AEFE209}"/>
    <cellStyle name="Note 2 6 4 8" xfId="16301" xr:uid="{94DE0E2A-0DE6-4718-8EF5-4ABDE6C26BA8}"/>
    <cellStyle name="Note 2 6 5" xfId="6032" xr:uid="{525F8B4C-2ECF-4913-986A-DA69E3B5AC0F}"/>
    <cellStyle name="Note 2 6 6" xfId="5584" xr:uid="{1FE4FBD3-C3ED-404B-8F44-85B15B423F3C}"/>
    <cellStyle name="Note 2 6 7" xfId="10677" xr:uid="{3D5CAF7A-51E2-408D-90BD-674177561E6C}"/>
    <cellStyle name="Note 2 6 8" xfId="5292" xr:uid="{8C0A571A-4E5F-4FC5-87A8-F72A60881219}"/>
    <cellStyle name="Note 2 6 9" xfId="10942" xr:uid="{B59E2DC9-77C9-4D44-8445-109FF9AA2CBA}"/>
    <cellStyle name="Note 2 7" xfId="3842" xr:uid="{81806560-C8ED-4EE3-B90E-A379AF95EF3B}"/>
    <cellStyle name="Note 2 7 2" xfId="4741" xr:uid="{5365002F-660C-440D-9DAD-01DBAA215DB9}"/>
    <cellStyle name="Note 2 7 2 2" xfId="7236" xr:uid="{C15EE0BF-1114-4A03-A6BB-BD3E26A19822}"/>
    <cellStyle name="Note 2 7 2 3" xfId="8652" xr:uid="{CB40F5A5-10D3-443F-9ACE-1D5B1BC9AB8F}"/>
    <cellStyle name="Note 2 7 2 4" xfId="10358" xr:uid="{1EE0E1E0-FC05-41C1-9B0D-2AD8C89CB22B}"/>
    <cellStyle name="Note 2 7 2 5" xfId="11854" xr:uid="{291E8D29-2D78-4611-B371-D5B87A3B9B3D}"/>
    <cellStyle name="Note 2 7 2 6" xfId="13329" xr:uid="{4E230DFA-6A54-4297-ADBD-488FEB085A7C}"/>
    <cellStyle name="Note 2 7 2 7" xfId="15001" xr:uid="{D1B9C9FB-7F93-4708-9F03-3298F2A4B20A}"/>
    <cellStyle name="Note 2 7 2 8" xfId="16669" xr:uid="{186E711A-B62B-4033-8D94-962547D75869}"/>
    <cellStyle name="Note 2 7 3" xfId="6487" xr:uid="{A167E89C-0529-461D-9F1E-7C7B958D7E93}"/>
    <cellStyle name="Note 2 7 4" xfId="7771" xr:uid="{E99BB8F1-423D-4C80-990E-B4DDEED48B75}"/>
    <cellStyle name="Note 2 7 5" xfId="9461" xr:uid="{23F8747D-C09D-47B9-AA76-D0A607200302}"/>
    <cellStyle name="Note 2 7 6" xfId="11118" xr:uid="{D49F33CF-1C0F-4C52-8DC5-691BD9FFFA3C}"/>
    <cellStyle name="Note 2 7 7" xfId="12450" xr:uid="{D4BED86A-AB9F-4308-9654-C24BB2E537D5}"/>
    <cellStyle name="Note 2 7 8" xfId="14104" xr:uid="{11A57D6A-C184-458A-9CAD-9F0BB673850F}"/>
    <cellStyle name="Note 2 7 9" xfId="15790" xr:uid="{7744B23D-7102-4312-8939-48E774F89DE3}"/>
    <cellStyle name="Note 2 8" xfId="3405" xr:uid="{49FEF6B3-4134-405A-AA10-3031C8C1D62C}"/>
    <cellStyle name="Note 2 8 2" xfId="4456" xr:uid="{FDDC5A14-7ED9-469A-832B-83BEF3852145}"/>
    <cellStyle name="Note 2 8 2 2" xfId="6951" xr:uid="{BE554CD6-A042-492C-ABB9-EDC528F8369A}"/>
    <cellStyle name="Note 2 8 2 3" xfId="8372" xr:uid="{9B77EF3C-74A9-4BE0-B9EF-CBD007AF4868}"/>
    <cellStyle name="Note 2 8 2 4" xfId="10073" xr:uid="{8136E0D8-006D-4F7E-8956-48DDC86DA917}"/>
    <cellStyle name="Note 2 8 2 5" xfId="11569" xr:uid="{C25FA466-474B-41C9-841C-737989219E0F}"/>
    <cellStyle name="Note 2 8 2 6" xfId="13049" xr:uid="{29F5D6B2-FDD7-4972-BD5F-F20FDFBD676F}"/>
    <cellStyle name="Note 2 8 2 7" xfId="14716" xr:uid="{3410CCB5-9A57-4509-B1DF-F42A065008B7}"/>
    <cellStyle name="Note 2 8 2 8" xfId="16389" xr:uid="{653E121D-FE1B-4B11-A534-7384824D4A11}"/>
    <cellStyle name="Note 2 8 3" xfId="6158" xr:uid="{23FF5932-3313-45B5-B3A0-726CCFD7C0E0}"/>
    <cellStyle name="Note 2 8 4" xfId="5213" xr:uid="{B399A09A-F2BB-4E32-A060-714E7B2EA4E2}"/>
    <cellStyle name="Note 2 8 5" xfId="9024" xr:uid="{11D7DE45-188E-4481-A1FC-04D883CD2A06}"/>
    <cellStyle name="Note 2 8 6" xfId="10791" xr:uid="{AE36ACF5-6684-4DF2-AE09-A1E741D820AC}"/>
    <cellStyle name="Note 2 8 7" xfId="5311" xr:uid="{160889E3-EF52-4F06-8DA1-8A0BA41610CF}"/>
    <cellStyle name="Note 2 8 8" xfId="13667" xr:uid="{D249D81F-662C-4F1F-953A-6599E67248F7}"/>
    <cellStyle name="Note 2 8 9" xfId="15358" xr:uid="{1AA16C11-22CB-45CA-B8E7-A39433CFD008}"/>
    <cellStyle name="Note 2 9" xfId="5353" xr:uid="{607B29E5-6264-495F-9198-AFD4BE3D38A3}"/>
    <cellStyle name="Note 3" xfId="1719" xr:uid="{CBBEAB60-064B-4BAA-B61A-AD15806B3073}"/>
    <cellStyle name="Note 3 10" xfId="5853" xr:uid="{116A3D1E-3CF5-476A-B684-7AA47BA1FE4C}"/>
    <cellStyle name="Note 3 2" xfId="2997" xr:uid="{8819BEF8-CC44-4D82-8024-2747CA752889}"/>
    <cellStyle name="Note 3 2 10" xfId="3442" xr:uid="{BE0F75D0-EBB7-4D6B-B015-A4944B0E1C80}"/>
    <cellStyle name="Note 3 2 10 2" xfId="4485" xr:uid="{10857797-04D5-4825-BB2F-5C89F632C8DC}"/>
    <cellStyle name="Note 3 2 10 2 2" xfId="6980" xr:uid="{430C607F-723D-4F9F-8B57-E2D548A9E9AF}"/>
    <cellStyle name="Note 3 2 10 2 3" xfId="8401" xr:uid="{A237ABCD-CC45-43EB-BE97-99181AEA777B}"/>
    <cellStyle name="Note 3 2 10 2 4" xfId="10102" xr:uid="{C4A9346D-BD72-493C-BF51-C60F2E67EA48}"/>
    <cellStyle name="Note 3 2 10 2 5" xfId="11598" xr:uid="{18971DC4-C20C-4A90-B1CA-2BB8812196EF}"/>
    <cellStyle name="Note 3 2 10 2 6" xfId="13078" xr:uid="{19304D8B-50C4-444F-81CC-899572F381BC}"/>
    <cellStyle name="Note 3 2 10 2 7" xfId="14745" xr:uid="{7D402888-EFF5-47C6-80EB-26A95420F0EA}"/>
    <cellStyle name="Note 3 2 10 2 8" xfId="16418" xr:uid="{FB4B1908-3516-4635-8BF9-A0D28877840D}"/>
    <cellStyle name="Note 3 2 10 3" xfId="6189" xr:uid="{AA303EA4-DA0A-49DB-A9AB-BA588DCA6311}"/>
    <cellStyle name="Note 3 2 10 4" xfId="5198" xr:uid="{A543A25A-2E43-485F-93DD-A414D47B67E0}"/>
    <cellStyle name="Note 3 2 10 5" xfId="9061" xr:uid="{A565687E-15EA-4FDE-88D2-E4D709FE1334}"/>
    <cellStyle name="Note 3 2 10 6" xfId="10823" xr:uid="{22B9E49A-AF92-4655-8A0F-29E1121621A5}"/>
    <cellStyle name="Note 3 2 10 7" xfId="5331" xr:uid="{AD623086-7FB9-4BDA-8720-057741C5065B}"/>
    <cellStyle name="Note 3 2 10 8" xfId="13704" xr:uid="{2F3892C2-0BAF-41ED-8B56-020B4E83DCBB}"/>
    <cellStyle name="Note 3 2 10 9" xfId="15395" xr:uid="{A9B2E7C8-7CB7-46A4-9A7A-D9F2FDA3CB16}"/>
    <cellStyle name="Note 3 2 11" xfId="5795" xr:uid="{A4881680-1357-43A7-9BBB-A0261A0594B2}"/>
    <cellStyle name="Note 3 2 12" xfId="5681" xr:uid="{0EBAADC7-3EDD-4AE1-B652-E6AC05B3889B}"/>
    <cellStyle name="Note 3 2 2" xfId="3283" xr:uid="{08539C21-EB83-4A89-891C-964FD9C816C6}"/>
    <cellStyle name="Note 3 2 2 2" xfId="4163" xr:uid="{A3B1ADF3-B64A-4C6B-946C-2EA943E9DF33}"/>
    <cellStyle name="Note 3 2 2 2 2" xfId="4956" xr:uid="{C1444860-149D-42FB-AB06-BB2AC5FA1C60}"/>
    <cellStyle name="Note 3 2 2 2 2 2" xfId="7451" xr:uid="{C34472BF-E472-4AA3-98CD-DD9CD401CDD5}"/>
    <cellStyle name="Note 3 2 2 2 2 3" xfId="8863" xr:uid="{D65735AB-99E9-4309-B5C0-665524EB1EC2}"/>
    <cellStyle name="Note 3 2 2 2 2 4" xfId="10573" xr:uid="{69A3363E-FFA2-45A6-94E1-D6508A3303E8}"/>
    <cellStyle name="Note 3 2 2 2 2 5" xfId="12069" xr:uid="{89564B59-96C7-42D6-A65C-FF2EBF23080B}"/>
    <cellStyle name="Note 3 2 2 2 2 6" xfId="13540" xr:uid="{78FDCDB5-BC59-4E94-B6F3-BC6C99D9E3F0}"/>
    <cellStyle name="Note 3 2 2 2 2 7" xfId="15216" xr:uid="{D0F8CE47-7DAF-4F5B-B4B9-6CBD8344E050}"/>
    <cellStyle name="Note 3 2 2 2 2 8" xfId="16880" xr:uid="{3CD332A0-9146-4CA7-B85A-C4E2E5F923C3}"/>
    <cellStyle name="Note 3 2 2 2 3" xfId="6731" xr:uid="{00FE5374-044A-4842-BD7C-9E236155DE97}"/>
    <cellStyle name="Note 3 2 2 2 4" xfId="8088" xr:uid="{F234563E-A268-4C54-964E-7573BB40EA54}"/>
    <cellStyle name="Note 3 2 2 2 5" xfId="9782" xr:uid="{F0F63363-869E-4E54-A9ED-DC28632D1556}"/>
    <cellStyle name="Note 3 2 2 2 6" xfId="11358" xr:uid="{DDA77B48-DAA5-4075-955A-E4E7F8C939CA}"/>
    <cellStyle name="Note 3 2 2 2 7" xfId="12767" xr:uid="{47D8C8AE-7EE5-4C22-A38B-F8DC08ADD0A5}"/>
    <cellStyle name="Note 3 2 2 2 8" xfId="14425" xr:uid="{2CBD3DBA-876A-4AD7-B416-A5F870A21351}"/>
    <cellStyle name="Note 3 2 2 2 9" xfId="16107" xr:uid="{5AF78D6C-39FC-437E-A6F0-03ACBEE6EA5E}"/>
    <cellStyle name="Note 3 2 2 3" xfId="3725" xr:uid="{4EB0110E-9794-456F-8D63-E2723B5A622C}"/>
    <cellStyle name="Note 3 2 2 3 2" xfId="4670" xr:uid="{CB39F156-7F3B-4783-B05C-30F6E3F7C9C9}"/>
    <cellStyle name="Note 3 2 2 3 2 2" xfId="7165" xr:uid="{80D4ACCA-DE68-4E72-A93B-3F50FE03F6C3}"/>
    <cellStyle name="Note 3 2 2 3 2 3" xfId="8583" xr:uid="{9D188F7B-8DB2-4941-BBA7-5C62BBCE4F9D}"/>
    <cellStyle name="Note 3 2 2 3 2 4" xfId="10287" xr:uid="{53596042-9884-4BA9-827A-A0C64463D8FD}"/>
    <cellStyle name="Note 3 2 2 3 2 5" xfId="11783" xr:uid="{A7C3AD99-0317-42E4-8C8A-018300721814}"/>
    <cellStyle name="Note 3 2 2 3 2 6" xfId="13260" xr:uid="{688FEA8F-80E0-4349-ACE7-308EB2BB48BE}"/>
    <cellStyle name="Note 3 2 2 3 2 7" xfId="14930" xr:uid="{DE6ED81D-6C85-4E6F-A910-98915B4BF7F3}"/>
    <cellStyle name="Note 3 2 2 3 2 8" xfId="16600" xr:uid="{C72875D7-CF79-4367-B5E7-2C3659EDD7B7}"/>
    <cellStyle name="Note 3 2 2 3 3" xfId="6405" xr:uid="{5C081295-98E7-4B89-88BD-BAC3FD613469}"/>
    <cellStyle name="Note 3 2 2 3 4" xfId="7656" xr:uid="{D5C7ED4F-FE2A-402A-9A49-9F3542A5C21F}"/>
    <cellStyle name="Note 3 2 2 3 5" xfId="9344" xr:uid="{204C2697-6BA5-4031-B048-D8BCCE75239E}"/>
    <cellStyle name="Note 3 2 2 3 6" xfId="11031" xr:uid="{FFE285B7-5279-4CEB-9B91-37AD93EC67B4}"/>
    <cellStyle name="Note 3 2 2 3 7" xfId="12335" xr:uid="{C060FF28-6EC1-4672-ACAF-3395E4F42F52}"/>
    <cellStyle name="Note 3 2 2 3 8" xfId="13987" xr:uid="{BCA61364-5B89-4B44-AF69-3DA19E38DEE5}"/>
    <cellStyle name="Note 3 2 2 3 9" xfId="15675" xr:uid="{63152459-A1D0-4329-947D-7980487F6EBE}"/>
    <cellStyle name="Note 3 2 2 4" xfId="8950" xr:uid="{2C0A2E9D-1451-47A1-A071-4A7DD96D1CF7}"/>
    <cellStyle name="Note 3 2 3" xfId="3149" xr:uid="{D2BED963-A5D5-4223-ABD8-777B13588644}"/>
    <cellStyle name="Note 3 2 3 2" xfId="4029" xr:uid="{CC5F2C8D-E427-45BF-8BCF-8847C32CC920}"/>
    <cellStyle name="Note 3 2 3 2 2" xfId="4872" xr:uid="{5520473D-C26A-4EA7-8D8E-92E74395AEC0}"/>
    <cellStyle name="Note 3 2 3 2 2 2" xfId="7367" xr:uid="{04224F74-EB32-48B2-AB25-5586E583462A}"/>
    <cellStyle name="Note 3 2 3 2 2 3" xfId="8780" xr:uid="{F94845DC-E9A0-4238-93D9-77DBE0272128}"/>
    <cellStyle name="Note 3 2 3 2 2 4" xfId="10489" xr:uid="{ABBBF7B6-8E60-4E83-BB06-E829B8D4D6EA}"/>
    <cellStyle name="Note 3 2 3 2 2 5" xfId="11985" xr:uid="{D27D9651-0291-4A04-B9F3-BE5016A955F7}"/>
    <cellStyle name="Note 3 2 3 2 2 6" xfId="13457" xr:uid="{4101B6D5-66D0-46D8-A4A2-B405D6A3F937}"/>
    <cellStyle name="Note 3 2 3 2 2 7" xfId="15132" xr:uid="{71BD191D-9746-4A8E-ABD1-89EA43CDA140}"/>
    <cellStyle name="Note 3 2 3 2 2 8" xfId="16797" xr:uid="{B56498FE-5D6B-4D18-81C0-CB6ED890C446}"/>
    <cellStyle name="Note 3 2 3 2 3" xfId="6633" xr:uid="{397E5CA3-561C-40DA-9FED-2E7EA9232652}"/>
    <cellStyle name="Note 3 2 3 2 4" xfId="7955" xr:uid="{0144F761-20E8-499C-9DD7-E369C6BDBFB5}"/>
    <cellStyle name="Note 3 2 3 2 5" xfId="9648" xr:uid="{2774EE4C-C0E5-43EA-B761-05EAEB220FD2}"/>
    <cellStyle name="Note 3 2 3 2 6" xfId="11259" xr:uid="{E898374F-9A5C-45EF-B29E-754605BB931B}"/>
    <cellStyle name="Note 3 2 3 2 7" xfId="12634" xr:uid="{AE7EFADB-CFF3-478B-B09F-7F88FA3677C0}"/>
    <cellStyle name="Note 3 2 3 2 8" xfId="14291" xr:uid="{6B1267B9-BCB2-4B86-9E9F-F3E2E41613D3}"/>
    <cellStyle name="Note 3 2 3 2 9" xfId="15974" xr:uid="{C39DFC4F-AF08-4F84-A2C8-55B49B0AD854}"/>
    <cellStyle name="Note 3 2 3 3" xfId="3591" xr:uid="{E5C13498-5C34-4ED3-81FE-2398612BB8FE}"/>
    <cellStyle name="Note 3 2 3 3 2" xfId="4586" xr:uid="{BC4C76BF-075A-4DDA-BC3E-B6332C075B9F}"/>
    <cellStyle name="Note 3 2 3 3 2 2" xfId="7081" xr:uid="{3614B5C9-5DAB-4F56-ACF0-75EC6987FDF7}"/>
    <cellStyle name="Note 3 2 3 3 2 3" xfId="8500" xr:uid="{ABBA1E2A-D6B3-4F42-BE3F-58E3922ADDD6}"/>
    <cellStyle name="Note 3 2 3 3 2 4" xfId="10203" xr:uid="{CD095071-CA9F-4FEC-AAA8-E98D77420D4E}"/>
    <cellStyle name="Note 3 2 3 3 2 5" xfId="11699" xr:uid="{3669C93C-2BED-443C-95D0-F1EDB6E99BE1}"/>
    <cellStyle name="Note 3 2 3 3 2 6" xfId="13177" xr:uid="{F16769B6-286D-4430-9B52-25CB78ACA501}"/>
    <cellStyle name="Note 3 2 3 3 2 7" xfId="14846" xr:uid="{55C95D4A-666A-43C2-BA5B-6029DC47B0CF}"/>
    <cellStyle name="Note 3 2 3 3 2 8" xfId="16517" xr:uid="{C970B9E0-DAEA-444A-8B86-C9F7B986706F}"/>
    <cellStyle name="Note 3 2 3 3 3" xfId="6303" xr:uid="{86D4169C-F59D-4670-A50D-90850CC4CE5A}"/>
    <cellStyle name="Note 3 2 3 3 4" xfId="7523" xr:uid="{85209B14-952E-4FD0-8A30-3E9DC6F81A34}"/>
    <cellStyle name="Note 3 2 3 3 5" xfId="9210" xr:uid="{17B8E1A3-A1F3-459D-A414-E3B75F4ED6E2}"/>
    <cellStyle name="Note 3 2 3 3 6" xfId="10934" xr:uid="{C97A3D97-2B97-413F-ADB5-C2708A561E9B}"/>
    <cellStyle name="Note 3 2 3 3 7" xfId="12202" xr:uid="{E20F71D4-EC9C-4F69-82E5-0F9624B7D7B5}"/>
    <cellStyle name="Note 3 2 3 3 8" xfId="13853" xr:uid="{05AB4266-3A86-4346-9213-FBACADF8D24C}"/>
    <cellStyle name="Note 3 2 3 3 9" xfId="15542" xr:uid="{DF2DB20E-A499-4B45-8813-CCEC83A63561}"/>
    <cellStyle name="Note 3 2 3 4" xfId="6218" xr:uid="{B7825418-1217-4ADE-BB79-DC998E302C00}"/>
    <cellStyle name="Note 3 2 4" xfId="3290" xr:uid="{F8A780EE-129C-4074-9D00-880B04EBFEF4}"/>
    <cellStyle name="Note 3 2 4 2" xfId="4170" xr:uid="{C41191CD-63ED-4BCD-88B7-A16D82271E5F}"/>
    <cellStyle name="Note 3 2 4 2 2" xfId="4960" xr:uid="{48E75B93-7515-42C3-8864-6B6A6A55CA35}"/>
    <cellStyle name="Note 3 2 4 2 2 2" xfId="7455" xr:uid="{A3FD09CE-19B4-4FC2-8F3D-46F2897F6AAA}"/>
    <cellStyle name="Note 3 2 4 2 2 3" xfId="8867" xr:uid="{6720F568-E18A-4CA0-A965-E01242C3FB2A}"/>
    <cellStyle name="Note 3 2 4 2 2 4" xfId="10577" xr:uid="{00070206-9ADA-4F5A-9DF6-D5C6F1FE5C49}"/>
    <cellStyle name="Note 3 2 4 2 2 5" xfId="12073" xr:uid="{5804B3BB-0AA7-4582-9E0B-A3EA651D13DA}"/>
    <cellStyle name="Note 3 2 4 2 2 6" xfId="13544" xr:uid="{ABCE660C-7B9D-4280-915B-55601F41DBE2}"/>
    <cellStyle name="Note 3 2 4 2 2 7" xfId="15220" xr:uid="{760CCCE0-B845-4AC5-AF36-080E032AD48D}"/>
    <cellStyle name="Note 3 2 4 2 2 8" xfId="16884" xr:uid="{815F401A-D98A-4C12-8022-95283C31FDD9}"/>
    <cellStyle name="Note 3 2 4 2 3" xfId="6735" xr:uid="{F0E09E92-C078-4AD0-8F3D-1D3D73BC027A}"/>
    <cellStyle name="Note 3 2 4 2 4" xfId="8095" xr:uid="{2B7575C3-26E6-4D24-B3B0-8644153AEE4D}"/>
    <cellStyle name="Note 3 2 4 2 5" xfId="9789" xr:uid="{14485661-A4BA-4499-A6B3-350334CCE111}"/>
    <cellStyle name="Note 3 2 4 2 6" xfId="11363" xr:uid="{8CA6C0A1-2865-4EC9-8725-4D60FC5F9336}"/>
    <cellStyle name="Note 3 2 4 2 7" xfId="12774" xr:uid="{B7FC56C0-3688-451F-8B0D-F5DF198603EE}"/>
    <cellStyle name="Note 3 2 4 2 8" xfId="14432" xr:uid="{B5A7E9A0-D70D-4701-8E9C-32E43066D3F6}"/>
    <cellStyle name="Note 3 2 4 2 9" xfId="16114" xr:uid="{B2E9480E-A10D-4207-AD3B-2C049E36153A}"/>
    <cellStyle name="Note 3 2 4 3" xfId="3732" xr:uid="{88DD642E-A19F-46E3-9A8F-6B0D8FACA56E}"/>
    <cellStyle name="Note 3 2 4 3 2" xfId="4674" xr:uid="{AF3DAD6E-85F7-4E74-9AD9-836FD9E92ED1}"/>
    <cellStyle name="Note 3 2 4 3 2 2" xfId="7169" xr:uid="{ED3D23D0-1DF9-4F2F-B710-CD948D503AA1}"/>
    <cellStyle name="Note 3 2 4 3 2 3" xfId="8587" xr:uid="{52BF3BE2-310C-4E8A-9FEF-7CE6F7A0D31A}"/>
    <cellStyle name="Note 3 2 4 3 2 4" xfId="10291" xr:uid="{52081FC2-0D6B-402E-A291-93EB8938864D}"/>
    <cellStyle name="Note 3 2 4 3 2 5" xfId="11787" xr:uid="{DAD5BAA0-13A5-4F52-884A-83A4E406B68F}"/>
    <cellStyle name="Note 3 2 4 3 2 6" xfId="13264" xr:uid="{54E77198-A5A9-4FF6-918F-8A7B02C7A9AF}"/>
    <cellStyle name="Note 3 2 4 3 2 7" xfId="14934" xr:uid="{60839814-C0C0-473A-93D4-E65877015A6F}"/>
    <cellStyle name="Note 3 2 4 3 2 8" xfId="16604" xr:uid="{B3DC763B-78AF-454A-A4D9-68E6CF0267A4}"/>
    <cellStyle name="Note 3 2 4 3 3" xfId="6409" xr:uid="{BD332139-D2E2-4C72-B416-7881939394D3}"/>
    <cellStyle name="Note 3 2 4 3 4" xfId="7663" xr:uid="{CE1945A9-B94F-4EA7-B8B0-99B6658ED77F}"/>
    <cellStyle name="Note 3 2 4 3 5" xfId="9351" xr:uid="{7CD8C76D-7693-4C70-A034-0067B67DD3A3}"/>
    <cellStyle name="Note 3 2 4 3 6" xfId="11036" xr:uid="{F506F05E-459C-4082-976F-8CD4E014834C}"/>
    <cellStyle name="Note 3 2 4 3 7" xfId="12342" xr:uid="{560714AA-0730-4FA8-8098-FAF2A9E6F962}"/>
    <cellStyle name="Note 3 2 4 3 8" xfId="13994" xr:uid="{1550BF39-9268-48D9-90C5-53A1AD2C3F6D}"/>
    <cellStyle name="Note 3 2 4 3 9" xfId="15682" xr:uid="{2CBEC0BA-1260-4A33-8EA6-7E00DE4E1BF7}"/>
    <cellStyle name="Note 3 2 4 4" xfId="8957" xr:uid="{A9F110C0-D440-4575-98FB-ADB200D4686E}"/>
    <cellStyle name="Note 3 2 5" xfId="3321" xr:uid="{9A23F38C-97EF-4B48-AD9A-4184C0A9230A}"/>
    <cellStyle name="Note 3 2 5 2" xfId="4201" xr:uid="{74E4F65C-3322-4E8B-ADE4-F841A7475B84}"/>
    <cellStyle name="Note 3 2 5 2 2" xfId="4985" xr:uid="{A264CA8B-C289-43C5-B1F9-3B4E7DC575D2}"/>
    <cellStyle name="Note 3 2 5 2 2 2" xfId="7480" xr:uid="{F805B001-4794-4E65-A9E0-685D7005CFE7}"/>
    <cellStyle name="Note 3 2 5 2 2 3" xfId="8891" xr:uid="{C12D1DE7-E5B7-497E-80D6-2A2707265B3B}"/>
    <cellStyle name="Note 3 2 5 2 2 4" xfId="10602" xr:uid="{C6D9B3E6-87A9-44F9-AE80-1B6CA6ECAE68}"/>
    <cellStyle name="Note 3 2 5 2 2 5" xfId="12098" xr:uid="{CE119ECB-B60E-4494-8BD7-573201221FE3}"/>
    <cellStyle name="Note 3 2 5 2 2 6" xfId="13568" xr:uid="{64557C95-B02D-4865-93DF-3CFD8BE6414B}"/>
    <cellStyle name="Note 3 2 5 2 2 7" xfId="15245" xr:uid="{CAE559F9-2D99-4F46-B5AB-46828CD52E54}"/>
    <cellStyle name="Note 3 2 5 2 2 8" xfId="16908" xr:uid="{90B6FD7C-221A-4E83-839F-2D8B6C5B111D}"/>
    <cellStyle name="Note 3 2 5 2 3" xfId="6761" xr:uid="{ACD167C5-8D19-4122-B103-D4B4E171C1A7}"/>
    <cellStyle name="Note 3 2 5 2 4" xfId="8125" xr:uid="{D6DA9F00-A24D-4D07-8107-22EECFA85B2F}"/>
    <cellStyle name="Note 3 2 5 2 5" xfId="9820" xr:uid="{8C8510F3-D05A-4B9C-A5C7-B59FF95BA31B}"/>
    <cellStyle name="Note 3 2 5 2 6" xfId="11389" xr:uid="{B66C2D98-07CF-4F08-8A42-ACADF3B8117F}"/>
    <cellStyle name="Note 3 2 5 2 7" xfId="12804" xr:uid="{9D05653D-C0B9-4371-98B6-57C4BC1AA3BD}"/>
    <cellStyle name="Note 3 2 5 2 8" xfId="14463" xr:uid="{5CE821C7-D1F4-49BD-AEC2-EDF683A0CD9B}"/>
    <cellStyle name="Note 3 2 5 2 9" xfId="16144" xr:uid="{F1CF27D8-44EB-49B5-AB3B-D726C7D0CE6A}"/>
    <cellStyle name="Note 3 2 5 3" xfId="3762" xr:uid="{6326B934-C7B0-445B-9B3E-3D81C64C1435}"/>
    <cellStyle name="Note 3 2 5 3 2" xfId="4698" xr:uid="{89D291EC-E769-43FD-AD70-EF582666D4CA}"/>
    <cellStyle name="Note 3 2 5 3 2 2" xfId="7193" xr:uid="{9CBA64C5-849D-4032-9771-15DC4C58A299}"/>
    <cellStyle name="Note 3 2 5 3 2 3" xfId="8611" xr:uid="{BE0B047E-5F8E-4F6A-8B5B-A7C741138F44}"/>
    <cellStyle name="Note 3 2 5 3 2 4" xfId="10315" xr:uid="{CC735B49-B852-4370-9DC3-A909473CA76B}"/>
    <cellStyle name="Note 3 2 5 3 2 5" xfId="11811" xr:uid="{3E7F91A4-3F49-4A5B-BFED-FAC84585AFB6}"/>
    <cellStyle name="Note 3 2 5 3 2 6" xfId="13288" xr:uid="{84936FEB-39A2-491E-B055-5877FEDB8E68}"/>
    <cellStyle name="Note 3 2 5 3 2 7" xfId="14958" xr:uid="{8E430B97-9F32-4F19-936C-20DA85393FC4}"/>
    <cellStyle name="Note 3 2 5 3 2 8" xfId="16628" xr:uid="{65D34935-E368-48F0-B8BA-AA95E4A94802}"/>
    <cellStyle name="Note 3 2 5 3 3" xfId="6434" xr:uid="{58AABBED-121B-4BEA-BB2D-7860B509967E}"/>
    <cellStyle name="Note 3 2 5 3 4" xfId="7693" xr:uid="{E0B52EC6-058C-489E-AA6F-1006556E2E9F}"/>
    <cellStyle name="Note 3 2 5 3 5" xfId="9381" xr:uid="{28DDF866-4B6E-4F98-90F4-C2BC9E72A370}"/>
    <cellStyle name="Note 3 2 5 3 6" xfId="11063" xr:uid="{50A4ED38-1BD0-404D-ACDE-CB99F33036DA}"/>
    <cellStyle name="Note 3 2 5 3 7" xfId="12372" xr:uid="{DA845274-33D5-4CBD-917F-88525E032EE4}"/>
    <cellStyle name="Note 3 2 5 3 8" xfId="14024" xr:uid="{20FC8514-BE44-4263-91BF-9F27CDB2B3D2}"/>
    <cellStyle name="Note 3 2 5 3 9" xfId="15712" xr:uid="{6D234B8C-7C93-4CEC-9EE0-BD31924B1FBB}"/>
    <cellStyle name="Note 3 2 5 4" xfId="8984" xr:uid="{C14EB2DA-9753-48B9-A1FF-21940289F09C}"/>
    <cellStyle name="Note 3 2 6" xfId="3355" xr:uid="{1BDEC189-1D6E-44D9-9B15-20A764F014D3}"/>
    <cellStyle name="Note 3 2 6 10" xfId="15312" xr:uid="{A09BDF4B-169F-4A70-8342-BA00112C1920}"/>
    <cellStyle name="Note 3 2 6 2" xfId="4235" xr:uid="{C4183C2A-0DE5-4372-A238-433932908A06}"/>
    <cellStyle name="Note 3 2 6 2 2" xfId="4992" xr:uid="{0CB3A6DD-4FAE-4E6C-AF34-36A5E9CB1471}"/>
    <cellStyle name="Note 3 2 6 2 2 2" xfId="7487" xr:uid="{228EA22C-2172-4632-A616-C35743705D83}"/>
    <cellStyle name="Note 3 2 6 2 2 3" xfId="8897" xr:uid="{61EDD723-BE93-4C41-AA23-4646D3AEA8A9}"/>
    <cellStyle name="Note 3 2 6 2 2 4" xfId="10609" xr:uid="{11910D93-5741-4769-9E78-AFF9CA25C287}"/>
    <cellStyle name="Note 3 2 6 2 2 5" xfId="12105" xr:uid="{D59EEBFE-5A0C-4040-A243-97D2550FB62C}"/>
    <cellStyle name="Note 3 2 6 2 2 6" xfId="13574" xr:uid="{7E6AB32C-4CCA-4C22-A3BD-9FA890A20075}"/>
    <cellStyle name="Note 3 2 6 2 2 7" xfId="15252" xr:uid="{EE07B6CF-420D-44E3-A26E-3797AEFBE0F4}"/>
    <cellStyle name="Note 3 2 6 2 2 8" xfId="16914" xr:uid="{0791F3E5-4825-4EA5-A0AC-A3DF21B64A81}"/>
    <cellStyle name="Note 3 2 6 2 3" xfId="6777" xr:uid="{06547A82-636E-410E-AF78-5B84589FFA05}"/>
    <cellStyle name="Note 3 2 6 2 4" xfId="8158" xr:uid="{0FCF7ADF-BB08-410F-8764-C79EED9AF141}"/>
    <cellStyle name="Note 3 2 6 2 5" xfId="9854" xr:uid="{44984518-C8C3-47CC-9485-63A1EC272003}"/>
    <cellStyle name="Note 3 2 6 2 6" xfId="11398" xr:uid="{C93CD3AC-E074-4863-A055-D2E4099E5FDD}"/>
    <cellStyle name="Note 3 2 6 2 7" xfId="12837" xr:uid="{31F6DFC4-4855-4645-93BB-C9B62367E645}"/>
    <cellStyle name="Note 3 2 6 2 8" xfId="14497" xr:uid="{C60820A6-AC46-41F0-A22F-F116208A72B7}"/>
    <cellStyle name="Note 3 2 6 2 9" xfId="16177" xr:uid="{FDE02809-4AF5-434F-9C8A-8A6EE5815713}"/>
    <cellStyle name="Note 3 2 6 3" xfId="3795" xr:uid="{C120C092-4CEC-4662-A008-02BAF660F12C}"/>
    <cellStyle name="Note 3 2 6 3 2" xfId="4704" xr:uid="{F2729123-E574-4DC8-8AFB-771E8057BB25}"/>
    <cellStyle name="Note 3 2 6 3 2 2" xfId="7199" xr:uid="{C936DC42-2C20-4558-8EC3-1CB46F063C9E}"/>
    <cellStyle name="Note 3 2 6 3 2 3" xfId="8617" xr:uid="{69AB097D-6E33-407E-B8F3-7F1788497CB3}"/>
    <cellStyle name="Note 3 2 6 3 2 4" xfId="10321" xr:uid="{ED25BE65-0482-4431-895E-03E98E83FA19}"/>
    <cellStyle name="Note 3 2 6 3 2 5" xfId="11817" xr:uid="{C6B02FBD-6AB3-44EA-A59F-3DAB91243968}"/>
    <cellStyle name="Note 3 2 6 3 2 6" xfId="13294" xr:uid="{DB2A16A0-5912-41C6-9386-9EA57221D753}"/>
    <cellStyle name="Note 3 2 6 3 2 7" xfId="14964" xr:uid="{FC10764A-1827-4482-9171-F91816D7CA54}"/>
    <cellStyle name="Note 3 2 6 3 2 8" xfId="16634" xr:uid="{A7166C65-4078-4F37-BBF2-121E63602542}"/>
    <cellStyle name="Note 3 2 6 3 3" xfId="6448" xr:uid="{1B59DB52-D901-47F2-88DA-88C3D4D0E03D}"/>
    <cellStyle name="Note 3 2 6 3 4" xfId="7726" xr:uid="{62EBD0CE-6E99-4E7B-81F5-75BBDCE2AD5B}"/>
    <cellStyle name="Note 3 2 6 3 5" xfId="9414" xr:uid="{ADECE7E0-C5CC-4FFF-818E-200E568D58CE}"/>
    <cellStyle name="Note 3 2 6 3 6" xfId="11077" xr:uid="{7682E14F-F328-436A-882E-85730D6A363D}"/>
    <cellStyle name="Note 3 2 6 3 7" xfId="12405" xr:uid="{CBFB97CF-2177-4153-AD5B-2134F3DEEB28}"/>
    <cellStyle name="Note 3 2 6 3 8" xfId="14057" xr:uid="{796F7A23-3EA3-458F-8ECC-B56BF36B5321}"/>
    <cellStyle name="Note 3 2 6 3 9" xfId="15745" xr:uid="{E4087F25-59DB-497E-B2E4-70C1CF6B84CE}"/>
    <cellStyle name="Note 3 2 6 4" xfId="4411" xr:uid="{D1F37708-638D-4CC9-9C92-02B22334592D}"/>
    <cellStyle name="Note 3 2 6 4 2" xfId="6913" xr:uid="{085A37C6-C195-47CD-853E-DBF8F91CE90E}"/>
    <cellStyle name="Note 3 2 6 4 3" xfId="8328" xr:uid="{616F5623-6687-49C7-BD03-49E36A97510D}"/>
    <cellStyle name="Note 3 2 6 4 4" xfId="10028" xr:uid="{60D7DE96-8C24-4CDC-8F2E-E6AF678F5287}"/>
    <cellStyle name="Note 3 2 6 4 5" xfId="11530" xr:uid="{B954781B-938D-4BFF-8604-EF8BB721AE90}"/>
    <cellStyle name="Note 3 2 6 4 6" xfId="13005" xr:uid="{5909B39C-0696-40FD-92BE-748462FEF54D}"/>
    <cellStyle name="Note 3 2 6 4 7" xfId="14671" xr:uid="{F85A6421-7AC5-4706-8457-BF8A7AADE85C}"/>
    <cellStyle name="Note 3 2 6 4 8" xfId="16345" xr:uid="{9EAC2054-E1F4-4D16-B4B6-0BF5BBFB872F}"/>
    <cellStyle name="Note 3 2 6 5" xfId="6113" xr:uid="{CDCA2A1C-A77E-4234-A4A2-05D0D6C05300}"/>
    <cellStyle name="Note 3 2 6 6" xfId="5644" xr:uid="{EB47D7DB-D74D-469E-8410-1C04384552E8}"/>
    <cellStyle name="Note 3 2 6 7" xfId="10745" xr:uid="{31B77051-5C81-4BC6-AB2A-0864CC2EF6D8}"/>
    <cellStyle name="Note 3 2 6 8" xfId="10729" xr:uid="{6FF5132A-AC1E-455D-B2FC-BE2B899468F2}"/>
    <cellStyle name="Note 3 2 6 9" xfId="13621" xr:uid="{020BC042-424D-4F8C-8EBF-E474483EFC36}"/>
    <cellStyle name="Note 3 2 7" xfId="3206" xr:uid="{4122E943-D1AA-4359-8CB4-53919F411FC0}"/>
    <cellStyle name="Note 3 2 7 10" xfId="10886" xr:uid="{BEA2C065-A392-49AD-BB17-850E1B4C582F}"/>
    <cellStyle name="Note 3 2 7 2" xfId="4086" xr:uid="{A643434D-6A9B-4964-916D-E2E41358F91C}"/>
    <cellStyle name="Note 3 2 7 2 2" xfId="4902" xr:uid="{3EFC9523-74F7-4B90-A3BE-D41F0AC47BB3}"/>
    <cellStyle name="Note 3 2 7 2 2 2" xfId="7397" xr:uid="{0F117938-9198-4AA4-A6DC-DF8DA59D8C9D}"/>
    <cellStyle name="Note 3 2 7 2 2 3" xfId="8809" xr:uid="{B9B761A0-E1F3-463B-B2CD-026E3049801E}"/>
    <cellStyle name="Note 3 2 7 2 2 4" xfId="10519" xr:uid="{B7699F82-2A5E-443C-AE53-A6BE1E920A32}"/>
    <cellStyle name="Note 3 2 7 2 2 5" xfId="12015" xr:uid="{2030B722-D7AE-48F6-821D-03D412C43A8F}"/>
    <cellStyle name="Note 3 2 7 2 2 6" xfId="13486" xr:uid="{5C9F42E9-C216-4C24-9408-0984EEA87292}"/>
    <cellStyle name="Note 3 2 7 2 2 7" xfId="15162" xr:uid="{C3CB1C91-81E0-4E18-B292-D4147A32346D}"/>
    <cellStyle name="Note 3 2 7 2 2 8" xfId="16826" xr:uid="{1132EE2B-80CC-4DA1-8F95-3914178BDD4F}"/>
    <cellStyle name="Note 3 2 7 2 3" xfId="6670" xr:uid="{F53C2152-01C9-4DA8-A894-F9EB5A7C31B0}"/>
    <cellStyle name="Note 3 2 7 2 4" xfId="8011" xr:uid="{283F72CC-C3F2-4571-8F50-0EDFBDDABE83}"/>
    <cellStyle name="Note 3 2 7 2 5" xfId="9705" xr:uid="{4F6F1691-1F12-4E1A-9306-85BDDD7B2CA8}"/>
    <cellStyle name="Note 3 2 7 2 6" xfId="11298" xr:uid="{C1CF3A69-F42F-45E4-8558-0ABCD8213C3B}"/>
    <cellStyle name="Note 3 2 7 2 7" xfId="12690" xr:uid="{1BF90D73-D3A6-4C05-847B-61FBCF9C82E5}"/>
    <cellStyle name="Note 3 2 7 2 8" xfId="14348" xr:uid="{3B04E5E3-CFD1-4DED-8ACD-A591D4E42628}"/>
    <cellStyle name="Note 3 2 7 2 9" xfId="16030" xr:uid="{632BD980-D485-481D-95A1-AF4AFF525053}"/>
    <cellStyle name="Note 3 2 7 3" xfId="3648" xr:uid="{71B5126B-E9A6-4687-B803-255D3006D7A1}"/>
    <cellStyle name="Note 3 2 7 3 2" xfId="4616" xr:uid="{B0E10947-BC28-4E1D-80B6-548DB71664BA}"/>
    <cellStyle name="Note 3 2 7 3 2 2" xfId="7111" xr:uid="{A3AA1E4F-8512-4B3E-BB54-E13B78704070}"/>
    <cellStyle name="Note 3 2 7 3 2 3" xfId="8529" xr:uid="{E98C247E-5C5C-4D45-981E-82197BAF29E4}"/>
    <cellStyle name="Note 3 2 7 3 2 4" xfId="10233" xr:uid="{E5242DE1-8F8D-4802-8A6D-312E87568102}"/>
    <cellStyle name="Note 3 2 7 3 2 5" xfId="11729" xr:uid="{247A12B1-DE1A-44EB-BDB6-ACA14E2BC684}"/>
    <cellStyle name="Note 3 2 7 3 2 6" xfId="13206" xr:uid="{DD3794AC-DDFE-4678-8C68-3D11BAEB0703}"/>
    <cellStyle name="Note 3 2 7 3 2 7" xfId="14876" xr:uid="{F85D4E80-30FB-4907-9825-4FBC01E84511}"/>
    <cellStyle name="Note 3 2 7 3 2 8" xfId="16546" xr:uid="{D8C7C1E6-2C31-4F96-88CB-0967332FDE2B}"/>
    <cellStyle name="Note 3 2 7 3 3" xfId="6343" xr:uid="{6075A627-8490-4141-942C-F12CF948D4D4}"/>
    <cellStyle name="Note 3 2 7 3 4" xfId="7579" xr:uid="{8F7E4FCB-D09A-4B6B-AD31-820FDC96D236}"/>
    <cellStyle name="Note 3 2 7 3 5" xfId="9267" xr:uid="{FCC225BF-EB31-42D4-B113-BD7C795389E5}"/>
    <cellStyle name="Note 3 2 7 3 6" xfId="10970" xr:uid="{75080BF2-022F-4CAE-8452-A6C4F81565FE}"/>
    <cellStyle name="Note 3 2 7 3 7" xfId="12258" xr:uid="{3C3FCDBD-727E-4F23-81D2-6A418B74ABB1}"/>
    <cellStyle name="Note 3 2 7 3 8" xfId="13910" xr:uid="{5CCDC2A3-0B95-4DCB-99BC-747C1810EA82}"/>
    <cellStyle name="Note 3 2 7 3 9" xfId="15598" xr:uid="{419B3E27-C857-42E8-BF93-26DB543DD482}"/>
    <cellStyle name="Note 3 2 7 4" xfId="4364" xr:uid="{54CF1B24-27A8-46AA-AB2D-09F6EE0A1CC3}"/>
    <cellStyle name="Note 3 2 7 4 2" xfId="6878" xr:uid="{C1DF3FE9-E30B-4D71-954C-36B5CDD7DF21}"/>
    <cellStyle name="Note 3 2 7 4 3" xfId="8283" xr:uid="{6792DA99-D778-42E4-ABCD-22DDC8DB94F7}"/>
    <cellStyle name="Note 3 2 7 4 4" xfId="9981" xr:uid="{42F5D6F9-E41B-42CF-95C4-B00EB5342C17}"/>
    <cellStyle name="Note 3 2 7 4 5" xfId="11497" xr:uid="{FF634560-7BCF-46FC-BCAC-1C91FAB7401E}"/>
    <cellStyle name="Note 3 2 7 4 6" xfId="12960" xr:uid="{2FFF6E22-4687-4F35-AFED-D4F2F8E8AE49}"/>
    <cellStyle name="Note 3 2 7 4 7" xfId="14624" xr:uid="{75A332ED-19E8-4615-A39B-F731BA450F88}"/>
    <cellStyle name="Note 3 2 7 4 8" xfId="16300" xr:uid="{B791E0F4-82BD-459B-B57E-82A071A21D10}"/>
    <cellStyle name="Note 3 2 7 5" xfId="6031" xr:uid="{B16CD69C-08EF-4FB6-9144-CDCFA31AD4B1}"/>
    <cellStyle name="Note 3 2 7 6" xfId="5621" xr:uid="{E1F5CA84-676C-4398-B15D-01767CCEC2FE}"/>
    <cellStyle name="Note 3 2 7 7" xfId="10676" xr:uid="{6D5BC7C8-220A-4040-B042-71DF37A54124}"/>
    <cellStyle name="Note 3 2 7 8" xfId="5023" xr:uid="{4C30B1BD-431A-468F-9052-093192709973}"/>
    <cellStyle name="Note 3 2 7 9" xfId="11268" xr:uid="{BA72CEB4-8980-449C-B1CF-00C7412B5F5D}"/>
    <cellStyle name="Note 3 2 8" xfId="3382" xr:uid="{D859BD6E-56F1-41CB-AF4E-D7A6BBDEC4A8}"/>
    <cellStyle name="Note 3 2 8 10" xfId="15339" xr:uid="{79082AA9-A9A8-4A48-9CFF-185DC7610DCD}"/>
    <cellStyle name="Note 3 2 8 2" xfId="4262" xr:uid="{EFD636B1-987F-41AE-9B47-AFDA1771FCF3}"/>
    <cellStyle name="Note 3 2 8 2 2" xfId="5014" xr:uid="{EE2E68BE-BE05-43BB-B4B7-60016D4EA3EA}"/>
    <cellStyle name="Note 3 2 8 2 2 2" xfId="7509" xr:uid="{0B523009-0F08-4473-822E-BD10014D939E}"/>
    <cellStyle name="Note 3 2 8 2 2 3" xfId="8919" xr:uid="{43B2A46D-F868-49FF-83AA-161134BFCB3E}"/>
    <cellStyle name="Note 3 2 8 2 2 4" xfId="10631" xr:uid="{00F56162-5522-4020-91B0-ABDF01BEB449}"/>
    <cellStyle name="Note 3 2 8 2 2 5" xfId="12127" xr:uid="{00829082-1510-4B99-A95D-636F421BDEE0}"/>
    <cellStyle name="Note 3 2 8 2 2 6" xfId="13596" xr:uid="{E3165800-C42B-4E5B-84B0-5312C1F8F400}"/>
    <cellStyle name="Note 3 2 8 2 2 7" xfId="15274" xr:uid="{139F83FC-F96A-417F-B96C-5638010F08C8}"/>
    <cellStyle name="Note 3 2 8 2 2 8" xfId="16936" xr:uid="{849438FE-991A-43F5-BF07-1F9A66DD4F28}"/>
    <cellStyle name="Note 3 2 8 2 3" xfId="6802" xr:uid="{DC73DA80-7BC0-4296-84BD-4B6CB3E4CE9A}"/>
    <cellStyle name="Note 3 2 8 2 4" xfId="8185" xr:uid="{C4D5CF1D-B628-4D14-872B-63D9B9324A4B}"/>
    <cellStyle name="Note 3 2 8 2 5" xfId="9881" xr:uid="{A418C590-1AA0-4C63-A559-7A12D1DF5F36}"/>
    <cellStyle name="Note 3 2 8 2 6" xfId="11420" xr:uid="{0576079C-8419-4BB3-876C-C01E86D1C330}"/>
    <cellStyle name="Note 3 2 8 2 7" xfId="12864" xr:uid="{9E4EB01C-DA56-4E82-9274-FEF8F40559EA}"/>
    <cellStyle name="Note 3 2 8 2 8" xfId="14524" xr:uid="{C1CA331A-06F0-434F-81B1-47290959CB5D}"/>
    <cellStyle name="Note 3 2 8 2 9" xfId="16204" xr:uid="{9BAF3B06-8D77-4350-9CD3-EADC99455B71}"/>
    <cellStyle name="Note 3 2 8 3" xfId="3822" xr:uid="{F76500DC-F807-4B4F-B24F-74C0194A89C5}"/>
    <cellStyle name="Note 3 2 8 3 2" xfId="4726" xr:uid="{DE605B35-4E0E-4703-BBAF-3F39282A7965}"/>
    <cellStyle name="Note 3 2 8 3 2 2" xfId="7221" xr:uid="{6E8820A1-FDB5-4F2E-80F8-9EDBDA1D857A}"/>
    <cellStyle name="Note 3 2 8 3 2 3" xfId="8639" xr:uid="{745A88F5-3F06-41C9-A50B-C298F75F5E3D}"/>
    <cellStyle name="Note 3 2 8 3 2 4" xfId="10343" xr:uid="{0C0D535D-0143-4ACC-A638-FA013D24B58A}"/>
    <cellStyle name="Note 3 2 8 3 2 5" xfId="11839" xr:uid="{C641549E-0741-49CB-AD14-CE5DDACB12C6}"/>
    <cellStyle name="Note 3 2 8 3 2 6" xfId="13316" xr:uid="{DA9C9F9B-45F4-4A90-8DF0-C8306F87F11D}"/>
    <cellStyle name="Note 3 2 8 3 2 7" xfId="14986" xr:uid="{1AF961B5-DE5B-4726-8732-B75F4F59FFA3}"/>
    <cellStyle name="Note 3 2 8 3 2 8" xfId="16656" xr:uid="{37C17302-D585-455C-9203-C725FE6C7697}"/>
    <cellStyle name="Note 3 2 8 3 3" xfId="6472" xr:uid="{E501924B-CFD5-46C8-A00F-DC86D468106B}"/>
    <cellStyle name="Note 3 2 8 3 4" xfId="7753" xr:uid="{02653150-FC39-43B3-B763-D13C7A00A2C7}"/>
    <cellStyle name="Note 3 2 8 3 5" xfId="9441" xr:uid="{80453D9B-46B2-432A-B6CB-E7BE5434F9B1}"/>
    <cellStyle name="Note 3 2 8 3 6" xfId="11101" xr:uid="{F58358E8-390B-4B75-A8BD-8B595127AF2A}"/>
    <cellStyle name="Note 3 2 8 3 7" xfId="12432" xr:uid="{18D462CD-77F1-4C5E-BB0E-61CB4C0AC5C0}"/>
    <cellStyle name="Note 3 2 8 3 8" xfId="14084" xr:uid="{2606308B-4B8C-484C-9B76-E8F06FE56D3A}"/>
    <cellStyle name="Note 3 2 8 3 9" xfId="15772" xr:uid="{A679EFB9-42AA-467C-B844-DBD58E8B4932}"/>
    <cellStyle name="Note 3 2 8 4" xfId="4438" xr:uid="{BE06E27E-970B-41E7-B37A-F98CAC7F9F13}"/>
    <cellStyle name="Note 3 2 8 4 2" xfId="6936" xr:uid="{A7DBF688-7734-4279-871F-E4A8872C3ED3}"/>
    <cellStyle name="Note 3 2 8 4 3" xfId="8355" xr:uid="{4F143EF5-00FC-4F8C-BAB0-364B42FB9FEF}"/>
    <cellStyle name="Note 3 2 8 4 4" xfId="10055" xr:uid="{11EDBA02-AE13-4BA3-8854-363117AE4850}"/>
    <cellStyle name="Note 3 2 8 4 5" xfId="11553" xr:uid="{11ED8721-3600-4839-91CC-8AD53E566D0C}"/>
    <cellStyle name="Note 3 2 8 4 6" xfId="13032" xr:uid="{BDDC0422-073B-43B5-AD37-F29BE509FE80}"/>
    <cellStyle name="Note 3 2 8 4 7" xfId="14698" xr:uid="{E526455C-36FB-474D-BEBE-9AB25A367F2F}"/>
    <cellStyle name="Note 3 2 8 4 8" xfId="16372" xr:uid="{A7DBB922-8ED6-43C1-8A54-F1A02F6D25AD}"/>
    <cellStyle name="Note 3 2 8 5" xfId="6140" xr:uid="{700BC507-04A2-47A7-A201-732DAE906591}"/>
    <cellStyle name="Note 3 2 8 6" xfId="5671" xr:uid="{114B25D5-233B-4C78-A52F-8EC3FBBC55EB}"/>
    <cellStyle name="Note 3 2 8 7" xfId="10772" xr:uid="{797B8637-5FEC-47FC-B95E-79C89934D5B5}"/>
    <cellStyle name="Note 3 2 8 8" xfId="5397" xr:uid="{A8D1022A-7CC9-4A2B-861F-B7B4B63367C2}"/>
    <cellStyle name="Note 3 2 8 9" xfId="13648" xr:uid="{C2083AF2-B9F3-46B5-B36D-241500ED1C5B}"/>
    <cellStyle name="Note 3 2 9" xfId="3880" xr:uid="{BBFA1E58-963D-4260-B15C-4901432A5B88}"/>
    <cellStyle name="Note 3 2 9 2" xfId="4771" xr:uid="{FBA18BA8-A3C7-4E31-968D-5595DDEB30D7}"/>
    <cellStyle name="Note 3 2 9 2 2" xfId="7266" xr:uid="{6B7E5390-638B-4A59-A8B7-316A0F752880}"/>
    <cellStyle name="Note 3 2 9 2 3" xfId="8681" xr:uid="{06E47DEC-8CBD-431C-BA04-581F4984D3A1}"/>
    <cellStyle name="Note 3 2 9 2 4" xfId="10388" xr:uid="{177345A5-AC8B-4460-BA1E-AE33CF6D4842}"/>
    <cellStyle name="Note 3 2 9 2 5" xfId="11884" xr:uid="{C879FE0C-2EC1-4CBF-A974-730F91C1C0C0}"/>
    <cellStyle name="Note 3 2 9 2 6" xfId="13358" xr:uid="{4EAA2B9F-A898-4679-9B97-45CDDDA5FB08}"/>
    <cellStyle name="Note 3 2 9 2 7" xfId="15031" xr:uid="{83C01B7E-3A62-4C45-BFCC-C71F9AC740B0}"/>
    <cellStyle name="Note 3 2 9 2 8" xfId="16698" xr:uid="{212A389B-2D49-4C9E-925F-47FDFCCA42D6}"/>
    <cellStyle name="Note 3 2 9 3" xfId="6521" xr:uid="{B17E656E-3105-4C5D-BE58-32558696EBF7}"/>
    <cellStyle name="Note 3 2 9 4" xfId="7808" xr:uid="{3D7DD397-D009-4C45-A9AC-97D8AAFAE8D4}"/>
    <cellStyle name="Note 3 2 9 5" xfId="9499" xr:uid="{505CCB2F-C8F9-4384-B4FF-CEA4A5D54235}"/>
    <cellStyle name="Note 3 2 9 6" xfId="11152" xr:uid="{79BA1510-3274-48CD-ADE4-8C2CF68A7DC5}"/>
    <cellStyle name="Note 3 2 9 7" xfId="12487" xr:uid="{11910745-427A-482A-B167-62122C6E4900}"/>
    <cellStyle name="Note 3 2 9 8" xfId="14142" xr:uid="{EDDCD913-6F31-42D5-B35D-EB568172FF41}"/>
    <cellStyle name="Note 3 2 9 9" xfId="15827" xr:uid="{25A6F1E9-FDF5-40CC-9064-DB3872BF50DF}"/>
    <cellStyle name="Note 3 3" xfId="2977" xr:uid="{F4633FDD-26F4-44A7-AA18-A5C1F3CCB27E}"/>
    <cellStyle name="Note 3 3 10" xfId="3424" xr:uid="{34EC0052-C520-4679-B991-1E5EDA03AA1C}"/>
    <cellStyle name="Note 3 3 10 2" xfId="4471" xr:uid="{9D807D86-395B-4488-A381-E7A7D4844E95}"/>
    <cellStyle name="Note 3 3 10 2 2" xfId="6966" xr:uid="{700DE91F-0AFE-45C4-8E86-D8FBE5850FED}"/>
    <cellStyle name="Note 3 3 10 2 3" xfId="8387" xr:uid="{B24D78AD-D02B-4F78-B95A-639D538A5856}"/>
    <cellStyle name="Note 3 3 10 2 4" xfId="10088" xr:uid="{3E71DF12-E015-42DB-AA67-1A8685022BA1}"/>
    <cellStyle name="Note 3 3 10 2 5" xfId="11584" xr:uid="{170C06DE-E13E-416D-A0B2-C898A9E4674A}"/>
    <cellStyle name="Note 3 3 10 2 6" xfId="13064" xr:uid="{64E108A6-4A64-4773-87E8-7D9B9CD2D48D}"/>
    <cellStyle name="Note 3 3 10 2 7" xfId="14731" xr:uid="{A8134264-BDF5-43BA-A974-433D9E8BA15B}"/>
    <cellStyle name="Note 3 3 10 2 8" xfId="16404" xr:uid="{BFE6A975-21F0-4A8D-85E3-86237AD54E11}"/>
    <cellStyle name="Note 3 3 10 3" xfId="6174" xr:uid="{57521CAA-8E59-4DC3-AB98-5990EABC2435}"/>
    <cellStyle name="Note 3 3 10 4" xfId="6092" xr:uid="{21BB9F02-879A-4853-863E-06E84A1E7406}"/>
    <cellStyle name="Note 3 3 10 5" xfId="9043" xr:uid="{D30101A6-20F9-47E3-8796-4E4AAF7C4C11}"/>
    <cellStyle name="Note 3 3 10 6" xfId="10807" xr:uid="{815F56D0-32A1-445A-A00A-BDF284F237A4}"/>
    <cellStyle name="Note 3 3 10 7" xfId="5846" xr:uid="{A2444F92-2795-42CD-BCEB-31F1530857DD}"/>
    <cellStyle name="Note 3 3 10 8" xfId="13686" xr:uid="{BEA481D1-E2AA-46CD-9800-479824253C4B}"/>
    <cellStyle name="Note 3 3 10 9" xfId="15377" xr:uid="{FD0AC35D-5351-43CC-9C46-641156E2AFB6}"/>
    <cellStyle name="Note 3 3 11" xfId="5564" xr:uid="{509C63F5-E5BF-4EF7-9E0E-07A43BEADB7C}"/>
    <cellStyle name="Note 3 3 12" xfId="5881" xr:uid="{B8333256-66F2-4101-8A76-2D58F270B971}"/>
    <cellStyle name="Note 3 3 2" xfId="3265" xr:uid="{031793C8-E846-456B-8D68-1C2D60F300DD}"/>
    <cellStyle name="Note 3 3 2 2" xfId="4145" xr:uid="{47D739E8-80A4-417F-B982-A64252534E62}"/>
    <cellStyle name="Note 3 3 2 2 2" xfId="4942" xr:uid="{A243177F-0483-4089-8D0E-9CF8C19C6A37}"/>
    <cellStyle name="Note 3 3 2 2 2 2" xfId="7437" xr:uid="{D8D2C1CB-2713-450F-A251-62FA2D9B9634}"/>
    <cellStyle name="Note 3 3 2 2 2 3" xfId="8849" xr:uid="{D7123565-61ED-48F0-917A-9365021D56BA}"/>
    <cellStyle name="Note 3 3 2 2 2 4" xfId="10559" xr:uid="{99BC2A1D-72BA-4766-A87F-65B03A89CF9D}"/>
    <cellStyle name="Note 3 3 2 2 2 5" xfId="12055" xr:uid="{B56F3695-E0B3-42E1-95C4-614FCFD2478A}"/>
    <cellStyle name="Note 3 3 2 2 2 6" xfId="13526" xr:uid="{017E74CC-D617-4FCF-BA53-C789D25D7761}"/>
    <cellStyle name="Note 3 3 2 2 2 7" xfId="15202" xr:uid="{9BD329AD-72EF-412D-BEC8-7846A2D038F2}"/>
    <cellStyle name="Note 3 3 2 2 2 8" xfId="16866" xr:uid="{79E3D21D-C934-4514-B90D-ED8BE08D4A25}"/>
    <cellStyle name="Note 3 3 2 2 3" xfId="6716" xr:uid="{B2267C31-D5E7-4475-8611-9168678A6B8B}"/>
    <cellStyle name="Note 3 3 2 2 4" xfId="8070" xr:uid="{87675111-64D6-49F6-BCE5-A540F3EC98AD}"/>
    <cellStyle name="Note 3 3 2 2 5" xfId="9764" xr:uid="{09C1B37D-05BB-4C52-81B2-DC1B69DCEFF1}"/>
    <cellStyle name="Note 3 3 2 2 6" xfId="11344" xr:uid="{044A8E98-6993-4754-83A6-EF33AA5F4CDF}"/>
    <cellStyle name="Note 3 3 2 2 7" xfId="12749" xr:uid="{D66C4C05-E7BD-4323-A22C-AE891A33664B}"/>
    <cellStyle name="Note 3 3 2 2 8" xfId="14407" xr:uid="{C653D606-189A-42F0-A83A-9DC3ECE9C63B}"/>
    <cellStyle name="Note 3 3 2 2 9" xfId="16089" xr:uid="{E7D540E9-8882-41DF-A300-9DC312719F4B}"/>
    <cellStyle name="Note 3 3 2 3" xfId="3707" xr:uid="{9375A46F-054D-4A25-9DB2-D7F8C84D0DAA}"/>
    <cellStyle name="Note 3 3 2 3 2" xfId="4656" xr:uid="{7626CFF9-9967-4350-89F9-C5ECCD3D4331}"/>
    <cellStyle name="Note 3 3 2 3 2 2" xfId="7151" xr:uid="{D1F7FA86-6B60-4727-80CD-6B38C41EE283}"/>
    <cellStyle name="Note 3 3 2 3 2 3" xfId="8569" xr:uid="{5B063685-93AC-4145-AF0D-BA54FC8BFF20}"/>
    <cellStyle name="Note 3 3 2 3 2 4" xfId="10273" xr:uid="{A049283B-456B-4F06-9550-989FE9F2F671}"/>
    <cellStyle name="Note 3 3 2 3 2 5" xfId="11769" xr:uid="{1BA4A74F-06E1-44A3-B3DB-E9FE466ECE7B}"/>
    <cellStyle name="Note 3 3 2 3 2 6" xfId="13246" xr:uid="{4A915BAB-82EB-424D-9525-FDD0BB315FA8}"/>
    <cellStyle name="Note 3 3 2 3 2 7" xfId="14916" xr:uid="{3AB7C1E3-BF0F-408A-8276-7F38D5463F36}"/>
    <cellStyle name="Note 3 3 2 3 2 8" xfId="16586" xr:uid="{DCDC6398-FDE9-4D15-A53C-CF39BC8EE979}"/>
    <cellStyle name="Note 3 3 2 3 3" xfId="6389" xr:uid="{0F3870DD-1583-4207-9293-CD7B44384F8F}"/>
    <cellStyle name="Note 3 3 2 3 4" xfId="7638" xr:uid="{8F24E6A2-9EB7-4E00-8288-A1C866F4B9A3}"/>
    <cellStyle name="Note 3 3 2 3 5" xfId="9326" xr:uid="{C3581160-CF2F-4E59-8143-483C24B045B9}"/>
    <cellStyle name="Note 3 3 2 3 6" xfId="11016" xr:uid="{010B3F71-566D-4C78-8BE1-6359AEFD818B}"/>
    <cellStyle name="Note 3 3 2 3 7" xfId="12317" xr:uid="{2A71D90D-0D42-4666-A136-E09EB4DF280F}"/>
    <cellStyle name="Note 3 3 2 3 8" xfId="13969" xr:uid="{5B091C76-F50A-4919-A707-78AAB5289327}"/>
    <cellStyle name="Note 3 3 2 3 9" xfId="15657" xr:uid="{5B2F204B-D01E-4268-AC36-499B867830A4}"/>
    <cellStyle name="Note 3 3 2 4" xfId="8932" xr:uid="{735CC0EC-DD0C-4AA5-B35B-099F8B71EAD6}"/>
    <cellStyle name="Note 3 3 3" xfId="3135" xr:uid="{D099B46C-3282-45B5-BAEA-3AC1AAE97E8A}"/>
    <cellStyle name="Note 3 3 3 2" xfId="4015" xr:uid="{315C2775-0198-40FC-8E6A-CCD25A87FA02}"/>
    <cellStyle name="Note 3 3 3 2 2" xfId="4860" xr:uid="{E16B2B36-BFAF-4FBA-A3F2-0D5EF6440C8F}"/>
    <cellStyle name="Note 3 3 3 2 2 2" xfId="7355" xr:uid="{5F16276D-870D-4167-AFB8-1F44B0F70BB6}"/>
    <cellStyle name="Note 3 3 3 2 2 3" xfId="8768" xr:uid="{97429899-24A5-4560-BA8A-597DCE9DA4F9}"/>
    <cellStyle name="Note 3 3 3 2 2 4" xfId="10477" xr:uid="{74365111-AB4F-4826-BC43-A48B0F4DDCE7}"/>
    <cellStyle name="Note 3 3 3 2 2 5" xfId="11973" xr:uid="{E919D6F7-5CF5-4BD4-8DA1-9C840BC48B1C}"/>
    <cellStyle name="Note 3 3 3 2 2 6" xfId="13445" xr:uid="{9085DE6D-817B-4A48-94EA-495060D449D9}"/>
    <cellStyle name="Note 3 3 3 2 2 7" xfId="15120" xr:uid="{450A2A8A-280B-43DF-8208-08F1EA39B3C7}"/>
    <cellStyle name="Note 3 3 3 2 2 8" xfId="16785" xr:uid="{83B34545-25A2-43EA-BB1C-E1FEC043DFD2}"/>
    <cellStyle name="Note 3 3 3 2 3" xfId="6621" xr:uid="{30623EC2-74C6-4DC3-8201-ABD468EE1545}"/>
    <cellStyle name="Note 3 3 3 2 4" xfId="7941" xr:uid="{A06326D4-CBE1-48A9-BB0A-BB51314C0DDC}"/>
    <cellStyle name="Note 3 3 3 2 5" xfId="9634" xr:uid="{3A66018C-6669-456E-92B7-4A8C297CC5CB}"/>
    <cellStyle name="Note 3 3 3 2 6" xfId="11247" xr:uid="{754D02A0-3114-4363-A505-DB56A6F0C435}"/>
    <cellStyle name="Note 3 3 3 2 7" xfId="12620" xr:uid="{75E483F6-6E05-4D6B-82CD-5724D1575169}"/>
    <cellStyle name="Note 3 3 3 2 8" xfId="14277" xr:uid="{A8CC7B9E-540A-4931-9ED2-FD0BCED70CEC}"/>
    <cellStyle name="Note 3 3 3 2 9" xfId="15960" xr:uid="{322DD307-23F4-4408-8E7B-2B00A230A1A1}"/>
    <cellStyle name="Note 3 3 3 3" xfId="3577" xr:uid="{AF7D9295-68AA-4B60-B072-46EF4F4ECD57}"/>
    <cellStyle name="Note 3 3 3 3 2" xfId="4574" xr:uid="{DA245217-2CCE-4881-B4B9-9331EB9DFBB9}"/>
    <cellStyle name="Note 3 3 3 3 2 2" xfId="7069" xr:uid="{617D0CB5-4A7F-4365-A581-33095462A9DF}"/>
    <cellStyle name="Note 3 3 3 3 2 3" xfId="8488" xr:uid="{7B82B7CE-B0D3-42B6-9833-F1A4F8893C2B}"/>
    <cellStyle name="Note 3 3 3 3 2 4" xfId="10191" xr:uid="{8B5BC30B-352F-4CAC-AE60-398B483456F1}"/>
    <cellStyle name="Note 3 3 3 3 2 5" xfId="11687" xr:uid="{E90667E4-0CD8-4801-A614-7EDE65A90AEC}"/>
    <cellStyle name="Note 3 3 3 3 2 6" xfId="13165" xr:uid="{209E8F7F-C462-42C0-9E0F-B2D2E09A884C}"/>
    <cellStyle name="Note 3 3 3 3 2 7" xfId="14834" xr:uid="{69A30C37-E857-4511-8071-8D19F11A019E}"/>
    <cellStyle name="Note 3 3 3 3 2 8" xfId="16505" xr:uid="{4A439AAA-6AFA-4E7F-A4F0-F3409DCDBBBD}"/>
    <cellStyle name="Note 3 3 3 3 3" xfId="6291" xr:uid="{9D34F2E8-42DE-4743-BF6A-322B242DE4D2}"/>
    <cellStyle name="Note 3 3 3 3 4" xfId="5102" xr:uid="{1F3B1B73-B3C6-4CFD-98FE-0379928AA9C9}"/>
    <cellStyle name="Note 3 3 3 3 5" xfId="9196" xr:uid="{BF9AA487-D4AF-41BE-B51B-22C809969C22}"/>
    <cellStyle name="Note 3 3 3 3 6" xfId="10921" xr:uid="{6FA58A41-417C-4F0D-BE98-AEAAF0C4AAA1}"/>
    <cellStyle name="Note 3 3 3 3 7" xfId="12188" xr:uid="{82F8EA0B-5817-4741-AA9F-801272F9D5B1}"/>
    <cellStyle name="Note 3 3 3 3 8" xfId="13839" xr:uid="{CE01DE11-E42F-437E-AA27-6284B0958718}"/>
    <cellStyle name="Note 3 3 3 3 9" xfId="15528" xr:uid="{7BB5A03D-ABA4-488F-BE5B-B2BBBA76BAA2}"/>
    <cellStyle name="Note 3 3 3 4" xfId="6490" xr:uid="{CA6E4755-62EA-4CD6-AC9E-7A0DAECE5D8A}"/>
    <cellStyle name="Note 3 3 4" xfId="3053" xr:uid="{98B4E787-AD11-4CCD-BACB-BBE63A775499}"/>
    <cellStyle name="Note 3 3 4 2" xfId="3933" xr:uid="{6705AB64-90E8-4957-9DC2-0A8240807E36}"/>
    <cellStyle name="Note 3 3 4 2 2" xfId="4802" xr:uid="{96106E11-A480-45C2-9D3B-C6F6E79509F5}"/>
    <cellStyle name="Note 3 3 4 2 2 2" xfId="7297" xr:uid="{CA5C41BF-1507-4331-8622-89784B43CBAD}"/>
    <cellStyle name="Note 3 3 4 2 2 3" xfId="8712" xr:uid="{35D26BBF-4CFB-43BD-A5D2-B47A8DD487A9}"/>
    <cellStyle name="Note 3 3 4 2 2 4" xfId="10419" xr:uid="{B4BDD994-B1EB-4477-BA32-23027B9B5D76}"/>
    <cellStyle name="Note 3 3 4 2 2 5" xfId="11915" xr:uid="{2C16A46C-5D3C-4D13-B1F4-67916FA7657B}"/>
    <cellStyle name="Note 3 3 4 2 2 6" xfId="13389" xr:uid="{23DBF535-87DF-4193-A42E-F3ECE38C7EA9}"/>
    <cellStyle name="Note 3 3 4 2 2 7" xfId="15062" xr:uid="{10093EBC-0B6A-49CB-A250-422B72DF1101}"/>
    <cellStyle name="Note 3 3 4 2 2 8" xfId="16729" xr:uid="{A52CEFFF-90D4-4BCA-8F8B-BEFBC97F7F7D}"/>
    <cellStyle name="Note 3 3 4 2 3" xfId="6557" xr:uid="{8E9282FE-345A-4F53-876F-23BF90F37330}"/>
    <cellStyle name="Note 3 3 4 2 4" xfId="7861" xr:uid="{DBF74E40-FE15-43AC-BD38-957C1B19C265}"/>
    <cellStyle name="Note 3 3 4 2 5" xfId="9552" xr:uid="{CE1CA1BC-3AF0-4830-8846-E6D61F898C91}"/>
    <cellStyle name="Note 3 3 4 2 6" xfId="11188" xr:uid="{00DE51D0-E731-4C35-AE04-73400BB3E258}"/>
    <cellStyle name="Note 3 3 4 2 7" xfId="12540" xr:uid="{06B5D7F6-F5AF-4443-B76D-4FB942FCCBD0}"/>
    <cellStyle name="Note 3 3 4 2 8" xfId="14195" xr:uid="{91128156-66BC-4162-B4A4-136124C9798F}"/>
    <cellStyle name="Note 3 3 4 2 9" xfId="15880" xr:uid="{02AC8D1C-B4AE-4CEE-932E-8AFF5AB50D2E}"/>
    <cellStyle name="Note 3 3 4 3" xfId="3495" xr:uid="{8BFA21E9-1FA0-4BBE-8CBE-95F39F85B6B7}"/>
    <cellStyle name="Note 3 3 4 3 2" xfId="4516" xr:uid="{BC515AB1-0B55-435B-9868-6DB9C75E9071}"/>
    <cellStyle name="Note 3 3 4 3 2 2" xfId="7011" xr:uid="{8AC03CB4-86C0-419D-A149-30B12C8F4F3E}"/>
    <cellStyle name="Note 3 3 4 3 2 3" xfId="8432" xr:uid="{3C75FB39-1A60-4B2B-BA11-43EA67932BBF}"/>
    <cellStyle name="Note 3 3 4 3 2 4" xfId="10133" xr:uid="{F1A04E64-B25D-43CB-B0CC-5B6D84489B6B}"/>
    <cellStyle name="Note 3 3 4 3 2 5" xfId="11629" xr:uid="{8A497FEE-E810-4F3A-AD33-9581E93C7FAD}"/>
    <cellStyle name="Note 3 3 4 3 2 6" xfId="13109" xr:uid="{C8490C33-E361-43D0-A3F8-3BD0C582AB3D}"/>
    <cellStyle name="Note 3 3 4 3 2 7" xfId="14776" xr:uid="{AA005A97-7ABC-4FF1-B4E2-1153F7E0FF4E}"/>
    <cellStyle name="Note 3 3 4 3 2 8" xfId="16449" xr:uid="{C85523D0-835F-4E71-96E7-1BD1934335CA}"/>
    <cellStyle name="Note 3 3 4 3 3" xfId="6226" xr:uid="{48C86474-DD9A-4FC7-BDC9-4AD1277B3C1F}"/>
    <cellStyle name="Note 3 3 4 3 4" xfId="5161" xr:uid="{0C1FA7FA-E430-40F4-BCA8-AE84BB5DA86B}"/>
    <cellStyle name="Note 3 3 4 3 5" xfId="9114" xr:uid="{8E38B20B-6791-4226-B05C-55A39355334A}"/>
    <cellStyle name="Note 3 3 4 3 6" xfId="10860" xr:uid="{FA816E37-538E-4804-B719-3087B7919CC0}"/>
    <cellStyle name="Note 3 3 4 3 7" xfId="5863" xr:uid="{10FA4D83-AE54-4E70-BD8B-6CE60086863E}"/>
    <cellStyle name="Note 3 3 4 3 8" xfId="13757" xr:uid="{D2DA8300-B29C-4519-B5F2-88CA7EF74CF9}"/>
    <cellStyle name="Note 3 3 4 3 9" xfId="15448" xr:uid="{B0A6CE8F-9185-4984-AB97-9BEAAF476E29}"/>
    <cellStyle name="Note 3 3 4 4" xfId="5816" xr:uid="{4D057A53-E160-4B6F-8708-B3576B621AC5}"/>
    <cellStyle name="Note 3 3 5" xfId="3303" xr:uid="{07CED3DA-F9B2-40FE-B4D8-6A0D5F84E22A}"/>
    <cellStyle name="Note 3 3 5 2" xfId="4183" xr:uid="{B966C8ED-B0DA-4049-B8B9-F331A134BFC8}"/>
    <cellStyle name="Note 3 3 5 2 2" xfId="4971" xr:uid="{749E9218-147C-4250-B16D-BBC1B93C9072}"/>
    <cellStyle name="Note 3 3 5 2 2 2" xfId="7466" xr:uid="{3D7F0CD0-AED5-49C6-803F-DEC288298F86}"/>
    <cellStyle name="Note 3 3 5 2 2 3" xfId="8877" xr:uid="{C34F1A42-4C4E-4EF7-BB37-A0B3FDE3C90A}"/>
    <cellStyle name="Note 3 3 5 2 2 4" xfId="10588" xr:uid="{4C608424-6337-4A9C-9333-C298DD0F9678}"/>
    <cellStyle name="Note 3 3 5 2 2 5" xfId="12084" xr:uid="{E43BF2C4-11D1-4764-846F-BDCE0C56D128}"/>
    <cellStyle name="Note 3 3 5 2 2 6" xfId="13554" xr:uid="{34456DDB-E25E-4AEF-BE45-BF02F357A543}"/>
    <cellStyle name="Note 3 3 5 2 2 7" xfId="15231" xr:uid="{963EAE35-2D27-44AA-BCA1-EF545F759562}"/>
    <cellStyle name="Note 3 3 5 2 2 8" xfId="16894" xr:uid="{9753596D-D4B0-406D-9E0A-33E8A974D403}"/>
    <cellStyle name="Note 3 3 5 2 3" xfId="6746" xr:uid="{607D02CE-653E-4671-ABFF-533B33A2AC2C}"/>
    <cellStyle name="Note 3 3 5 2 4" xfId="8107" xr:uid="{8B06DFB6-D5F8-4678-A609-A323A1772CA7}"/>
    <cellStyle name="Note 3 3 5 2 5" xfId="9802" xr:uid="{162A9529-032C-45F0-8208-C5CEE716642E}"/>
    <cellStyle name="Note 3 3 5 2 6" xfId="11374" xr:uid="{6816BB8C-95FC-4928-9A6B-07114A0F551E}"/>
    <cellStyle name="Note 3 3 5 2 7" xfId="12786" xr:uid="{385F8239-7FB7-42DD-A999-79034CFFC65C}"/>
    <cellStyle name="Note 3 3 5 2 8" xfId="14445" xr:uid="{622F0C73-8C31-4BBA-AA85-5012F497233C}"/>
    <cellStyle name="Note 3 3 5 2 9" xfId="16126" xr:uid="{3C34090A-A9E0-40FF-96DD-5E35AB42AB4D}"/>
    <cellStyle name="Note 3 3 5 3" xfId="3744" xr:uid="{D9EF0720-DD86-4656-BB8B-E2B43D30B320}"/>
    <cellStyle name="Note 3 3 5 3 2" xfId="4684" xr:uid="{73307FA6-855F-4655-B96A-FD3A5FE6A465}"/>
    <cellStyle name="Note 3 3 5 3 2 2" xfId="7179" xr:uid="{35E1B088-A390-4A24-A84F-4884B57CBA2E}"/>
    <cellStyle name="Note 3 3 5 3 2 3" xfId="8597" xr:uid="{BD79DEC9-7B7E-450A-969A-A13766E949E9}"/>
    <cellStyle name="Note 3 3 5 3 2 4" xfId="10301" xr:uid="{F37DC229-C1DF-4176-AE90-5879B84348C1}"/>
    <cellStyle name="Note 3 3 5 3 2 5" xfId="11797" xr:uid="{76231811-B65F-45A9-9BAE-5B6B80C575E3}"/>
    <cellStyle name="Note 3 3 5 3 2 6" xfId="13274" xr:uid="{9D7B416D-BB42-488B-89A6-A5C77C502C1D}"/>
    <cellStyle name="Note 3 3 5 3 2 7" xfId="14944" xr:uid="{22829C17-BEC4-4FC7-9E2E-250ACD87690D}"/>
    <cellStyle name="Note 3 3 5 3 2 8" xfId="16614" xr:uid="{5C9301D5-BD92-4F5F-A37A-D8420C062E9D}"/>
    <cellStyle name="Note 3 3 5 3 3" xfId="6419" xr:uid="{A1637F8A-62C5-423E-BF68-B2EE090C7FDD}"/>
    <cellStyle name="Note 3 3 5 3 4" xfId="7675" xr:uid="{4734D547-5F7A-4F9F-BC95-4F7E4ACBAED9}"/>
    <cellStyle name="Note 3 3 5 3 5" xfId="9363" xr:uid="{AFCB26B3-9084-4230-A9D7-C380B4C8D6C0}"/>
    <cellStyle name="Note 3 3 5 3 6" xfId="11047" xr:uid="{54E00498-B03E-4A6E-B664-70B535E173D8}"/>
    <cellStyle name="Note 3 3 5 3 7" xfId="12354" xr:uid="{380AB2EB-560D-4062-AE9F-C91C3C313FD4}"/>
    <cellStyle name="Note 3 3 5 3 8" xfId="14006" xr:uid="{F3A96603-624B-4AEA-8AD2-A934C3122FBA}"/>
    <cellStyle name="Note 3 3 5 3 9" xfId="15694" xr:uid="{F8F3B2E9-BC64-46FD-93EC-ED8495860AE4}"/>
    <cellStyle name="Note 3 3 5 4" xfId="8966" xr:uid="{6E9719E9-3640-4E3E-821B-77E829DD103B}"/>
    <cellStyle name="Note 3 3 6" xfId="3081" xr:uid="{6479E783-FE79-4F51-8F28-B5ECB153D9A5}"/>
    <cellStyle name="Note 3 3 6 10" xfId="5635" xr:uid="{20AE3199-A278-4AE9-9201-37B9F811C34F}"/>
    <cellStyle name="Note 3 3 6 2" xfId="3961" xr:uid="{8443C408-14FB-42DD-A143-B9182DD63D62}"/>
    <cellStyle name="Note 3 3 6 2 2" xfId="4820" xr:uid="{606B1187-9194-40C1-BE07-F59BB05C53A4}"/>
    <cellStyle name="Note 3 3 6 2 2 2" xfId="7315" xr:uid="{F308CE57-ABEE-4EDE-A2DB-0B00B91D5772}"/>
    <cellStyle name="Note 3 3 6 2 2 3" xfId="8729" xr:uid="{E2E8C6C6-343C-4D16-A5C7-54444B68092D}"/>
    <cellStyle name="Note 3 3 6 2 2 4" xfId="10437" xr:uid="{2FDBC570-F2AF-4104-89C3-5A4AE13E1FB4}"/>
    <cellStyle name="Note 3 3 6 2 2 5" xfId="11933" xr:uid="{97F40D49-F971-47BC-AF67-FB0D58AB4C33}"/>
    <cellStyle name="Note 3 3 6 2 2 6" xfId="13406" xr:uid="{40117BAD-D7F1-4A82-BEF1-ABD6FDCBB9BA}"/>
    <cellStyle name="Note 3 3 6 2 2 7" xfId="15080" xr:uid="{94294678-89D1-49B3-A11C-21C40259F558}"/>
    <cellStyle name="Note 3 3 6 2 2 8" xfId="16746" xr:uid="{3DE5FDD7-1313-4229-A3C2-4D4C131EA4AF}"/>
    <cellStyle name="Note 3 3 6 2 3" xfId="6577" xr:uid="{2B0F0A15-65AA-4C11-B02A-49C0F2898164}"/>
    <cellStyle name="Note 3 3 6 2 4" xfId="7888" xr:uid="{0792CF48-C657-492C-9A1D-B6B0DC2AE25B}"/>
    <cellStyle name="Note 3 3 6 2 5" xfId="9580" xr:uid="{522A1F49-A08E-4ED8-9BD7-E52171EA3C0A}"/>
    <cellStyle name="Note 3 3 6 2 6" xfId="11207" xr:uid="{1478E784-7174-4C53-AB7D-72DDAD2107A8}"/>
    <cellStyle name="Note 3 3 6 2 7" xfId="12567" xr:uid="{9AE7F0CD-2721-41C8-962B-AAEE39F42397}"/>
    <cellStyle name="Note 3 3 6 2 8" xfId="14223" xr:uid="{3BE88018-8609-451B-801B-F594AE861F85}"/>
    <cellStyle name="Note 3 3 6 2 9" xfId="15907" xr:uid="{0A75467A-C239-45F2-8FD1-216E19D7D0D1}"/>
    <cellStyle name="Note 3 3 6 3" xfId="3523" xr:uid="{D75565A4-AD39-46F1-9A36-99BEEABD302F}"/>
    <cellStyle name="Note 3 3 6 3 2" xfId="4534" xr:uid="{972D7E64-40B9-4D3D-B806-88895DC5CEE5}"/>
    <cellStyle name="Note 3 3 6 3 2 2" xfId="7029" xr:uid="{83E71217-7BE4-4E65-9BB4-94063C983DC4}"/>
    <cellStyle name="Note 3 3 6 3 2 3" xfId="8449" xr:uid="{BD54AF52-644A-4679-BFA5-CFD62B02070E}"/>
    <cellStyle name="Note 3 3 6 3 2 4" xfId="10151" xr:uid="{99EB5C6B-1AE0-4966-8C5F-F44FF6508768}"/>
    <cellStyle name="Note 3 3 6 3 2 5" xfId="11647" xr:uid="{9B15A131-F5ED-4801-B618-AFC6E7BF8DA4}"/>
    <cellStyle name="Note 3 3 6 3 2 6" xfId="13126" xr:uid="{1DF990AB-D3EF-45C0-8D68-47C4DA8E000B}"/>
    <cellStyle name="Note 3 3 6 3 2 7" xfId="14794" xr:uid="{3E045CE8-F8DD-473A-BA4D-729226FDA970}"/>
    <cellStyle name="Note 3 3 6 3 2 8" xfId="16466" xr:uid="{53298847-CC9C-44D1-A947-B02A70F2E747}"/>
    <cellStyle name="Note 3 3 6 3 3" xfId="6247" xr:uid="{E6D92EA7-69E8-48BF-8441-2F21A9140E37}"/>
    <cellStyle name="Note 3 3 6 3 4" xfId="5537" xr:uid="{7826DBCB-A302-40D3-B4EE-20374F112CDF}"/>
    <cellStyle name="Note 3 3 6 3 5" xfId="9142" xr:uid="{B71E6955-A2DC-4B83-AE62-37A07BDF481E}"/>
    <cellStyle name="Note 3 3 6 3 6" xfId="10878" xr:uid="{54100293-AA80-4CA8-96B8-7572AEEE01B6}"/>
    <cellStyle name="Note 3 3 6 3 7" xfId="12135" xr:uid="{18E28259-543C-4B75-8AC4-7A6AEC4A9FC3}"/>
    <cellStyle name="Note 3 3 6 3 8" xfId="13785" xr:uid="{6803335C-9D75-4C3D-BADD-A575E5D79607}"/>
    <cellStyle name="Note 3 3 6 3 9" xfId="15475" xr:uid="{54EB5966-3D44-4F9A-9B6A-FC502970AAFB}"/>
    <cellStyle name="Note 3 3 6 4" xfId="4315" xr:uid="{659FC319-2599-414F-AE87-02EA5DF858F9}"/>
    <cellStyle name="Note 3 3 6 4 2" xfId="6840" xr:uid="{5BE7375D-A457-495D-B9BA-769A3D58D3C7}"/>
    <cellStyle name="Note 3 3 6 4 3" xfId="8236" xr:uid="{54FE401C-2B87-4880-BF61-9A58E8BF92BD}"/>
    <cellStyle name="Note 3 3 6 4 4" xfId="9932" xr:uid="{ED552C12-1EF1-4762-82F0-F81184EDA45B}"/>
    <cellStyle name="Note 3 3 6 4 5" xfId="11459" xr:uid="{5ABDAF68-03C3-4E3E-8C52-15FE73922FC1}"/>
    <cellStyle name="Note 3 3 6 4 6" xfId="12913" xr:uid="{156E5176-6B15-4780-B8C9-1C4C4765A179}"/>
    <cellStyle name="Note 3 3 6 4 7" xfId="14575" xr:uid="{51CDD84E-BA24-4A26-BF62-D35253E33CA4}"/>
    <cellStyle name="Note 3 3 6 4 8" xfId="16253" xr:uid="{A135F8F8-6112-464F-9E2A-3534CC89056C}"/>
    <cellStyle name="Note 3 3 6 5" xfId="5955" xr:uid="{E71880B2-A126-4ECB-86CD-A2F3DDA4496C}"/>
    <cellStyle name="Note 3 3 6 6" xfId="5751" xr:uid="{3DEEF8C7-E58D-40AF-8694-CB662BE24E25}"/>
    <cellStyle name="Note 3 3 6 7" xfId="5361" xr:uid="{C731CAA9-FFE2-4B79-8349-36B5B572FE57}"/>
    <cellStyle name="Note 3 3 6 8" xfId="5416" xr:uid="{3292BDFB-A0E8-4B8D-83D8-2CD31A6EF247}"/>
    <cellStyle name="Note 3 3 6 9" xfId="5432" xr:uid="{70617B09-7B69-4C25-9F68-93670C2A01DA}"/>
    <cellStyle name="Note 3 3 7" xfId="3252" xr:uid="{8196ECD9-64B8-4256-8CC7-16DCCA4F5043}"/>
    <cellStyle name="Note 3 3 7 10" xfId="15296" xr:uid="{F3C56D96-E418-48E2-8799-33281763684C}"/>
    <cellStyle name="Note 3 3 7 2" xfId="4132" xr:uid="{8C35AA0E-F820-486F-BE33-0E7F4219075B}"/>
    <cellStyle name="Note 3 3 7 2 2" xfId="4930" xr:uid="{D779D97C-4069-4A1F-B080-EB7AEA58B088}"/>
    <cellStyle name="Note 3 3 7 2 2 2" xfId="7425" xr:uid="{A2551FAA-A019-437D-A106-C8CD4574CECE}"/>
    <cellStyle name="Note 3 3 7 2 2 3" xfId="8837" xr:uid="{146FD951-C0FA-4369-8F1A-0BA20D232AD9}"/>
    <cellStyle name="Note 3 3 7 2 2 4" xfId="10547" xr:uid="{A50E6A81-B61A-4384-BEE3-DB48558A9FA9}"/>
    <cellStyle name="Note 3 3 7 2 2 5" xfId="12043" xr:uid="{1B1AFE69-97FD-4669-88FA-EE2FD9BD2B81}"/>
    <cellStyle name="Note 3 3 7 2 2 6" xfId="13514" xr:uid="{30966DE5-DDB1-4D24-9122-52B2598298FC}"/>
    <cellStyle name="Note 3 3 7 2 2 7" xfId="15190" xr:uid="{9C49A00C-D2C2-4CF5-9185-4066D2746931}"/>
    <cellStyle name="Note 3 3 7 2 2 8" xfId="16854" xr:uid="{952AE5BF-1BDE-4DC6-A2BF-0D6EC405C49A}"/>
    <cellStyle name="Note 3 3 7 2 3" xfId="6704" xr:uid="{ED8A4C42-CAD8-4E83-9858-F1B9275B9099}"/>
    <cellStyle name="Note 3 3 7 2 4" xfId="8057" xr:uid="{915CCCC0-2BC7-4712-9252-14EDB9AED27C}"/>
    <cellStyle name="Note 3 3 7 2 5" xfId="9751" xr:uid="{EEC5CBE0-F63A-4D35-AE41-437743CD90C0}"/>
    <cellStyle name="Note 3 3 7 2 6" xfId="11332" xr:uid="{5949E15B-C8A2-4697-8DB0-E03F16F7C912}"/>
    <cellStyle name="Note 3 3 7 2 7" xfId="12736" xr:uid="{DDC2A6F3-C404-49EE-91AC-433E7CDC0B7F}"/>
    <cellStyle name="Note 3 3 7 2 8" xfId="14394" xr:uid="{ABDF25D7-D8EF-49A4-8829-6B4E8031F911}"/>
    <cellStyle name="Note 3 3 7 2 9" xfId="16076" xr:uid="{BA0E1DBA-7FF5-4B3F-AB52-14E32D05E831}"/>
    <cellStyle name="Note 3 3 7 3" xfId="3694" xr:uid="{993D53BC-6C95-493D-B4B6-AC1579A7F9E8}"/>
    <cellStyle name="Note 3 3 7 3 2" xfId="4644" xr:uid="{43A4E717-3B76-48BD-89F4-517AB0D4F225}"/>
    <cellStyle name="Note 3 3 7 3 2 2" xfId="7139" xr:uid="{AE544D4A-536E-4BC9-9A5C-94CC304AFCC3}"/>
    <cellStyle name="Note 3 3 7 3 2 3" xfId="8557" xr:uid="{DE13EF89-26D0-42C4-BAE9-5C9F65E51D9E}"/>
    <cellStyle name="Note 3 3 7 3 2 4" xfId="10261" xr:uid="{C2303646-D956-4DF6-92EC-F2AEFCAABCC0}"/>
    <cellStyle name="Note 3 3 7 3 2 5" xfId="11757" xr:uid="{621465A7-83CB-405D-81C0-5546F445E277}"/>
    <cellStyle name="Note 3 3 7 3 2 6" xfId="13234" xr:uid="{2B06C237-503A-4C8A-94EC-C469B4C6ADAE}"/>
    <cellStyle name="Note 3 3 7 3 2 7" xfId="14904" xr:uid="{5EEEB27A-3121-4F92-A189-6EB3AD08F525}"/>
    <cellStyle name="Note 3 3 7 3 2 8" xfId="16574" xr:uid="{3D77677C-2ADB-4E61-BE44-53984AE3808B}"/>
    <cellStyle name="Note 3 3 7 3 3" xfId="6377" xr:uid="{98C19F45-D311-418E-93D6-8B09A76DE735}"/>
    <cellStyle name="Note 3 3 7 3 4" xfId="7625" xr:uid="{9835CEEA-96B5-41DB-839B-BFD5C1877180}"/>
    <cellStyle name="Note 3 3 7 3 5" xfId="9313" xr:uid="{CE67E33E-5343-4530-9A9E-4315810F65A9}"/>
    <cellStyle name="Note 3 3 7 3 6" xfId="11004" xr:uid="{4D6956E5-9743-4887-AF2B-0555F794402E}"/>
    <cellStyle name="Note 3 3 7 3 7" xfId="12304" xr:uid="{2F2DCE59-695C-4A78-BC19-2292BC853CB0}"/>
    <cellStyle name="Note 3 3 7 3 8" xfId="13956" xr:uid="{44FCF668-F0D2-4CB5-84D9-43E383E98E01}"/>
    <cellStyle name="Note 3 3 7 3 9" xfId="15644" xr:uid="{F15EF962-C62B-4A66-9A1F-30868A37E85B}"/>
    <cellStyle name="Note 3 3 7 4" xfId="4393" xr:uid="{9C0FDD3E-BD83-4B65-BF4D-C8F5EC907682}"/>
    <cellStyle name="Note 3 3 7 4 2" xfId="6901" xr:uid="{42F974CC-DF15-4967-BCC8-7311F92BCA01}"/>
    <cellStyle name="Note 3 3 7 4 3" xfId="8312" xr:uid="{59F77318-ECBF-4BCE-A7CC-D3B52627381C}"/>
    <cellStyle name="Note 3 3 7 4 4" xfId="10010" xr:uid="{D76676DA-6F89-4862-A182-32C2205E7D2C}"/>
    <cellStyle name="Note 3 3 7 4 5" xfId="11521" xr:uid="{7A1C580A-66F6-4E8C-BFF9-9E4CA5DDEBED}"/>
    <cellStyle name="Note 3 3 7 4 6" xfId="12989" xr:uid="{A10384A3-F81C-4F69-A624-C09F767A7CB3}"/>
    <cellStyle name="Note 3 3 7 4 7" xfId="14653" xr:uid="{09E8C9DA-1BBA-451F-8117-12EF0B9DEF4F}"/>
    <cellStyle name="Note 3 3 7 4 8" xfId="16329" xr:uid="{DDBF73B9-468C-43DA-A902-53F71AD8177D}"/>
    <cellStyle name="Note 3 3 7 5" xfId="6069" xr:uid="{9C3799E4-B47B-40A9-8125-8023FB5ECF93}"/>
    <cellStyle name="Note 3 3 7 6" xfId="5614" xr:uid="{61D63D76-95A4-470E-B86F-7F4353614F2A}"/>
    <cellStyle name="Note 3 3 7 7" xfId="10712" xr:uid="{6FCB9928-33BC-4351-A627-19EB7A0C8FA0}"/>
    <cellStyle name="Note 3 3 7 8" xfId="5374" xr:uid="{E4EF3BCB-C136-4E34-9288-008187056CD0}"/>
    <cellStyle name="Note 3 3 7 9" xfId="11325" xr:uid="{6427B275-6ACD-493F-AF95-3DBC53C59079}"/>
    <cellStyle name="Note 3 3 8" xfId="3364" xr:uid="{145BA428-6CA5-460F-A889-E894230DF581}"/>
    <cellStyle name="Note 3 3 8 10" xfId="15321" xr:uid="{FA1E9B95-5249-4918-AA08-20E6A6DF56B2}"/>
    <cellStyle name="Note 3 3 8 2" xfId="4244" xr:uid="{E0CE33F2-5607-46B1-877B-26CAEF6BA450}"/>
    <cellStyle name="Note 3 3 8 2 2" xfId="5000" xr:uid="{F4C2C49E-D408-4AEF-ACDF-66F5EC0ADEB4}"/>
    <cellStyle name="Note 3 3 8 2 2 2" xfId="7495" xr:uid="{9B065C93-9858-4FE6-B073-93173CFD2D3D}"/>
    <cellStyle name="Note 3 3 8 2 2 3" xfId="8905" xr:uid="{53F30C19-C30D-40F8-9B76-32286EC1E4F6}"/>
    <cellStyle name="Note 3 3 8 2 2 4" xfId="10617" xr:uid="{1F00BABE-6603-46A6-B8C4-6C6166F07147}"/>
    <cellStyle name="Note 3 3 8 2 2 5" xfId="12113" xr:uid="{DC55DD4D-D460-41DF-961C-988D26B5B2D2}"/>
    <cellStyle name="Note 3 3 8 2 2 6" xfId="13582" xr:uid="{1F0E5969-3752-4480-9E4D-A73C1272468D}"/>
    <cellStyle name="Note 3 3 8 2 2 7" xfId="15260" xr:uid="{1CAB4C0C-42B6-4593-9860-4E636FD74545}"/>
    <cellStyle name="Note 3 3 8 2 2 8" xfId="16922" xr:uid="{E7CBF845-D684-4218-B6C6-5EAA86ED8D4B}"/>
    <cellStyle name="Note 3 3 8 2 3" xfId="6786" xr:uid="{17A7CEF1-ADDD-43A1-9791-407412D7474D}"/>
    <cellStyle name="Note 3 3 8 2 4" xfId="8167" xr:uid="{F759D8BA-B0E8-43FE-AE26-908A37F0C0B4}"/>
    <cellStyle name="Note 3 3 8 2 5" xfId="9863" xr:uid="{A1BED41D-2A1E-479F-809E-13FDF102335A}"/>
    <cellStyle name="Note 3 3 8 2 6" xfId="11406" xr:uid="{6D20073E-B218-485A-B289-71AD794E5140}"/>
    <cellStyle name="Note 3 3 8 2 7" xfId="12846" xr:uid="{B9010524-7F86-441C-84B7-6DAD9CD1239A}"/>
    <cellStyle name="Note 3 3 8 2 8" xfId="14506" xr:uid="{B978EA30-E85E-428C-8D81-E78E650B2AF5}"/>
    <cellStyle name="Note 3 3 8 2 9" xfId="16186" xr:uid="{92F52CD2-7A12-4BB7-AB59-29EDEC6A83D4}"/>
    <cellStyle name="Note 3 3 8 3" xfId="3804" xr:uid="{64B8BBB7-F3A4-4237-8862-3F67619241BA}"/>
    <cellStyle name="Note 3 3 8 3 2" xfId="4712" xr:uid="{593C1342-9638-4A89-AEB9-06DCB2841CA5}"/>
    <cellStyle name="Note 3 3 8 3 2 2" xfId="7207" xr:uid="{A0EFE748-C397-4B33-92C5-AFC9A4A814BF}"/>
    <cellStyle name="Note 3 3 8 3 2 3" xfId="8625" xr:uid="{66C20E19-9DCB-406D-A63F-2F199B000E4E}"/>
    <cellStyle name="Note 3 3 8 3 2 4" xfId="10329" xr:uid="{AD1D6BFF-FD2E-420B-AE82-4FB58156564A}"/>
    <cellStyle name="Note 3 3 8 3 2 5" xfId="11825" xr:uid="{C7A84E25-721C-4193-AB54-0629C15F1BC7}"/>
    <cellStyle name="Note 3 3 8 3 2 6" xfId="13302" xr:uid="{47EC29A9-053E-47D4-AA78-51790C954710}"/>
    <cellStyle name="Note 3 3 8 3 2 7" xfId="14972" xr:uid="{886684BF-859E-4682-8F48-C39ED6D50FD5}"/>
    <cellStyle name="Note 3 3 8 3 2 8" xfId="16642" xr:uid="{373D9CF3-C366-44FA-B417-ED5C5DBF9EF4}"/>
    <cellStyle name="Note 3 3 8 3 3" xfId="6457" xr:uid="{787A20F0-03F4-4C28-A9C6-305B34D4E8D1}"/>
    <cellStyle name="Note 3 3 8 3 4" xfId="7735" xr:uid="{AE83F1AF-05BB-4B5C-9BE3-BD35EE705C9A}"/>
    <cellStyle name="Note 3 3 8 3 5" xfId="9423" xr:uid="{8264D7D5-A6A1-4417-842C-2E3F0D69E84C}"/>
    <cellStyle name="Note 3 3 8 3 6" xfId="11086" xr:uid="{0D17FEA1-9C4A-4439-870C-E2324C8E8C22}"/>
    <cellStyle name="Note 3 3 8 3 7" xfId="12414" xr:uid="{24F95C21-8DA2-4F7F-BEB6-0671A55C39EF}"/>
    <cellStyle name="Note 3 3 8 3 8" xfId="14066" xr:uid="{DC03B8F5-6620-4732-8215-13A0E2CAE1A4}"/>
    <cellStyle name="Note 3 3 8 3 9" xfId="15754" xr:uid="{A183FE1E-3F4D-482A-97D5-28D95DC52CC5}"/>
    <cellStyle name="Note 3 3 8 4" xfId="4420" xr:uid="{8A3F47B5-3733-4DB6-AAF6-88ED2EB22852}"/>
    <cellStyle name="Note 3 3 8 4 2" xfId="6921" xr:uid="{15240424-FD49-4A89-9C85-69007A7D7842}"/>
    <cellStyle name="Note 3 3 8 4 3" xfId="8337" xr:uid="{AD54F913-0FC6-4C9E-B856-0A1B7616E58F}"/>
    <cellStyle name="Note 3 3 8 4 4" xfId="10037" xr:uid="{EE717BF9-FC15-47F9-AA5A-54B73BEDE7B3}"/>
    <cellStyle name="Note 3 3 8 4 5" xfId="11538" xr:uid="{C3A6ABF0-A35F-4C7E-91F2-B4EBBA1B6C29}"/>
    <cellStyle name="Note 3 3 8 4 6" xfId="13014" xr:uid="{00B5D1F3-57B3-4A66-861B-94C11571D6D3}"/>
    <cellStyle name="Note 3 3 8 4 7" xfId="14680" xr:uid="{FD420267-0C80-4BBF-96B2-3504CD2C1A06}"/>
    <cellStyle name="Note 3 3 8 4 8" xfId="16354" xr:uid="{F3FAB97A-5903-4C5A-971E-3BFD28FB765E}"/>
    <cellStyle name="Note 3 3 8 5" xfId="6122" xr:uid="{60B6F242-AEAB-482B-A03C-51BD4136682F}"/>
    <cellStyle name="Note 3 3 8 6" xfId="5647" xr:uid="{F80EA8E1-3CB5-4145-ADE6-2B4AC9762397}"/>
    <cellStyle name="Note 3 3 8 7" xfId="10754" xr:uid="{488CA7F9-539D-4ECB-AB40-B598BEB3237E}"/>
    <cellStyle name="Note 3 3 8 8" xfId="10728" xr:uid="{5E8394DC-4A07-4B44-9C8E-EDA333851355}"/>
    <cellStyle name="Note 3 3 8 9" xfId="13630" xr:uid="{620D4184-C423-4B71-AC0D-08C93801312C}"/>
    <cellStyle name="Note 3 3 9" xfId="3861" xr:uid="{AF79776F-7176-4AF4-8FF2-A803C08BEE8E}"/>
    <cellStyle name="Note 3 3 9 2" xfId="4756" xr:uid="{BC6ADE50-E958-48F4-B428-98925C8A7FDE}"/>
    <cellStyle name="Note 3 3 9 2 2" xfId="7251" xr:uid="{86A849D0-99C9-4D9E-8A65-3FCF5C3E4EA4}"/>
    <cellStyle name="Note 3 3 9 2 3" xfId="8667" xr:uid="{AB8A747C-1387-4E63-B7C8-38EF81086F78}"/>
    <cellStyle name="Note 3 3 9 2 4" xfId="10373" xr:uid="{41CAF0BF-FFD8-449D-BC6D-FEE9D0118A1B}"/>
    <cellStyle name="Note 3 3 9 2 5" xfId="11869" xr:uid="{9DFE0185-4D82-4023-A319-D2C1A66C3AA4}"/>
    <cellStyle name="Note 3 3 9 2 6" xfId="13344" xr:uid="{FD186ED3-179E-46A7-BB91-AA95B36B4A8B}"/>
    <cellStyle name="Note 3 3 9 2 7" xfId="15016" xr:uid="{7B79342A-1D90-47F1-B4F0-236B6501B23F}"/>
    <cellStyle name="Note 3 3 9 2 8" xfId="16684" xr:uid="{FE0B9A30-3EB9-4EB1-97D0-86730A9DB777}"/>
    <cellStyle name="Note 3 3 9 3" xfId="6504" xr:uid="{D4A065C7-85B3-4C77-9A05-C6EFDBC74AC2}"/>
    <cellStyle name="Note 3 3 9 4" xfId="7790" xr:uid="{E41ED671-BFAE-40FA-85B5-9212F5ADDAEA}"/>
    <cellStyle name="Note 3 3 9 5" xfId="9480" xr:uid="{3E71427D-2BAA-4481-8907-61D11A57BEBA}"/>
    <cellStyle name="Note 3 3 9 6" xfId="11134" xr:uid="{774CF796-EB9C-4CA9-AAFC-4F43FE1C2261}"/>
    <cellStyle name="Note 3 3 9 7" xfId="12469" xr:uid="{202E4C8A-F660-46D0-9455-89B6FED2070A}"/>
    <cellStyle name="Note 3 3 9 8" xfId="14123" xr:uid="{9E11A985-BB6B-48CC-B259-C3815CA0D884}"/>
    <cellStyle name="Note 3 3 9 9" xfId="15809" xr:uid="{8C5A78B5-D516-4D1F-B1CE-5ABC650CB7E5}"/>
    <cellStyle name="Note 3 4" xfId="3020" xr:uid="{873AE689-F996-4948-B460-28E3ECB4E2E3}"/>
    <cellStyle name="Note 3 4 2" xfId="3900" xr:uid="{11B32150-DF4D-40F0-B639-09AB1BDF7C85}"/>
    <cellStyle name="Note 3 4 2 2" xfId="4779" xr:uid="{B9377862-D0F5-4FA0-A26E-26440BAC5A05}"/>
    <cellStyle name="Note 3 4 2 2 2" xfId="7274" xr:uid="{F73009DB-7E94-46F0-8FE3-D2ED618F4B6F}"/>
    <cellStyle name="Note 3 4 2 2 3" xfId="8689" xr:uid="{F5EC1A77-E8A1-455C-AC94-56E053D83C05}"/>
    <cellStyle name="Note 3 4 2 2 4" xfId="10396" xr:uid="{5C865BAE-B65C-4506-8341-EC6489FE3899}"/>
    <cellStyle name="Note 3 4 2 2 5" xfId="11892" xr:uid="{8993C123-6FAE-450E-8A46-C92C974AC851}"/>
    <cellStyle name="Note 3 4 2 2 6" xfId="13366" xr:uid="{F0B456F7-40BE-4664-81C2-49C15B75BCEC}"/>
    <cellStyle name="Note 3 4 2 2 7" xfId="15039" xr:uid="{37C82D8C-ECD7-429B-B4BA-0687EA1FFE76}"/>
    <cellStyle name="Note 3 4 2 2 8" xfId="16706" xr:uid="{F83BBA7B-F521-42B4-BF17-961ACA3F1ED8}"/>
    <cellStyle name="Note 3 4 2 3" xfId="6533" xr:uid="{81F6E879-C394-43AB-92E5-7920AF4EF112}"/>
    <cellStyle name="Note 3 4 2 4" xfId="7828" xr:uid="{B90FA226-480F-42D7-86B9-1E0B879B2E4F}"/>
    <cellStyle name="Note 3 4 2 5" xfId="9519" xr:uid="{308E0FBD-1DAE-4B2E-BA06-10F541DE8B65}"/>
    <cellStyle name="Note 3 4 2 6" xfId="11164" xr:uid="{6720C0DC-9A24-4CF0-8BAD-D790CAD64070}"/>
    <cellStyle name="Note 3 4 2 7" xfId="12507" xr:uid="{4AF0AD86-257E-4D1B-8254-029138445F5D}"/>
    <cellStyle name="Note 3 4 2 8" xfId="14162" xr:uid="{74E90142-7341-4CD7-A933-B4B0A4B98B4A}"/>
    <cellStyle name="Note 3 4 2 9" xfId="15847" xr:uid="{84D17837-2DCD-4FBF-85CF-E2AF94965608}"/>
    <cellStyle name="Note 3 4 3" xfId="3462" xr:uid="{CB6425CD-601C-4228-B98A-C9A6C0DF36B3}"/>
    <cellStyle name="Note 3 4 3 2" xfId="4493" xr:uid="{C67881C3-A8D8-466F-AFC6-CBA7F55770B7}"/>
    <cellStyle name="Note 3 4 3 2 2" xfId="6988" xr:uid="{E045228A-0266-4FA3-97C5-B892B1DD09BA}"/>
    <cellStyle name="Note 3 4 3 2 3" xfId="8409" xr:uid="{7FAB5549-40D3-4A1A-91C2-DCE964CC7BD1}"/>
    <cellStyle name="Note 3 4 3 2 4" xfId="10110" xr:uid="{C461E9E1-0184-409F-9424-DE191CEF456E}"/>
    <cellStyle name="Note 3 4 3 2 5" xfId="11606" xr:uid="{33937A2C-C01C-4B8D-A161-2B67D6E5696C}"/>
    <cellStyle name="Note 3 4 3 2 6" xfId="13086" xr:uid="{FB0242FF-A358-4DE6-B8DF-8A4629C4B1BC}"/>
    <cellStyle name="Note 3 4 3 2 7" xfId="14753" xr:uid="{5E5E5122-3904-4663-B85E-DCA1EF2B9792}"/>
    <cellStyle name="Note 3 4 3 2 8" xfId="16426" xr:uid="{7BE043A7-60A9-4685-B66B-6215FBEE06F4}"/>
    <cellStyle name="Note 3 4 3 3" xfId="6201" xr:uid="{EDBA22E2-C610-4BDF-9DA5-865EAF01526E}"/>
    <cellStyle name="Note 3 4 3 4" xfId="5184" xr:uid="{322CA423-8D9A-48DF-9113-2D479756E4EC}"/>
    <cellStyle name="Note 3 4 3 5" xfId="9081" xr:uid="{E38DA4B5-2DDB-43F4-B112-99C6F210C189}"/>
    <cellStyle name="Note 3 4 3 6" xfId="10835" xr:uid="{95C98D1F-E9E3-4DDF-9B5F-C5BD9B64403B}"/>
    <cellStyle name="Note 3 4 3 7" xfId="5514" xr:uid="{53DA9108-C8F5-4466-AD3B-19C271D4E1D5}"/>
    <cellStyle name="Note 3 4 3 8" xfId="13724" xr:uid="{E6DC6EA5-B8B0-4BCF-BA72-8E870C8EFD50}"/>
    <cellStyle name="Note 3 4 3 9" xfId="15415" xr:uid="{B2184324-05A1-44D7-94E0-F9363F0E0AB1}"/>
    <cellStyle name="Note 3 4 4" xfId="6875" xr:uid="{65152FA0-3270-443B-A5F5-748E048FFC4F}"/>
    <cellStyle name="Note 3 5" xfId="3040" xr:uid="{567B9CB9-A257-4F5B-9F88-7FF046A3EEBE}"/>
    <cellStyle name="Note 3 5 10" xfId="13600" xr:uid="{B49BA71D-7515-4662-A776-7F5876784953}"/>
    <cellStyle name="Note 3 5 2" xfId="3920" xr:uid="{6F6C14DD-A70D-41E1-AF6A-EDF61C6FE456}"/>
    <cellStyle name="Note 3 5 2 2" xfId="4793" xr:uid="{41E8337F-BE0F-4210-81B2-D2A605711638}"/>
    <cellStyle name="Note 3 5 2 2 2" xfId="7288" xr:uid="{63A14AB0-50B5-4579-94D0-BE1AED6A5CB5}"/>
    <cellStyle name="Note 3 5 2 2 3" xfId="8703" xr:uid="{ECC0F050-2CD2-46B7-8AF7-00C1AF5F6406}"/>
    <cellStyle name="Note 3 5 2 2 4" xfId="10410" xr:uid="{75742F39-3428-45D8-8F5B-D830B0F6C472}"/>
    <cellStyle name="Note 3 5 2 2 5" xfId="11906" xr:uid="{5342A73A-BC77-4792-8CC7-536FCABA61C1}"/>
    <cellStyle name="Note 3 5 2 2 6" xfId="13380" xr:uid="{9DE8C876-89EE-4B8E-9C99-B5A1FDE9262E}"/>
    <cellStyle name="Note 3 5 2 2 7" xfId="15053" xr:uid="{CBB8C818-B39D-4386-8938-06E81FE82988}"/>
    <cellStyle name="Note 3 5 2 2 8" xfId="16720" xr:uid="{6E72BDB5-1925-4EDC-86B5-226E9023032F}"/>
    <cellStyle name="Note 3 5 2 3" xfId="6548" xr:uid="{D94C0B8D-4627-4CEB-BA4C-D91985F53D24}"/>
    <cellStyle name="Note 3 5 2 4" xfId="7848" xr:uid="{1E9BE6C6-2181-45CC-A3D9-7A64B6B8DED3}"/>
    <cellStyle name="Note 3 5 2 5" xfId="9539" xr:uid="{135FF150-FA4C-4E03-A1AA-C81B99FFB927}"/>
    <cellStyle name="Note 3 5 2 6" xfId="11179" xr:uid="{17AEE9C8-2017-4CB7-9FE3-9C2F2CD3457A}"/>
    <cellStyle name="Note 3 5 2 7" xfId="12527" xr:uid="{0D5A4DF0-E3DF-48F8-9BE4-E770DC3FAE6A}"/>
    <cellStyle name="Note 3 5 2 8" xfId="14182" xr:uid="{015BD122-8356-481A-9893-96000DE7030C}"/>
    <cellStyle name="Note 3 5 2 9" xfId="15867" xr:uid="{EF99055A-A5F5-4539-8B60-65F5781EE0BB}"/>
    <cellStyle name="Note 3 5 3" xfId="3482" xr:uid="{393B4199-9D28-4045-B45C-1A1137A5DE4C}"/>
    <cellStyle name="Note 3 5 3 2" xfId="4507" xr:uid="{DF83D526-BD78-4C24-B576-A24818102B65}"/>
    <cellStyle name="Note 3 5 3 2 2" xfId="7002" xr:uid="{8A16C3AC-CFC5-44E3-8008-00D43ABC397B}"/>
    <cellStyle name="Note 3 5 3 2 3" xfId="8423" xr:uid="{784C412C-6A5A-4E00-AA9C-C35913C481E0}"/>
    <cellStyle name="Note 3 5 3 2 4" xfId="10124" xr:uid="{4CFB5B03-3166-460D-BC75-42F19821B61D}"/>
    <cellStyle name="Note 3 5 3 2 5" xfId="11620" xr:uid="{FB300128-ACC0-4704-B392-DAC61452D9BF}"/>
    <cellStyle name="Note 3 5 3 2 6" xfId="13100" xr:uid="{E66CD071-6367-4F32-BD7C-C4FA838CDB77}"/>
    <cellStyle name="Note 3 5 3 2 7" xfId="14767" xr:uid="{131D12CA-DD60-43F2-8421-F8F715D911D4}"/>
    <cellStyle name="Note 3 5 3 2 8" xfId="16440" xr:uid="{97012418-1785-4DE2-BEEB-963DA2945B8B}"/>
    <cellStyle name="Note 3 5 3 3" xfId="6215" xr:uid="{962195A1-837F-44B8-944F-B0FBDEF64B58}"/>
    <cellStyle name="Note 3 5 3 4" xfId="5063" xr:uid="{220F1D81-C45E-4357-B328-E8C4E47AF628}"/>
    <cellStyle name="Note 3 5 3 5" xfId="9101" xr:uid="{572D3C71-BF63-494E-9275-BF3E0737975F}"/>
    <cellStyle name="Note 3 5 3 6" xfId="10850" xr:uid="{454879FA-AEDC-4D8D-81B4-5E644EE4A22E}"/>
    <cellStyle name="Note 3 5 3 7" xfId="5344" xr:uid="{EF01B14A-A360-4198-ADCD-17DAD8F8ABF2}"/>
    <cellStyle name="Note 3 5 3 8" xfId="13744" xr:uid="{0CC64446-4DB9-4432-A153-5FCC4676C49E}"/>
    <cellStyle name="Note 3 5 3 9" xfId="15435" xr:uid="{C8C03F87-29C2-432A-8C2E-FC31E87E189C}"/>
    <cellStyle name="Note 3 5 4" xfId="4289" xr:uid="{E1957AC5-A18F-408E-9D40-2A6FD0486F39}"/>
    <cellStyle name="Note 3 5 4 2" xfId="6819" xr:uid="{116E9FEB-18D2-4E7A-B512-0A5E4C99CF77}"/>
    <cellStyle name="Note 3 5 4 3" xfId="8211" xr:uid="{0771D097-642E-4CF1-B8E1-2EC5953E2925}"/>
    <cellStyle name="Note 3 5 4 4" xfId="9906" xr:uid="{D4CBA157-03DB-4841-84A9-1ACA1D1A15BD}"/>
    <cellStyle name="Note 3 5 4 5" xfId="11439" xr:uid="{E0078BA4-E1D7-4BE4-9BBF-F8AD16728A5A}"/>
    <cellStyle name="Note 3 5 4 6" xfId="12888" xr:uid="{D005346F-1E8F-48B1-8893-CFFA5DCD477F}"/>
    <cellStyle name="Note 3 5 4 7" xfId="14549" xr:uid="{35DADA13-0853-4CC1-B1BB-3E7AD23195F6}"/>
    <cellStyle name="Note 3 5 4 8" xfId="16228" xr:uid="{2C392B0E-5A1A-42A0-81F6-13E723E28FD3}"/>
    <cellStyle name="Note 3 5 5" xfId="5924" xr:uid="{139FADAF-5066-4A7A-83FF-3255EF4FA26E}"/>
    <cellStyle name="Note 3 5 6" xfId="5697" xr:uid="{49B425F2-3DA4-4C39-AA14-00144FF88012}"/>
    <cellStyle name="Note 3 5 7" xfId="5812" xr:uid="{00236CE4-6FB8-43FF-9451-5B8C1A67AFDA}"/>
    <cellStyle name="Note 3 5 8" xfId="5435" xr:uid="{4D357332-2860-4EF5-93C3-FB89D00C4867}"/>
    <cellStyle name="Note 3 5 9" xfId="5819" xr:uid="{C89664D4-EE7E-4BAA-ABF0-F95DDEAA8AA0}"/>
    <cellStyle name="Note 3 6" xfId="3068" xr:uid="{48F0D2C2-56A7-4831-A30F-D576F054729D}"/>
    <cellStyle name="Note 3 6 10" xfId="11315" xr:uid="{B8EC8BF7-54A8-4BC5-BE4C-295BB6717AAA}"/>
    <cellStyle name="Note 3 6 2" xfId="3948" xr:uid="{D4493088-1CE8-4CB4-A1F0-AB246348A437}"/>
    <cellStyle name="Note 3 6 2 2" xfId="4812" xr:uid="{AFF366D3-9C90-403F-99FC-ADD9AB807AAB}"/>
    <cellStyle name="Note 3 6 2 2 2" xfId="7307" xr:uid="{800F8F7A-DE49-4970-8D7A-BF10D9C4CB11}"/>
    <cellStyle name="Note 3 6 2 2 3" xfId="8721" xr:uid="{AA814052-57BC-4940-8194-61339C190C4A}"/>
    <cellStyle name="Note 3 6 2 2 4" xfId="10429" xr:uid="{F109303D-C679-4210-9F72-D2676BDC9DA5}"/>
    <cellStyle name="Note 3 6 2 2 5" xfId="11925" xr:uid="{6985DDAA-3FDD-40C5-8EF5-3CD6A519CAF0}"/>
    <cellStyle name="Note 3 6 2 2 6" xfId="13398" xr:uid="{79A10316-D000-4EEC-8DE6-05A4728C1F72}"/>
    <cellStyle name="Note 3 6 2 2 7" xfId="15072" xr:uid="{5C46F796-8F2A-4863-A656-811860350892}"/>
    <cellStyle name="Note 3 6 2 2 8" xfId="16738" xr:uid="{AA68712A-C359-491E-A15E-70FE65722A10}"/>
    <cellStyle name="Note 3 6 2 3" xfId="6569" xr:uid="{BCB3A561-F4FB-44E7-8494-04E5C643C8A4}"/>
    <cellStyle name="Note 3 6 2 4" xfId="7875" xr:uid="{B767FFE7-EEC4-4476-8830-44DDB78F75B3}"/>
    <cellStyle name="Note 3 6 2 5" xfId="9567" xr:uid="{DF083465-18A0-437E-A0D1-D9598BB3C85A}"/>
    <cellStyle name="Note 3 6 2 6" xfId="11199" xr:uid="{AD594469-C0F4-48BD-8A52-C467F2FAF4ED}"/>
    <cellStyle name="Note 3 6 2 7" xfId="12554" xr:uid="{3AFCEF2A-A83B-4F45-9A9B-74DC0ED4EE68}"/>
    <cellStyle name="Note 3 6 2 8" xfId="14210" xr:uid="{1180F9D1-C2C3-4EFD-AFBC-1ED55A9C0125}"/>
    <cellStyle name="Note 3 6 2 9" xfId="15894" xr:uid="{02085C31-5A59-4A25-AFE5-6E8E8E640E55}"/>
    <cellStyle name="Note 3 6 3" xfId="3510" xr:uid="{49C8B188-5A8E-4942-B579-E4A64C19CDD7}"/>
    <cellStyle name="Note 3 6 3 2" xfId="4526" xr:uid="{487B2425-6BB7-4409-8CBA-3F7C159D1E74}"/>
    <cellStyle name="Note 3 6 3 2 2" xfId="7021" xr:uid="{9BCD1BA9-DB60-4B41-BFA0-AD62551F97CB}"/>
    <cellStyle name="Note 3 6 3 2 3" xfId="8441" xr:uid="{95A95177-3F1B-4C33-A4A3-C2703F62E9B1}"/>
    <cellStyle name="Note 3 6 3 2 4" xfId="10143" xr:uid="{B9941BCC-FA23-407C-B07F-BA3269D391C4}"/>
    <cellStyle name="Note 3 6 3 2 5" xfId="11639" xr:uid="{876A4FD2-FD01-4B5E-820A-0B884E6EEB30}"/>
    <cellStyle name="Note 3 6 3 2 6" xfId="13118" xr:uid="{E85B75A2-AEA4-4C8B-A6F7-5458334CC540}"/>
    <cellStyle name="Note 3 6 3 2 7" xfId="14786" xr:uid="{A073EC15-840E-4FEA-8FC2-54FDBCFE3617}"/>
    <cellStyle name="Note 3 6 3 2 8" xfId="16458" xr:uid="{5262FAEC-CD34-432C-AA03-82E81C8DBA96}"/>
    <cellStyle name="Note 3 6 3 3" xfId="6239" xr:uid="{1568B85E-EC9B-4E76-B9FC-2A8024BD723B}"/>
    <cellStyle name="Note 3 6 3 4" xfId="5147" xr:uid="{83F2DA71-6392-49EA-B1E3-2FB42554B0C7}"/>
    <cellStyle name="Note 3 6 3 5" xfId="9129" xr:uid="{F6E57818-AEBC-4E00-8CB5-569353E545BF}"/>
    <cellStyle name="Note 3 6 3 6" xfId="10870" xr:uid="{15EA9A4C-B2F7-40A9-88C7-2133E45BF121}"/>
    <cellStyle name="Note 3 6 3 7" xfId="5707" xr:uid="{E93E5C87-B33C-4ACF-A5EC-7E3E07D9A6AE}"/>
    <cellStyle name="Note 3 6 3 8" xfId="13772" xr:uid="{C1872983-DA8C-4507-A7DC-A80CE8BB66B5}"/>
    <cellStyle name="Note 3 6 3 9" xfId="15462" xr:uid="{1EC86895-438F-4565-AF0B-D456DCC23DAE}"/>
    <cellStyle name="Note 3 6 4" xfId="4308" xr:uid="{6CC8A1E0-CCB4-424F-AF60-4B8B2D89A3F3}"/>
    <cellStyle name="Note 3 6 4 2" xfId="6834" xr:uid="{E1533255-A2EA-4E67-A88F-22FCA2A6F02F}"/>
    <cellStyle name="Note 3 6 4 3" xfId="8229" xr:uid="{7B3DA85D-D68D-4F79-A7CB-C96AC08459B6}"/>
    <cellStyle name="Note 3 6 4 4" xfId="9925" xr:uid="{9F67E9D9-60A1-4731-AE7E-344FF80CA17A}"/>
    <cellStyle name="Note 3 6 4 5" xfId="11453" xr:uid="{B783B169-A263-4C51-A3E7-59BBB9264176}"/>
    <cellStyle name="Note 3 6 4 6" xfId="12906" xr:uid="{1A169750-26CD-457A-8286-E9A6B66E0DA7}"/>
    <cellStyle name="Note 3 6 4 7" xfId="14568" xr:uid="{6D0AAF3C-27B8-47CB-A2C4-608FD7D7B14F}"/>
    <cellStyle name="Note 3 6 4 8" xfId="16246" xr:uid="{659E5C53-873B-4845-9E97-CB080A14FA15}"/>
    <cellStyle name="Note 3 6 5" xfId="5947" xr:uid="{2C614B50-30EF-4BA9-8198-CBA8E7CD62D5}"/>
    <cellStyle name="Note 3 6 6" xfId="5714" xr:uid="{025BC974-974B-4DCA-9DCB-9AFFC1AD8353}"/>
    <cellStyle name="Note 3 6 7" xfId="5814" xr:uid="{260C3647-7EC6-4618-9023-0B41599C4C82}"/>
    <cellStyle name="Note 3 6 8" xfId="5422" xr:uid="{A0A79B10-4BE2-4560-A95A-969170D1D9FE}"/>
    <cellStyle name="Note 3 6 9" xfId="5281" xr:uid="{FDA091E9-4B08-428D-AD16-DB08B78E3C64}"/>
    <cellStyle name="Note 3 7" xfId="3843" xr:uid="{5FEE6529-560E-4DA5-8796-0B641B45B4AF}"/>
    <cellStyle name="Note 3 7 2" xfId="4742" xr:uid="{62F7E376-9238-4451-B124-6037C8A3831E}"/>
    <cellStyle name="Note 3 7 2 2" xfId="7237" xr:uid="{7ADDF485-5094-4B1A-A010-77F049B18346}"/>
    <cellStyle name="Note 3 7 2 3" xfId="8653" xr:uid="{D7EEC84F-90EF-43BF-B4C3-ABE341ED9EB9}"/>
    <cellStyle name="Note 3 7 2 4" xfId="10359" xr:uid="{CFD6B0F8-369E-4C61-80EB-16CE814012B0}"/>
    <cellStyle name="Note 3 7 2 5" xfId="11855" xr:uid="{BF54EAF8-0E73-4FA1-8854-E78E75051A27}"/>
    <cellStyle name="Note 3 7 2 6" xfId="13330" xr:uid="{DDF5EE7D-0B02-42BA-9DD0-19A805231141}"/>
    <cellStyle name="Note 3 7 2 7" xfId="15002" xr:uid="{03BF78B2-392C-43D5-B1FA-893FC4361395}"/>
    <cellStyle name="Note 3 7 2 8" xfId="16670" xr:uid="{2850400F-224F-417B-AC8B-6417CADE80EB}"/>
    <cellStyle name="Note 3 7 3" xfId="6488" xr:uid="{25D29C01-65E5-47B7-BF7D-5F3A03C1F736}"/>
    <cellStyle name="Note 3 7 4" xfId="7772" xr:uid="{0E39A62E-46C2-4D00-87A5-0F0B73D408F9}"/>
    <cellStyle name="Note 3 7 5" xfId="9462" xr:uid="{88A820A1-3C72-462A-978D-3E469860E4B8}"/>
    <cellStyle name="Note 3 7 6" xfId="11119" xr:uid="{F31CACDF-3BB9-4B17-A2CC-D8C16A7398CF}"/>
    <cellStyle name="Note 3 7 7" xfId="12451" xr:uid="{D0D3ACC7-71CD-4229-BF2D-49911B3416FA}"/>
    <cellStyle name="Note 3 7 8" xfId="14105" xr:uid="{1410457E-1BD4-4EA3-930D-FBF1A8E3B6A1}"/>
    <cellStyle name="Note 3 7 9" xfId="15791" xr:uid="{6571FF9D-7C88-4E22-BE54-DC140706ED04}"/>
    <cellStyle name="Note 3 8" xfId="3406" xr:uid="{707F4641-B1B3-43A6-8593-6E8BAD7FEEB8}"/>
    <cellStyle name="Note 3 8 2" xfId="4457" xr:uid="{70E88654-216E-458A-A3B1-A6B25E4C3999}"/>
    <cellStyle name="Note 3 8 2 2" xfId="6952" xr:uid="{3C6D899A-61F7-419A-842F-4081A8BB09B3}"/>
    <cellStyle name="Note 3 8 2 3" xfId="8373" xr:uid="{8FF9CEFA-240C-4E8A-B039-C218468F8170}"/>
    <cellStyle name="Note 3 8 2 4" xfId="10074" xr:uid="{9D100D79-DE98-4F5A-8597-C308D3AC4CD9}"/>
    <cellStyle name="Note 3 8 2 5" xfId="11570" xr:uid="{0BA8198B-04E7-43F1-9071-DC30AF95D142}"/>
    <cellStyle name="Note 3 8 2 6" xfId="13050" xr:uid="{E6962E5F-35F4-4B7A-AC97-7B1F28E680DF}"/>
    <cellStyle name="Note 3 8 2 7" xfId="14717" xr:uid="{70773048-C799-4B90-B043-8F075FF53141}"/>
    <cellStyle name="Note 3 8 2 8" xfId="16390" xr:uid="{3E0990F1-8FD9-4360-91F3-A89D6E8C1DC2}"/>
    <cellStyle name="Note 3 8 3" xfId="6159" xr:uid="{D4DAD2BF-3BDD-4903-85CA-75116B4EC466}"/>
    <cellStyle name="Note 3 8 4" xfId="5958" xr:uid="{23A98434-5A23-4DA3-BE67-28073372A5B3}"/>
    <cellStyle name="Note 3 8 5" xfId="9025" xr:uid="{9BECD93D-61E1-4AB3-B063-04941ACBCF6A}"/>
    <cellStyle name="Note 3 8 6" xfId="10792" xr:uid="{8FC700F6-DE24-4B7C-ACF3-9A021D2BE6DC}"/>
    <cellStyle name="Note 3 8 7" xfId="5312" xr:uid="{4059F8C6-0D06-44E2-99A3-6EBFD9FF43E1}"/>
    <cellStyle name="Note 3 8 8" xfId="13668" xr:uid="{AE609497-0FC2-4145-B288-C74851B55D30}"/>
    <cellStyle name="Note 3 8 9" xfId="15359" xr:uid="{99274BCE-74FA-410A-9CDD-BBAC10DBCF67}"/>
    <cellStyle name="Note 3 9" xfId="5354" xr:uid="{857850F2-ECB2-4D5D-8E9C-40589EE80BC8}"/>
    <cellStyle name="Note 4" xfId="1720" xr:uid="{708D501B-0A00-4E70-8A8C-54BA31AC9C21}"/>
    <cellStyle name="Note 4 10" xfId="5372" xr:uid="{8E4D4E2E-20A0-4622-8185-4E64BA66FABE}"/>
    <cellStyle name="Note 4 2" xfId="2998" xr:uid="{B58D77DA-8C3F-432E-ABF3-6FFCFC66CC28}"/>
    <cellStyle name="Note 4 2 10" xfId="3443" xr:uid="{C81D5FC5-FEA1-4305-873D-5D56E1624502}"/>
    <cellStyle name="Note 4 2 10 2" xfId="4486" xr:uid="{EAB49EB8-7EF9-4C47-818C-ABEF7DFC254B}"/>
    <cellStyle name="Note 4 2 10 2 2" xfId="6981" xr:uid="{7157A731-76B0-45FD-9502-095877B8EB38}"/>
    <cellStyle name="Note 4 2 10 2 3" xfId="8402" xr:uid="{67650AB2-2F77-4596-9565-15F26FB38B9A}"/>
    <cellStyle name="Note 4 2 10 2 4" xfId="10103" xr:uid="{6131750B-9D94-4447-8CEC-825F828C1F4B}"/>
    <cellStyle name="Note 4 2 10 2 5" xfId="11599" xr:uid="{21658200-6A81-4EE4-80F1-D04219F955E5}"/>
    <cellStyle name="Note 4 2 10 2 6" xfId="13079" xr:uid="{C80FC3B0-8AD4-440F-BC97-FB25AB44CF48}"/>
    <cellStyle name="Note 4 2 10 2 7" xfId="14746" xr:uid="{83F34092-B68A-459E-8AD3-0C7B76A3FFC5}"/>
    <cellStyle name="Note 4 2 10 2 8" xfId="16419" xr:uid="{819DB35A-65BC-49A0-95B1-50167D8D2EFB}"/>
    <cellStyle name="Note 4 2 10 3" xfId="6190" xr:uid="{8D902C99-9EF1-4022-BD2E-EA59A1DB34C5}"/>
    <cellStyle name="Note 4 2 10 4" xfId="5197" xr:uid="{717581B5-EE50-4CF4-A65C-FF0778AD41DB}"/>
    <cellStyle name="Note 4 2 10 5" xfId="9062" xr:uid="{84CA1674-C3C6-4A3B-BB9D-88358C7DCFC6}"/>
    <cellStyle name="Note 4 2 10 6" xfId="10824" xr:uid="{F298BD8C-C347-4D9A-B18F-75A925183649}"/>
    <cellStyle name="Note 4 2 10 7" xfId="5332" xr:uid="{906CFAD9-33A1-4CA5-9857-6E9D888A44F8}"/>
    <cellStyle name="Note 4 2 10 8" xfId="13705" xr:uid="{E8C2B068-C931-448F-9CA1-1999FEFA6BB5}"/>
    <cellStyle name="Note 4 2 10 9" xfId="15396" xr:uid="{DF28495D-D6FE-41F9-AB14-51B74BD88293}"/>
    <cellStyle name="Note 4 2 11" xfId="5719" xr:uid="{04591B86-3820-4FD7-9011-E49CBBF50AA6}"/>
    <cellStyle name="Note 4 2 12" xfId="5541" xr:uid="{6E573B5C-E169-4D54-BCBA-30B7A8BAD4F0}"/>
    <cellStyle name="Note 4 2 2" xfId="3284" xr:uid="{636095FC-1202-4BDA-B999-5CF09542E396}"/>
    <cellStyle name="Note 4 2 2 2" xfId="4164" xr:uid="{B7EB9CB0-D376-43EC-8C53-4A22BAE17158}"/>
    <cellStyle name="Note 4 2 2 2 2" xfId="4957" xr:uid="{7D754B1E-4C8D-411D-BEB0-DF4D9908BFC7}"/>
    <cellStyle name="Note 4 2 2 2 2 2" xfId="7452" xr:uid="{27D46C06-F927-4100-8B8C-F10AF266303F}"/>
    <cellStyle name="Note 4 2 2 2 2 3" xfId="8864" xr:uid="{EF14611A-0D37-49E6-8B68-E20DA736E727}"/>
    <cellStyle name="Note 4 2 2 2 2 4" xfId="10574" xr:uid="{2D26CBD0-DBE2-4767-9E5B-E2985689F2B3}"/>
    <cellStyle name="Note 4 2 2 2 2 5" xfId="12070" xr:uid="{D75F9ECF-C81D-4071-B3F1-164E936703AE}"/>
    <cellStyle name="Note 4 2 2 2 2 6" xfId="13541" xr:uid="{A678622A-E711-4F17-B49A-F045828B4CEB}"/>
    <cellStyle name="Note 4 2 2 2 2 7" xfId="15217" xr:uid="{B87CEB38-1D33-4CC6-9749-E70358E6582A}"/>
    <cellStyle name="Note 4 2 2 2 2 8" xfId="16881" xr:uid="{5CCC9813-EC49-43CF-9CDF-CA083DA45A47}"/>
    <cellStyle name="Note 4 2 2 2 3" xfId="6732" xr:uid="{F18BBFF4-BF71-4DE8-9491-C028C2477349}"/>
    <cellStyle name="Note 4 2 2 2 4" xfId="8089" xr:uid="{BF7F32A7-87F3-4343-AC87-AD19FF3CDE20}"/>
    <cellStyle name="Note 4 2 2 2 5" xfId="9783" xr:uid="{6CFD50F7-8E22-4523-8050-BE312A1832F6}"/>
    <cellStyle name="Note 4 2 2 2 6" xfId="11359" xr:uid="{664A502F-8128-4AFC-AA5D-0C0F904CA253}"/>
    <cellStyle name="Note 4 2 2 2 7" xfId="12768" xr:uid="{B4B1C112-695D-4531-9629-DECC81EE4595}"/>
    <cellStyle name="Note 4 2 2 2 8" xfId="14426" xr:uid="{747D6301-2DE9-4B96-9F0D-0F4E235BCF18}"/>
    <cellStyle name="Note 4 2 2 2 9" xfId="16108" xr:uid="{80A6D2B1-02EE-49A0-BF5E-EF6EFA037720}"/>
    <cellStyle name="Note 4 2 2 3" xfId="3726" xr:uid="{BC8424B1-31C8-4C8A-8675-90C8F87A4D80}"/>
    <cellStyle name="Note 4 2 2 3 2" xfId="4671" xr:uid="{711B7C9C-4119-4900-9EFD-04EE754E9EA4}"/>
    <cellStyle name="Note 4 2 2 3 2 2" xfId="7166" xr:uid="{5E0D673F-DC8E-4F6E-AF79-678D8DF06755}"/>
    <cellStyle name="Note 4 2 2 3 2 3" xfId="8584" xr:uid="{D3AF6508-9E56-48E5-96CE-CD0A51C61CAD}"/>
    <cellStyle name="Note 4 2 2 3 2 4" xfId="10288" xr:uid="{FE0F5C91-FBFE-495B-9324-C5A9223D3F73}"/>
    <cellStyle name="Note 4 2 2 3 2 5" xfId="11784" xr:uid="{0E30701D-8AB8-43B1-97DC-054D5B94DD7F}"/>
    <cellStyle name="Note 4 2 2 3 2 6" xfId="13261" xr:uid="{EB1BB38A-DAEC-462A-A042-B50A810D6E6A}"/>
    <cellStyle name="Note 4 2 2 3 2 7" xfId="14931" xr:uid="{AA20457D-3AA7-4BC7-97FA-12827AFCB8AB}"/>
    <cellStyle name="Note 4 2 2 3 2 8" xfId="16601" xr:uid="{016F9D55-C810-4885-BE71-6293BB16C322}"/>
    <cellStyle name="Note 4 2 2 3 3" xfId="6406" xr:uid="{B617F4C0-DBBC-4A0E-8B1A-F8F7F1F83D96}"/>
    <cellStyle name="Note 4 2 2 3 4" xfId="7657" xr:uid="{AF2AFA86-F981-4D05-90F1-5F4F96FEF26A}"/>
    <cellStyle name="Note 4 2 2 3 5" xfId="9345" xr:uid="{75E8B599-B083-4F06-8A0C-F4BF2CAB808C}"/>
    <cellStyle name="Note 4 2 2 3 6" xfId="11032" xr:uid="{55ACE537-043E-4FC2-A915-75A444E69B5B}"/>
    <cellStyle name="Note 4 2 2 3 7" xfId="12336" xr:uid="{CADB584D-90D8-4973-9373-5F685DB104F6}"/>
    <cellStyle name="Note 4 2 2 3 8" xfId="13988" xr:uid="{DE443EC4-D087-4DC4-9A42-339ABA55BA55}"/>
    <cellStyle name="Note 4 2 2 3 9" xfId="15676" xr:uid="{E3286A75-A902-4356-A76E-46CED0F843CB}"/>
    <cellStyle name="Note 4 2 2 4" xfId="8951" xr:uid="{DB2040F9-D08B-4DA3-9C0A-BBB1A741716A}"/>
    <cellStyle name="Note 4 2 3" xfId="3150" xr:uid="{C4B19727-C520-4B6A-9F91-ACB1EA81E69E}"/>
    <cellStyle name="Note 4 2 3 2" xfId="4030" xr:uid="{45FE4F46-1FB8-419C-8DA7-789AFDD5FF82}"/>
    <cellStyle name="Note 4 2 3 2 2" xfId="4873" xr:uid="{5B4E8FCF-FB43-471A-8D09-DEB3A4F903C4}"/>
    <cellStyle name="Note 4 2 3 2 2 2" xfId="7368" xr:uid="{F8BEA6CD-D571-4A5C-86A3-ECEB4A1D90E7}"/>
    <cellStyle name="Note 4 2 3 2 2 3" xfId="8781" xr:uid="{9CAAF502-2C52-49DA-A557-62FE9B7CD99A}"/>
    <cellStyle name="Note 4 2 3 2 2 4" xfId="10490" xr:uid="{555C750F-6F56-4878-BE57-54F93136E151}"/>
    <cellStyle name="Note 4 2 3 2 2 5" xfId="11986" xr:uid="{D1127C2A-F876-4C41-9E96-D987CA776AC8}"/>
    <cellStyle name="Note 4 2 3 2 2 6" xfId="13458" xr:uid="{992BB9F1-7666-45B9-96C9-C4E83A136785}"/>
    <cellStyle name="Note 4 2 3 2 2 7" xfId="15133" xr:uid="{FB66B288-ABD7-4787-94AA-B62BDCD41A69}"/>
    <cellStyle name="Note 4 2 3 2 2 8" xfId="16798" xr:uid="{EEA8FFD6-82D0-4A8B-8D01-BAE2EAFC79D4}"/>
    <cellStyle name="Note 4 2 3 2 3" xfId="6634" xr:uid="{440E3A0E-F115-4A74-A73E-620CE8C9955A}"/>
    <cellStyle name="Note 4 2 3 2 4" xfId="7956" xr:uid="{9BD92FF7-E3C4-4442-8A70-444CF7BAEFAB}"/>
    <cellStyle name="Note 4 2 3 2 5" xfId="9649" xr:uid="{ACBD7180-5DA2-4616-9820-FC157018B821}"/>
    <cellStyle name="Note 4 2 3 2 6" xfId="11260" xr:uid="{5877FCB1-1DBC-41F1-A2A3-CFFEE841C76C}"/>
    <cellStyle name="Note 4 2 3 2 7" xfId="12635" xr:uid="{F9C290A4-9B81-4CA9-8843-F6866CA6F51A}"/>
    <cellStyle name="Note 4 2 3 2 8" xfId="14292" xr:uid="{6A5D2031-ACAA-4C58-82C0-FFD5CFB95E0C}"/>
    <cellStyle name="Note 4 2 3 2 9" xfId="15975" xr:uid="{D8CDC262-567E-4FBE-A8AC-305FFC83ADCF}"/>
    <cellStyle name="Note 4 2 3 3" xfId="3592" xr:uid="{D7E69AF0-17E4-4A6D-A782-C378BB7A3337}"/>
    <cellStyle name="Note 4 2 3 3 2" xfId="4587" xr:uid="{177C23C7-B597-409B-9522-825248E12095}"/>
    <cellStyle name="Note 4 2 3 3 2 2" xfId="7082" xr:uid="{EDFC3AF8-E472-436B-A28B-8BD1B74A0E89}"/>
    <cellStyle name="Note 4 2 3 3 2 3" xfId="8501" xr:uid="{68065267-C75E-46AC-8FA8-A4216F6B3710}"/>
    <cellStyle name="Note 4 2 3 3 2 4" xfId="10204" xr:uid="{958FEF42-583E-48EE-8725-64DBBCFD9622}"/>
    <cellStyle name="Note 4 2 3 3 2 5" xfId="11700" xr:uid="{DCB297D2-1B39-4F5A-968A-963A64E70796}"/>
    <cellStyle name="Note 4 2 3 3 2 6" xfId="13178" xr:uid="{A96E09E6-BD72-4DCB-84E6-88F774C04639}"/>
    <cellStyle name="Note 4 2 3 3 2 7" xfId="14847" xr:uid="{936FE8E9-9979-434F-87B5-8742A5F8BA4C}"/>
    <cellStyle name="Note 4 2 3 3 2 8" xfId="16518" xr:uid="{0DC0FEA1-B864-4071-9E04-BF1222EC6EFC}"/>
    <cellStyle name="Note 4 2 3 3 3" xfId="6304" xr:uid="{1608A75A-AFB4-4D3A-AA32-87D59698CD21}"/>
    <cellStyle name="Note 4 2 3 3 4" xfId="7524" xr:uid="{CD5E002E-FF7C-4CAE-9A80-BCEF65F26ECF}"/>
    <cellStyle name="Note 4 2 3 3 5" xfId="9211" xr:uid="{D2BAC06D-8763-4338-98A5-8C9187318BD9}"/>
    <cellStyle name="Note 4 2 3 3 6" xfId="10935" xr:uid="{A2C2D4D2-6232-47CB-97F3-93009707110A}"/>
    <cellStyle name="Note 4 2 3 3 7" xfId="12203" xr:uid="{E54B62D7-209D-4DF5-BE77-E3528D7481DE}"/>
    <cellStyle name="Note 4 2 3 3 8" xfId="13854" xr:uid="{27F35EF0-A9AB-4B69-A2C7-6D48276CE836}"/>
    <cellStyle name="Note 4 2 3 3 9" xfId="15543" xr:uid="{87B3457E-1B49-4405-A959-FB0CB95D18E1}"/>
    <cellStyle name="Note 4 2 3 4" xfId="6645" xr:uid="{7CF5F035-DA43-4B99-B966-A45C51FF8FF6}"/>
    <cellStyle name="Note 4 2 4" xfId="3095" xr:uid="{FCCA3177-DBCB-4F1D-BD4B-EE5C0147071C}"/>
    <cellStyle name="Note 4 2 4 2" xfId="3975" xr:uid="{501B93F2-7705-4F85-80F0-C1422AB95B66}"/>
    <cellStyle name="Note 4 2 4 2 2" xfId="4830" xr:uid="{04F108B2-1B38-4B42-B507-AE38F8F179FF}"/>
    <cellStyle name="Note 4 2 4 2 2 2" xfId="7325" xr:uid="{930ED1A5-3CFA-4B21-A6B8-5707F3F5A71F}"/>
    <cellStyle name="Note 4 2 4 2 2 3" xfId="8738" xr:uid="{7DF85193-37DB-4467-A607-78EFAFDACFA0}"/>
    <cellStyle name="Note 4 2 4 2 2 4" xfId="10447" xr:uid="{6C8F2055-0FF5-4A7B-9C53-E32A50D06A55}"/>
    <cellStyle name="Note 4 2 4 2 2 5" xfId="11943" xr:uid="{CFD0A438-1A9F-41FE-AF9A-2DAAC33EC1BC}"/>
    <cellStyle name="Note 4 2 4 2 2 6" xfId="13415" xr:uid="{113D560A-DC1E-4438-81B3-B500DD783800}"/>
    <cellStyle name="Note 4 2 4 2 2 7" xfId="15090" xr:uid="{6012B7FB-B9B1-4B1D-96BE-D47513058FBD}"/>
    <cellStyle name="Note 4 2 4 2 2 8" xfId="16755" xr:uid="{CC92FD26-DA83-4861-B6FA-FB60862D1A19}"/>
    <cellStyle name="Note 4 2 4 2 3" xfId="6590" xr:uid="{95054269-80B4-4098-A8B2-25B93F4AC225}"/>
    <cellStyle name="Note 4 2 4 2 4" xfId="7901" xr:uid="{1C0904B4-6F04-47B2-B116-B1AAA662C40D}"/>
    <cellStyle name="Note 4 2 4 2 5" xfId="9594" xr:uid="{6413A18C-096F-4E6C-B2C1-E5603949509C}"/>
    <cellStyle name="Note 4 2 4 2 6" xfId="11217" xr:uid="{5C5869EC-B888-4D3F-A8B4-F34924BE7B13}"/>
    <cellStyle name="Note 4 2 4 2 7" xfId="12580" xr:uid="{72B859A1-D7BC-4D11-B1BD-A6F67AACAAAB}"/>
    <cellStyle name="Note 4 2 4 2 8" xfId="14237" xr:uid="{58C78BE6-C1D5-4783-8F3E-03FEB18D75EC}"/>
    <cellStyle name="Note 4 2 4 2 9" xfId="15920" xr:uid="{E1A1DF51-2D29-41DF-BA22-7BE3CD22ED95}"/>
    <cellStyle name="Note 4 2 4 3" xfId="3537" xr:uid="{7390BEE4-F65C-4160-B604-9A788FC80356}"/>
    <cellStyle name="Note 4 2 4 3 2" xfId="4544" xr:uid="{23DE9731-4282-4960-A9E6-10857FB9CDA5}"/>
    <cellStyle name="Note 4 2 4 3 2 2" xfId="7039" xr:uid="{5F284F13-9CA8-4C31-AF4F-529A92A2165B}"/>
    <cellStyle name="Note 4 2 4 3 2 3" xfId="8458" xr:uid="{335ED5CE-689C-44E4-9477-9EDEB98921F7}"/>
    <cellStyle name="Note 4 2 4 3 2 4" xfId="10161" xr:uid="{C14BAB7D-A919-4576-9F03-9453E5A95385}"/>
    <cellStyle name="Note 4 2 4 3 2 5" xfId="11657" xr:uid="{7F258883-3906-43F5-9936-0D30B529025A}"/>
    <cellStyle name="Note 4 2 4 3 2 6" xfId="13135" xr:uid="{259BDD05-A615-4510-A8D2-F208EA7885F8}"/>
    <cellStyle name="Note 4 2 4 3 2 7" xfId="14804" xr:uid="{BFABE310-9676-4FB4-9A26-D1817352FD5D}"/>
    <cellStyle name="Note 4 2 4 3 2 8" xfId="16475" xr:uid="{38EFC2F2-7331-43BF-B427-25632536A1D5}"/>
    <cellStyle name="Note 4 2 4 3 3" xfId="6259" xr:uid="{B62B728B-3BB0-4C76-B406-53F2AD4317DB}"/>
    <cellStyle name="Note 4 2 4 3 4" xfId="5132" xr:uid="{D65F0D61-5F2F-415F-93AA-86CC6127C20F}"/>
    <cellStyle name="Note 4 2 4 3 5" xfId="9156" xr:uid="{E45422BF-9DDE-4012-B20F-19B04CFEA2E1}"/>
    <cellStyle name="Note 4 2 4 3 6" xfId="10889" xr:uid="{205B4AC1-28D1-418E-8DCF-FD240B56BE9F}"/>
    <cellStyle name="Note 4 2 4 3 7" xfId="12148" xr:uid="{5CDABF2D-A6FB-42AB-BD74-1691B01532B2}"/>
    <cellStyle name="Note 4 2 4 3 8" xfId="13799" xr:uid="{70FD75E2-2B6F-4B21-A56B-588717DD2CD2}"/>
    <cellStyle name="Note 4 2 4 3 9" xfId="15488" xr:uid="{2182EF4A-AF65-485C-B573-58158E6F268E}"/>
    <cellStyle name="Note 4 2 4 4" xfId="5753" xr:uid="{A7FA7CD3-9A8A-4725-8C4E-8C08F3F6D05F}"/>
    <cellStyle name="Note 4 2 5" xfId="3322" xr:uid="{B2418A6B-8DC6-4161-8387-116605BCD2ED}"/>
    <cellStyle name="Note 4 2 5 2" xfId="4202" xr:uid="{7065F29C-38B4-4DA8-A69F-0B6EF3EBE1BE}"/>
    <cellStyle name="Note 4 2 5 2 2" xfId="4986" xr:uid="{A7443ABF-6C3F-4661-AAA8-2CF653254976}"/>
    <cellStyle name="Note 4 2 5 2 2 2" xfId="7481" xr:uid="{D14548C7-4975-404C-8D5E-EC3A475C119D}"/>
    <cellStyle name="Note 4 2 5 2 2 3" xfId="8892" xr:uid="{01E5154F-3D55-4E0A-B389-85E7A1A5C4C1}"/>
    <cellStyle name="Note 4 2 5 2 2 4" xfId="10603" xr:uid="{AD1C3042-0F15-4B19-8B83-BBE8095B6481}"/>
    <cellStyle name="Note 4 2 5 2 2 5" xfId="12099" xr:uid="{220BD1A4-000C-4C29-9646-172AE35A583B}"/>
    <cellStyle name="Note 4 2 5 2 2 6" xfId="13569" xr:uid="{63FF1AF0-5C4F-4AB2-8D32-8B657E534C7F}"/>
    <cellStyle name="Note 4 2 5 2 2 7" xfId="15246" xr:uid="{65AE3C85-D46E-4CE8-8C23-F1B925939B96}"/>
    <cellStyle name="Note 4 2 5 2 2 8" xfId="16909" xr:uid="{BEC85C46-8929-4569-BD46-9C623B81442C}"/>
    <cellStyle name="Note 4 2 5 2 3" xfId="6762" xr:uid="{EDFF40CE-6D93-4A25-80B3-61E459EDC7E9}"/>
    <cellStyle name="Note 4 2 5 2 4" xfId="8126" xr:uid="{4EF15D5A-E1F9-4083-BECD-1C3DBAA04F09}"/>
    <cellStyle name="Note 4 2 5 2 5" xfId="9821" xr:uid="{D61AC587-D5F4-4DE4-B66A-9947F83F5C30}"/>
    <cellStyle name="Note 4 2 5 2 6" xfId="11390" xr:uid="{58A5FF8B-CC5F-4732-B754-18ED0B934631}"/>
    <cellStyle name="Note 4 2 5 2 7" xfId="12805" xr:uid="{9D643490-9675-4C6D-81FF-68CE2DA5DFA5}"/>
    <cellStyle name="Note 4 2 5 2 8" xfId="14464" xr:uid="{48000A13-7EB6-43EE-B2AB-77893DFB2B39}"/>
    <cellStyle name="Note 4 2 5 2 9" xfId="16145" xr:uid="{4034A1C8-44BE-41BA-8C3C-B466FA22FC1B}"/>
    <cellStyle name="Note 4 2 5 3" xfId="3763" xr:uid="{CBFB4F61-958F-41DB-8277-FEDDC81ABC22}"/>
    <cellStyle name="Note 4 2 5 3 2" xfId="4699" xr:uid="{E9FE1B2A-F5BF-4690-BB5C-8D468A730C28}"/>
    <cellStyle name="Note 4 2 5 3 2 2" xfId="7194" xr:uid="{0B029235-8350-483F-99D5-7D575A51FBD8}"/>
    <cellStyle name="Note 4 2 5 3 2 3" xfId="8612" xr:uid="{FD9A8FC1-3A74-473E-A7E4-060ECBC59D24}"/>
    <cellStyle name="Note 4 2 5 3 2 4" xfId="10316" xr:uid="{6E063C44-A7A2-4148-9C18-906852C055FF}"/>
    <cellStyle name="Note 4 2 5 3 2 5" xfId="11812" xr:uid="{7B3EB67E-170A-4245-A9BA-AA80BB354C6B}"/>
    <cellStyle name="Note 4 2 5 3 2 6" xfId="13289" xr:uid="{2AF5E0C0-EB1E-46E6-9005-372F48126377}"/>
    <cellStyle name="Note 4 2 5 3 2 7" xfId="14959" xr:uid="{6CD7184F-CD51-4F9A-BF92-FD8C8F91FF1D}"/>
    <cellStyle name="Note 4 2 5 3 2 8" xfId="16629" xr:uid="{57B25A6C-AE95-4E37-84B3-F28667F2C45C}"/>
    <cellStyle name="Note 4 2 5 3 3" xfId="6435" xr:uid="{7960C90C-9C7F-4C63-9EF7-DBE480DC44EF}"/>
    <cellStyle name="Note 4 2 5 3 4" xfId="7694" xr:uid="{299BDB0A-B5B4-4156-B23A-8C3952471869}"/>
    <cellStyle name="Note 4 2 5 3 5" xfId="9382" xr:uid="{9B79A8C6-0020-4D79-A700-EDE252BB38BB}"/>
    <cellStyle name="Note 4 2 5 3 6" xfId="11064" xr:uid="{C8E859DD-F09B-479F-AE74-DB4FDFB03BFD}"/>
    <cellStyle name="Note 4 2 5 3 7" xfId="12373" xr:uid="{3DBE2299-DB6E-492C-A764-1548B625C026}"/>
    <cellStyle name="Note 4 2 5 3 8" xfId="14025" xr:uid="{055A77DD-923B-4CCB-8608-30D630FD3E7F}"/>
    <cellStyle name="Note 4 2 5 3 9" xfId="15713" xr:uid="{AF327FE8-2217-4ACD-AFB7-03A9CFD1157A}"/>
    <cellStyle name="Note 4 2 5 4" xfId="8985" xr:uid="{CB27BAEC-6033-45A0-AD29-55B9DF952805}"/>
    <cellStyle name="Note 4 2 6" xfId="3191" xr:uid="{976E5FAE-FA2C-4394-B5DE-711C80F08E92}"/>
    <cellStyle name="Note 4 2 6 10" xfId="5285" xr:uid="{A2EA6A02-43ED-460C-B78E-9762240A4D08}"/>
    <cellStyle name="Note 4 2 6 2" xfId="4071" xr:uid="{6DBA9FF3-107D-405D-9F0B-F50056036214}"/>
    <cellStyle name="Note 4 2 6 2 2" xfId="4893" xr:uid="{3C6680D7-B8CF-4BA0-899E-E88361AA0DB6}"/>
    <cellStyle name="Note 4 2 6 2 2 2" xfId="7388" xr:uid="{E97AE142-4EFB-4F49-BAE1-E0BB48A58477}"/>
    <cellStyle name="Note 4 2 6 2 2 3" xfId="8800" xr:uid="{74448893-557A-43E1-BD57-1D1DE9637384}"/>
    <cellStyle name="Note 4 2 6 2 2 4" xfId="10510" xr:uid="{4E3F35D4-3C6A-489D-9AE0-AC1D70205DD0}"/>
    <cellStyle name="Note 4 2 6 2 2 5" xfId="12006" xr:uid="{E80B972F-DB65-4AC9-96F1-8423EB5A1FD4}"/>
    <cellStyle name="Note 4 2 6 2 2 6" xfId="13477" xr:uid="{6391ADE5-1CA3-42BF-8933-59B8602C7152}"/>
    <cellStyle name="Note 4 2 6 2 2 7" xfId="15153" xr:uid="{D0A0137F-6440-49E5-A315-9485647B9A27}"/>
    <cellStyle name="Note 4 2 6 2 2 8" xfId="16817" xr:uid="{0601EAFF-441C-4A4B-A63C-A042BA744A30}"/>
    <cellStyle name="Note 4 2 6 2 3" xfId="6660" xr:uid="{2B267734-2071-458A-AC69-45890637BF94}"/>
    <cellStyle name="Note 4 2 6 2 4" xfId="7996" xr:uid="{313CC09D-9559-408E-B5B6-41AE72ED2E80}"/>
    <cellStyle name="Note 4 2 6 2 5" xfId="9690" xr:uid="{94CD0E26-AA8B-4FDC-A16A-7060BD4CE05A}"/>
    <cellStyle name="Note 4 2 6 2 6" xfId="11287" xr:uid="{7D32F4B4-5B71-4A75-9707-2CA8A8EEC187}"/>
    <cellStyle name="Note 4 2 6 2 7" xfId="12675" xr:uid="{FAB486B7-4FAF-4E7F-9F53-E70DED13199B}"/>
    <cellStyle name="Note 4 2 6 2 8" xfId="14333" xr:uid="{B0014E11-71A3-424F-A595-9D4FB342AE8E}"/>
    <cellStyle name="Note 4 2 6 2 9" xfId="16015" xr:uid="{C3832A05-ED3B-417B-89C4-DEC04E2F43A6}"/>
    <cellStyle name="Note 4 2 6 3" xfId="3633" xr:uid="{542A68AD-727A-4F20-9FC5-7362967AC305}"/>
    <cellStyle name="Note 4 2 6 3 2" xfId="4607" xr:uid="{6B60B5C5-6FFF-4582-9BE7-B8C5FBF3F085}"/>
    <cellStyle name="Note 4 2 6 3 2 2" xfId="7102" xr:uid="{2BDC7CF3-1EBC-4359-BBBA-E2A39F11975D}"/>
    <cellStyle name="Note 4 2 6 3 2 3" xfId="8520" xr:uid="{442F9944-92B1-4AB1-9555-AC1F8F79457A}"/>
    <cellStyle name="Note 4 2 6 3 2 4" xfId="10224" xr:uid="{6203DA62-AE0F-4207-9A03-E5F3CC219A9E}"/>
    <cellStyle name="Note 4 2 6 3 2 5" xfId="11720" xr:uid="{8F4DFB3B-64E0-4642-B1E6-A17A1C21595F}"/>
    <cellStyle name="Note 4 2 6 3 2 6" xfId="13197" xr:uid="{0A80E291-409D-4386-A482-6FCF26826B92}"/>
    <cellStyle name="Note 4 2 6 3 2 7" xfId="14867" xr:uid="{046E164E-BD47-4DF9-BE97-73D369124B10}"/>
    <cellStyle name="Note 4 2 6 3 2 8" xfId="16537" xr:uid="{894FD1B9-561A-44D0-8CCA-AFD960B9C83E}"/>
    <cellStyle name="Note 4 2 6 3 3" xfId="6333" xr:uid="{61902D89-6343-4427-AF5C-1D6AFD275FE3}"/>
    <cellStyle name="Note 4 2 6 3 4" xfId="7564" xr:uid="{91C4B6FA-47F1-4C38-93E3-9434B60B68B6}"/>
    <cellStyle name="Note 4 2 6 3 5" xfId="9252" xr:uid="{E69AFC6B-B239-4039-82CF-7751F8D8EB71}"/>
    <cellStyle name="Note 4 2 6 3 6" xfId="10960" xr:uid="{686DB0CB-A8B9-46BF-A513-EE8C3448A85C}"/>
    <cellStyle name="Note 4 2 6 3 7" xfId="12243" xr:uid="{08097A9A-C7F4-4AA8-87D6-D23783A406E0}"/>
    <cellStyle name="Note 4 2 6 3 8" xfId="13895" xr:uid="{E3F06C57-F292-4780-B80A-279E6E6404D2}"/>
    <cellStyle name="Note 4 2 6 3 9" xfId="15583" xr:uid="{A3164760-832B-49A8-B5E4-A594854C6F7A}"/>
    <cellStyle name="Note 4 2 6 4" xfId="4352" xr:uid="{0324E8E0-DB03-4E65-91AA-7E8867F50E6A}"/>
    <cellStyle name="Note 4 2 6 4 2" xfId="6869" xr:uid="{36100747-2220-4E3A-9DE5-BCD36CB476EC}"/>
    <cellStyle name="Note 4 2 6 4 3" xfId="8271" xr:uid="{5B9D0AAF-D661-4A39-9CF4-A961A446CDAC}"/>
    <cellStyle name="Note 4 2 6 4 4" xfId="9969" xr:uid="{FA518C58-3977-4631-BA11-807AD1C83F6C}"/>
    <cellStyle name="Note 4 2 6 4 5" xfId="11488" xr:uid="{BA8F3835-EA81-477B-B07B-17C816558E8C}"/>
    <cellStyle name="Note 4 2 6 4 6" xfId="12948" xr:uid="{D469B7C8-52BB-40E1-8183-551AF47055C6}"/>
    <cellStyle name="Note 4 2 6 4 7" xfId="14612" xr:uid="{5DD62E97-538E-4CE5-8691-6DB90B737A46}"/>
    <cellStyle name="Note 4 2 6 4 8" xfId="16288" xr:uid="{E4B47A80-5B59-4D19-AD5A-1F3A08A4856E}"/>
    <cellStyle name="Note 4 2 6 5" xfId="6018" xr:uid="{9A7753D5-EB71-43E7-8327-CA115982BAC4}"/>
    <cellStyle name="Note 4 2 6 6" xfId="5625" xr:uid="{5C647FEF-8203-41D0-B96C-7043395EDCF3}"/>
    <cellStyle name="Note 4 2 6 7" xfId="10664" xr:uid="{C11DFF0A-1047-4259-97D4-5BA0D54D2937}"/>
    <cellStyle name="Note 4 2 6 8" xfId="5047" xr:uid="{D0017E53-7452-4226-B0CE-C957D392FEB9}"/>
    <cellStyle name="Note 4 2 6 9" xfId="5097" xr:uid="{34495084-06E2-436D-B181-8D01B1EC4285}"/>
    <cellStyle name="Note 4 2 7" xfId="3109" xr:uid="{AD9EE50B-8849-4B58-9F31-F761C8A1F7B3}"/>
    <cellStyle name="Note 4 2 7 10" xfId="10853" xr:uid="{B6849EC9-D763-4D01-B9B8-0E3EB5542100}"/>
    <cellStyle name="Note 4 2 7 2" xfId="3989" xr:uid="{794F46A5-E81B-406F-BD11-8B59D8901213}"/>
    <cellStyle name="Note 4 2 7 2 2" xfId="4840" xr:uid="{13EFC7D7-7F9F-4293-B5A8-004B3895E0B7}"/>
    <cellStyle name="Note 4 2 7 2 2 2" xfId="7335" xr:uid="{6C5ED0B7-5F58-47F7-9C68-7A6AD466799A}"/>
    <cellStyle name="Note 4 2 7 2 2 3" xfId="8748" xr:uid="{06E3EDA5-48E0-48E8-BBA0-567F23F1DCBD}"/>
    <cellStyle name="Note 4 2 7 2 2 4" xfId="10457" xr:uid="{36C3FC16-93B3-45F3-B6B7-6FC677689B45}"/>
    <cellStyle name="Note 4 2 7 2 2 5" xfId="11953" xr:uid="{4C34B0FF-D103-4F37-83CD-504BFCAED348}"/>
    <cellStyle name="Note 4 2 7 2 2 6" xfId="13425" xr:uid="{689E5C41-5364-4DC2-8758-BBC0D83483D3}"/>
    <cellStyle name="Note 4 2 7 2 2 7" xfId="15100" xr:uid="{A9CD36A9-7932-4C4A-9D30-111B152F3E65}"/>
    <cellStyle name="Note 4 2 7 2 2 8" xfId="16765" xr:uid="{C1268A4B-53BE-42DB-B1BB-35471EC3FBB6}"/>
    <cellStyle name="Note 4 2 7 2 3" xfId="6600" xr:uid="{30E3CBAE-F7E4-432C-9A55-2FC5391097BC}"/>
    <cellStyle name="Note 4 2 7 2 4" xfId="7915" xr:uid="{2E85BE4D-3B90-4B11-B9FE-67EAB1729E97}"/>
    <cellStyle name="Note 4 2 7 2 5" xfId="9608" xr:uid="{BB8E2C49-9032-43F1-913C-3298178468A3}"/>
    <cellStyle name="Note 4 2 7 2 6" xfId="11227" xr:uid="{1C66D413-51CF-4DA6-BDB3-87D755ACDF2E}"/>
    <cellStyle name="Note 4 2 7 2 7" xfId="12594" xr:uid="{A439FA95-E11C-4852-9DDB-E4E6D2784522}"/>
    <cellStyle name="Note 4 2 7 2 8" xfId="14251" xr:uid="{E8F99089-7245-4CDB-8353-C934E767486C}"/>
    <cellStyle name="Note 4 2 7 2 9" xfId="15934" xr:uid="{22F26E9E-6E78-4222-BB7B-047CB7BC38FB}"/>
    <cellStyle name="Note 4 2 7 3" xfId="3551" xr:uid="{25AAEC46-256D-44F9-87C2-A720FF28574C}"/>
    <cellStyle name="Note 4 2 7 3 2" xfId="4554" xr:uid="{7D346DEE-EE77-45B0-BDA0-F4C789C34316}"/>
    <cellStyle name="Note 4 2 7 3 2 2" xfId="7049" xr:uid="{1E510789-F2FB-41B9-9B92-18F2D98DA83E}"/>
    <cellStyle name="Note 4 2 7 3 2 3" xfId="8468" xr:uid="{F83895CC-6063-44EE-ADF9-36EB994BB5C4}"/>
    <cellStyle name="Note 4 2 7 3 2 4" xfId="10171" xr:uid="{941FFA1E-B8A4-4204-9985-EB1185816F7D}"/>
    <cellStyle name="Note 4 2 7 3 2 5" xfId="11667" xr:uid="{F4765146-242A-4AE2-AB9D-A5B4AC85498A}"/>
    <cellStyle name="Note 4 2 7 3 2 6" xfId="13145" xr:uid="{A2001C82-A775-4957-B4E0-240834134BDB}"/>
    <cellStyle name="Note 4 2 7 3 2 7" xfId="14814" xr:uid="{4A8167B6-EA88-4897-962A-3FA70FC785EC}"/>
    <cellStyle name="Note 4 2 7 3 2 8" xfId="16485" xr:uid="{79577A95-7122-41AC-99F1-E7C68A3EAD21}"/>
    <cellStyle name="Note 4 2 7 3 3" xfId="6270" xr:uid="{595C97CC-C4E0-4E20-BF07-68D72EE051F4}"/>
    <cellStyle name="Note 4 2 7 3 4" xfId="5123" xr:uid="{838DBFA0-7731-436A-9B14-3E053CEADDCE}"/>
    <cellStyle name="Note 4 2 7 3 5" xfId="9170" xr:uid="{5DE37278-F26F-4920-8667-0B611799D220}"/>
    <cellStyle name="Note 4 2 7 3 6" xfId="10900" xr:uid="{2D35C125-218B-4EB9-83C1-E4A021E271E1}"/>
    <cellStyle name="Note 4 2 7 3 7" xfId="12162" xr:uid="{F2922A6D-C9BD-4DAC-AC6B-712C82A8C01D}"/>
    <cellStyle name="Note 4 2 7 3 8" xfId="13813" xr:uid="{09454C4C-84F2-4893-926A-3EE524583E9A}"/>
    <cellStyle name="Note 4 2 7 3 9" xfId="15502" xr:uid="{4F3440A7-1A76-4691-B7EB-9CDBD181A3B9}"/>
    <cellStyle name="Note 4 2 7 4" xfId="4327" xr:uid="{9A7B15C0-A348-42A8-AF49-14228066E50E}"/>
    <cellStyle name="Note 4 2 7 4 2" xfId="6850" xr:uid="{7434E7B8-C426-464C-8E49-B76D4B2A34AD}"/>
    <cellStyle name="Note 4 2 7 4 3" xfId="8247" xr:uid="{8D138C42-BCCE-4696-910F-9B8B50A546C3}"/>
    <cellStyle name="Note 4 2 7 4 4" xfId="9944" xr:uid="{B2189394-40EC-4A6C-85ED-89DA3EFEB109}"/>
    <cellStyle name="Note 4 2 7 4 5" xfId="11469" xr:uid="{CC7F6D96-3FC6-4B24-9602-576B3C55D2C8}"/>
    <cellStyle name="Note 4 2 7 4 6" xfId="12924" xr:uid="{277BD00C-5FBE-435D-BC56-608B250B6581}"/>
    <cellStyle name="Note 4 2 7 4 7" xfId="14587" xr:uid="{C8F99968-3390-4F07-A44E-7829F998AF4B}"/>
    <cellStyle name="Note 4 2 7 4 8" xfId="16264" xr:uid="{69F0710D-11E9-48B3-8D16-D41A230DC49F}"/>
    <cellStyle name="Note 4 2 7 5" xfId="5974" xr:uid="{92F82CDF-9E4C-4E65-B6C4-2004AA609FAD}"/>
    <cellStyle name="Note 4 2 7 6" xfId="5595" xr:uid="{F3CE7143-E2B4-478B-9499-9D6BC31661FE}"/>
    <cellStyle name="Note 4 2 7 7" xfId="6897" xr:uid="{06AE87A9-3A3A-4696-B25D-7AF6CD429F1F}"/>
    <cellStyle name="Note 4 2 7 8" xfId="5283" xr:uid="{B6979BC4-722A-46E2-91A0-CB41D8E79C5B}"/>
    <cellStyle name="Note 4 2 7 9" xfId="10734" xr:uid="{2ABAF0D7-EF14-4344-B9FC-FB75A605034F}"/>
    <cellStyle name="Note 4 2 8" xfId="3383" xr:uid="{70F63511-1E1C-45F6-8899-C883FA6FC713}"/>
    <cellStyle name="Note 4 2 8 10" xfId="15340" xr:uid="{3FAB3FFB-E0E1-46AD-B1B2-B79A389AFD72}"/>
    <cellStyle name="Note 4 2 8 2" xfId="4263" xr:uid="{0514A325-A7AA-4483-A21B-E54E9DAED557}"/>
    <cellStyle name="Note 4 2 8 2 2" xfId="5015" xr:uid="{BAB2C4E3-58E4-47BB-BBC6-59519F272C94}"/>
    <cellStyle name="Note 4 2 8 2 2 2" xfId="7510" xr:uid="{F055275E-F0EB-406D-80BD-C560FC034FEC}"/>
    <cellStyle name="Note 4 2 8 2 2 3" xfId="8920" xr:uid="{4C80DCA9-7B68-4B40-94B1-315536F586B6}"/>
    <cellStyle name="Note 4 2 8 2 2 4" xfId="10632" xr:uid="{1574EB7D-EA53-403B-B5D6-536DDF7EBBC2}"/>
    <cellStyle name="Note 4 2 8 2 2 5" xfId="12128" xr:uid="{A26C73F0-ACA9-4162-B444-A7DF2642628E}"/>
    <cellStyle name="Note 4 2 8 2 2 6" xfId="13597" xr:uid="{0CC1A401-3759-430E-A882-046DE81CFC09}"/>
    <cellStyle name="Note 4 2 8 2 2 7" xfId="15275" xr:uid="{3A6E00C8-1620-4077-B233-93AA596179FB}"/>
    <cellStyle name="Note 4 2 8 2 2 8" xfId="16937" xr:uid="{1C789F45-899B-4E02-B6B3-23DC807CFD10}"/>
    <cellStyle name="Note 4 2 8 2 3" xfId="6803" xr:uid="{0A033EEA-3386-489E-A67E-0909423004E0}"/>
    <cellStyle name="Note 4 2 8 2 4" xfId="8186" xr:uid="{959C2419-B147-4832-A16B-2CD1D692EDC3}"/>
    <cellStyle name="Note 4 2 8 2 5" xfId="9882" xr:uid="{6306ED37-9336-4DE2-9C70-0D1E17156BD4}"/>
    <cellStyle name="Note 4 2 8 2 6" xfId="11421" xr:uid="{C50239DF-991E-4F32-AC70-AB48F651F637}"/>
    <cellStyle name="Note 4 2 8 2 7" xfId="12865" xr:uid="{87488D18-7FE4-4076-AD95-B17421FEBA4C}"/>
    <cellStyle name="Note 4 2 8 2 8" xfId="14525" xr:uid="{412FBE13-DDC6-4969-A711-3CAEACFAB44B}"/>
    <cellStyle name="Note 4 2 8 2 9" xfId="16205" xr:uid="{3FBF4EFA-A931-482F-9980-EA47EEF8639C}"/>
    <cellStyle name="Note 4 2 8 3" xfId="3823" xr:uid="{4459EA5C-9390-4FCC-994A-FEC4E8C5D6C7}"/>
    <cellStyle name="Note 4 2 8 3 2" xfId="4727" xr:uid="{4B7B6CA7-4028-4EB5-9849-0E9E5DE9F267}"/>
    <cellStyle name="Note 4 2 8 3 2 2" xfId="7222" xr:uid="{AE68F964-E980-41DD-AF56-0FA8BFD967BA}"/>
    <cellStyle name="Note 4 2 8 3 2 3" xfId="8640" xr:uid="{944E755C-DFE1-4C9E-BD4C-812FE814A1FE}"/>
    <cellStyle name="Note 4 2 8 3 2 4" xfId="10344" xr:uid="{CA0C8BEA-F8EC-4B95-A6EC-0602BC7711E7}"/>
    <cellStyle name="Note 4 2 8 3 2 5" xfId="11840" xr:uid="{9513E751-4C69-4E87-821D-1EB1DD735E06}"/>
    <cellStyle name="Note 4 2 8 3 2 6" xfId="13317" xr:uid="{E41B2E91-4998-43F3-92C2-80898DCE3E01}"/>
    <cellStyle name="Note 4 2 8 3 2 7" xfId="14987" xr:uid="{531E7B24-7C67-48A7-BC70-3E82634A5ADD}"/>
    <cellStyle name="Note 4 2 8 3 2 8" xfId="16657" xr:uid="{78A1ACC4-E880-4AB3-A5A3-72B159724714}"/>
    <cellStyle name="Note 4 2 8 3 3" xfId="6473" xr:uid="{B971FED6-AF49-4891-BF41-7E73E66522C8}"/>
    <cellStyle name="Note 4 2 8 3 4" xfId="7754" xr:uid="{0EFA97DC-8CD0-4DF5-8E8D-D733736E3B5D}"/>
    <cellStyle name="Note 4 2 8 3 5" xfId="9442" xr:uid="{3154FBF0-453B-4FD8-A98B-C47CAEF6628D}"/>
    <cellStyle name="Note 4 2 8 3 6" xfId="11102" xr:uid="{8587FC86-F951-4B1F-BD3A-DF5E1A642718}"/>
    <cellStyle name="Note 4 2 8 3 7" xfId="12433" xr:uid="{3AAF0913-6F56-4F80-B4F7-E7483784DA5A}"/>
    <cellStyle name="Note 4 2 8 3 8" xfId="14085" xr:uid="{63DD31C5-8197-4FB7-898D-638C5CDE3F8C}"/>
    <cellStyle name="Note 4 2 8 3 9" xfId="15773" xr:uid="{679358CD-3A34-4E30-8253-B6BF2B822271}"/>
    <cellStyle name="Note 4 2 8 4" xfId="4439" xr:uid="{81B337C8-B703-41C9-82DC-A53B93F7644E}"/>
    <cellStyle name="Note 4 2 8 4 2" xfId="6937" xr:uid="{9BFAEEA6-B4CB-44A1-B5AC-C7F6F2AC4A31}"/>
    <cellStyle name="Note 4 2 8 4 3" xfId="8356" xr:uid="{5A2B2C77-C45B-47EC-9DD2-40EFAAE692C9}"/>
    <cellStyle name="Note 4 2 8 4 4" xfId="10056" xr:uid="{2DCE4C17-5DF0-415C-B9FF-DB174C015CC0}"/>
    <cellStyle name="Note 4 2 8 4 5" xfId="11554" xr:uid="{43F1C299-F622-41BE-A448-624A4EEBD563}"/>
    <cellStyle name="Note 4 2 8 4 6" xfId="13033" xr:uid="{232BAACF-E326-431C-8AFE-A589DC7C7AC9}"/>
    <cellStyle name="Note 4 2 8 4 7" xfId="14699" xr:uid="{18B52718-2950-4589-B5C8-0345245AEDF3}"/>
    <cellStyle name="Note 4 2 8 4 8" xfId="16373" xr:uid="{0AD77C4A-7656-4C10-9EDE-8575D527C777}"/>
    <cellStyle name="Note 4 2 8 5" xfId="6141" xr:uid="{0C88DEE8-7F6D-469F-85CE-74DABE92255F}"/>
    <cellStyle name="Note 4 2 8 6" xfId="5669" xr:uid="{D7822C2A-EFD3-445C-8E68-0C3A6A8C8ECC}"/>
    <cellStyle name="Note 4 2 8 7" xfId="10773" xr:uid="{3F84BCEA-EB41-4E08-9524-E79CE5C25075}"/>
    <cellStyle name="Note 4 2 8 8" xfId="5265" xr:uid="{1807DC01-5CCF-4CA2-B816-D845E241C761}"/>
    <cellStyle name="Note 4 2 8 9" xfId="13649" xr:uid="{66DBDA7E-3115-4737-BFFA-89137308AD9B}"/>
    <cellStyle name="Note 4 2 9" xfId="3881" xr:uid="{377F938A-6E26-4C7D-8A28-8EC465B420AB}"/>
    <cellStyle name="Note 4 2 9 2" xfId="4772" xr:uid="{44BE2B90-7F2F-43BA-B5B9-F47BE92E53AE}"/>
    <cellStyle name="Note 4 2 9 2 2" xfId="7267" xr:uid="{FFF88D31-8AB6-478A-A619-443A0E2DE1ED}"/>
    <cellStyle name="Note 4 2 9 2 3" xfId="8682" xr:uid="{D080C578-522B-4638-BB9B-BE13A1D8EB8C}"/>
    <cellStyle name="Note 4 2 9 2 4" xfId="10389" xr:uid="{7D8BB11D-C9B8-430F-9E62-6D28CC0E544E}"/>
    <cellStyle name="Note 4 2 9 2 5" xfId="11885" xr:uid="{DC72410E-4561-4A07-A578-49EE8A9B639D}"/>
    <cellStyle name="Note 4 2 9 2 6" xfId="13359" xr:uid="{D086FC90-CBA2-4943-A68B-474FD537A952}"/>
    <cellStyle name="Note 4 2 9 2 7" xfId="15032" xr:uid="{2E1F1401-D15F-442B-B35A-0CA5C754BCF2}"/>
    <cellStyle name="Note 4 2 9 2 8" xfId="16699" xr:uid="{BB87A61A-3CC8-4743-888B-79920C51F6FE}"/>
    <cellStyle name="Note 4 2 9 3" xfId="6522" xr:uid="{F688EE32-4C5D-4973-A49E-D2A25CD6ED7D}"/>
    <cellStyle name="Note 4 2 9 4" xfId="7809" xr:uid="{CE256148-717F-4F33-A0E9-9F4BB5AA7895}"/>
    <cellStyle name="Note 4 2 9 5" xfId="9500" xr:uid="{BE6CF07D-BA03-49A7-B8F2-B2AD53B12B62}"/>
    <cellStyle name="Note 4 2 9 6" xfId="11153" xr:uid="{4DDD9779-890B-4E03-AE9A-F6EE7A37ABBA}"/>
    <cellStyle name="Note 4 2 9 7" xfId="12488" xr:uid="{9C0768EF-5405-4767-B91E-E7B012364B4A}"/>
    <cellStyle name="Note 4 2 9 8" xfId="14143" xr:uid="{728B411E-31FD-48CF-882A-4FB78B96425B}"/>
    <cellStyle name="Note 4 2 9 9" xfId="15828" xr:uid="{7A762D9D-E8C9-48E4-988B-3DD3DF352D74}"/>
    <cellStyle name="Note 4 3" xfId="2978" xr:uid="{AC1E27C4-BA55-4A70-B115-1AD9F07D210F}"/>
    <cellStyle name="Note 4 3 10" xfId="3425" xr:uid="{7BB99595-E65F-421A-B6C1-5444380AF03A}"/>
    <cellStyle name="Note 4 3 10 2" xfId="4472" xr:uid="{99F97B82-4D6F-4845-9716-5B55100599D3}"/>
    <cellStyle name="Note 4 3 10 2 2" xfId="6967" xr:uid="{B587D247-FC96-4B08-8264-030A8BE6106E}"/>
    <cellStyle name="Note 4 3 10 2 3" xfId="8388" xr:uid="{95C4B33D-15B9-439E-8F0D-327C7CE0AFC7}"/>
    <cellStyle name="Note 4 3 10 2 4" xfId="10089" xr:uid="{AE2367B8-42B2-48E8-861F-91718A77A5E2}"/>
    <cellStyle name="Note 4 3 10 2 5" xfId="11585" xr:uid="{8E430264-E63A-4EED-9233-86BB0ECEBDF2}"/>
    <cellStyle name="Note 4 3 10 2 6" xfId="13065" xr:uid="{7B8B31E2-1932-4642-B094-5C4C810C96E6}"/>
    <cellStyle name="Note 4 3 10 2 7" xfId="14732" xr:uid="{6AF3F19D-A97A-40FF-A764-58213DDB0A73}"/>
    <cellStyle name="Note 4 3 10 2 8" xfId="16405" xr:uid="{0313BB64-3FDD-4989-8127-ED893991C059}"/>
    <cellStyle name="Note 4 3 10 3" xfId="6175" xr:uid="{ED53A4D2-CC29-4D4C-95C7-C322EA8E61D9}"/>
    <cellStyle name="Note 4 3 10 4" xfId="6044" xr:uid="{75E2DE4E-6745-43C4-A8A2-A504AFED8D9D}"/>
    <cellStyle name="Note 4 3 10 5" xfId="9044" xr:uid="{393C58E7-2432-4CC1-95FE-54A0DFC4BB99}"/>
    <cellStyle name="Note 4 3 10 6" xfId="10808" xr:uid="{D410DA78-5BFE-47D8-9B5A-90FF3C744230}"/>
    <cellStyle name="Note 4 3 10 7" xfId="5463" xr:uid="{7B774CAD-75F8-4580-8D70-AF3EBBE33364}"/>
    <cellStyle name="Note 4 3 10 8" xfId="13687" xr:uid="{E74882F1-0A07-4387-98E4-8C54907A0F1F}"/>
    <cellStyle name="Note 4 3 10 9" xfId="15378" xr:uid="{C4B46CE7-2940-4443-9336-6004B79C2F3A}"/>
    <cellStyle name="Note 4 3 11" xfId="6046" xr:uid="{10F59B97-0D3E-4BB8-BDFD-54C6B62D7065}"/>
    <cellStyle name="Note 4 3 12" xfId="5880" xr:uid="{B89379CE-CAC8-4F45-A59C-09112CBCC03F}"/>
    <cellStyle name="Note 4 3 2" xfId="3266" xr:uid="{C3F05321-B9CA-4AEF-8A0A-4A0E7D3C0E5A}"/>
    <cellStyle name="Note 4 3 2 2" xfId="4146" xr:uid="{D6919C2B-E898-4AFF-B839-999A7BCF77E8}"/>
    <cellStyle name="Note 4 3 2 2 2" xfId="4943" xr:uid="{FC59FA0A-A052-494E-B0FD-3A229C02A47B}"/>
    <cellStyle name="Note 4 3 2 2 2 2" xfId="7438" xr:uid="{7192BBCA-B55E-452E-A9B0-1786F0D5EEFA}"/>
    <cellStyle name="Note 4 3 2 2 2 3" xfId="8850" xr:uid="{37973F8E-2E4E-4A87-853D-836FB2C7C5F8}"/>
    <cellStyle name="Note 4 3 2 2 2 4" xfId="10560" xr:uid="{8C683703-35F3-460A-B3D6-760175540606}"/>
    <cellStyle name="Note 4 3 2 2 2 5" xfId="12056" xr:uid="{A8533EC5-1D83-45A3-B34A-65AC3FDD7885}"/>
    <cellStyle name="Note 4 3 2 2 2 6" xfId="13527" xr:uid="{FA0BDD50-F46A-4927-B8A1-C08B75B2109B}"/>
    <cellStyle name="Note 4 3 2 2 2 7" xfId="15203" xr:uid="{4B261640-C8AB-4713-A4DB-DD6FFE0DF71E}"/>
    <cellStyle name="Note 4 3 2 2 2 8" xfId="16867" xr:uid="{70447DA2-78FF-4DE2-8216-0073B7AD6A8F}"/>
    <cellStyle name="Note 4 3 2 2 3" xfId="6717" xr:uid="{83796180-5BEF-452D-8E2D-BCBA2862348B}"/>
    <cellStyle name="Note 4 3 2 2 4" xfId="8071" xr:uid="{29D1BCE4-67D4-4172-AF2E-F05ACE3A21A8}"/>
    <cellStyle name="Note 4 3 2 2 5" xfId="9765" xr:uid="{600CB93A-9B63-4CC3-8CD0-626151131FA2}"/>
    <cellStyle name="Note 4 3 2 2 6" xfId="11345" xr:uid="{C6D29A3F-454D-4303-9D15-C7D037092FD0}"/>
    <cellStyle name="Note 4 3 2 2 7" xfId="12750" xr:uid="{5F97719D-4D3B-47D3-9699-6A9360948171}"/>
    <cellStyle name="Note 4 3 2 2 8" xfId="14408" xr:uid="{25B2F1B1-6F85-490C-8C53-D6C9D1B1F563}"/>
    <cellStyle name="Note 4 3 2 2 9" xfId="16090" xr:uid="{E19A8DC3-2EAC-44F0-8C54-7DCD53D15F5C}"/>
    <cellStyle name="Note 4 3 2 3" xfId="3708" xr:uid="{02833C4F-2561-4F0D-89E2-699A71ECD25C}"/>
    <cellStyle name="Note 4 3 2 3 2" xfId="4657" xr:uid="{4514D134-16D1-4EFE-B437-17C90F31BE6E}"/>
    <cellStyle name="Note 4 3 2 3 2 2" xfId="7152" xr:uid="{FABD46F3-D4D6-4062-95CD-C067E5329E98}"/>
    <cellStyle name="Note 4 3 2 3 2 3" xfId="8570" xr:uid="{2CECCF2F-7AC0-4488-B1BA-80BFB5D63365}"/>
    <cellStyle name="Note 4 3 2 3 2 4" xfId="10274" xr:uid="{C16F35E1-75AB-4CAD-8F8B-CD11186A5652}"/>
    <cellStyle name="Note 4 3 2 3 2 5" xfId="11770" xr:uid="{25136A41-3E32-4C58-8A43-4C4950DD42B4}"/>
    <cellStyle name="Note 4 3 2 3 2 6" xfId="13247" xr:uid="{507B11E3-7662-46EF-A987-4C0C2B9D3325}"/>
    <cellStyle name="Note 4 3 2 3 2 7" xfId="14917" xr:uid="{08D56DBA-EF16-4A2C-BE7C-E50144FA20E8}"/>
    <cellStyle name="Note 4 3 2 3 2 8" xfId="16587" xr:uid="{D9A45194-A6D7-4832-A5DD-6F050FF6AAEB}"/>
    <cellStyle name="Note 4 3 2 3 3" xfId="6390" xr:uid="{65E5CC8A-75B4-428A-B282-F45C034BE591}"/>
    <cellStyle name="Note 4 3 2 3 4" xfId="7639" xr:uid="{962A33AD-37D6-4946-9C0F-B3D9733FE907}"/>
    <cellStyle name="Note 4 3 2 3 5" xfId="9327" xr:uid="{C9CDEEB0-9ED7-4A3F-B834-D92568CEC1B7}"/>
    <cellStyle name="Note 4 3 2 3 6" xfId="11017" xr:uid="{83BA997C-2204-4A4C-ADA0-007B03668CFE}"/>
    <cellStyle name="Note 4 3 2 3 7" xfId="12318" xr:uid="{8412322D-FE5D-4474-9CC6-FF933154A98C}"/>
    <cellStyle name="Note 4 3 2 3 8" xfId="13970" xr:uid="{BBDA2B7D-1B98-418A-A373-98E1D93BA21E}"/>
    <cellStyle name="Note 4 3 2 3 9" xfId="15658" xr:uid="{46ADCC5D-2E0A-4986-A3E7-79FA00BCC3EC}"/>
    <cellStyle name="Note 4 3 2 4" xfId="8933" xr:uid="{F97DA20C-3C3E-42C1-81E0-FAF2DA441EB5}"/>
    <cellStyle name="Note 4 3 3" xfId="3136" xr:uid="{1E242729-CEDB-465D-9622-5202F60AC733}"/>
    <cellStyle name="Note 4 3 3 2" xfId="4016" xr:uid="{E29B6B64-7861-4792-9BA9-059AE38ACC6D}"/>
    <cellStyle name="Note 4 3 3 2 2" xfId="4861" xr:uid="{497292D7-2D6A-4E14-9673-B78D17758FC1}"/>
    <cellStyle name="Note 4 3 3 2 2 2" xfId="7356" xr:uid="{0F5F8AF3-E0C4-47AE-A900-E4FBD8521B54}"/>
    <cellStyle name="Note 4 3 3 2 2 3" xfId="8769" xr:uid="{9A14B208-8E5B-452D-8E42-4DCC813A49E7}"/>
    <cellStyle name="Note 4 3 3 2 2 4" xfId="10478" xr:uid="{4F17B13C-6A1E-4285-B040-D846CFA21914}"/>
    <cellStyle name="Note 4 3 3 2 2 5" xfId="11974" xr:uid="{04041EC0-EF54-47BF-BA45-E194F1EC3040}"/>
    <cellStyle name="Note 4 3 3 2 2 6" xfId="13446" xr:uid="{9153F860-239B-44DE-86BC-1E80DC31F37F}"/>
    <cellStyle name="Note 4 3 3 2 2 7" xfId="15121" xr:uid="{711652B3-7C61-4EA1-A21A-07FBC6C107A7}"/>
    <cellStyle name="Note 4 3 3 2 2 8" xfId="16786" xr:uid="{7D9D97B0-7AC0-4409-B3CB-328DD59DDB76}"/>
    <cellStyle name="Note 4 3 3 2 3" xfId="6622" xr:uid="{C9BDC6E8-4734-4FD9-ADE7-9154D954AA5B}"/>
    <cellStyle name="Note 4 3 3 2 4" xfId="7942" xr:uid="{0F7786F4-E2AB-4F00-9C25-6A1323D18467}"/>
    <cellStyle name="Note 4 3 3 2 5" xfId="9635" xr:uid="{43A14EDE-7C71-441D-A306-B0E9CB2FAAAD}"/>
    <cellStyle name="Note 4 3 3 2 6" xfId="11248" xr:uid="{25236236-46EF-40E6-A94A-F136684A2F56}"/>
    <cellStyle name="Note 4 3 3 2 7" xfId="12621" xr:uid="{6D98A3B9-EBEB-49A4-89E8-43C8F98DBEAF}"/>
    <cellStyle name="Note 4 3 3 2 8" xfId="14278" xr:uid="{3A3B3F77-2D04-44A4-BE7E-1BE75A9D9465}"/>
    <cellStyle name="Note 4 3 3 2 9" xfId="15961" xr:uid="{798C9F60-3EFA-403A-A565-EC440E1CAFF7}"/>
    <cellStyle name="Note 4 3 3 3" xfId="3578" xr:uid="{CA067350-7B4F-4302-AD0F-D674965378BF}"/>
    <cellStyle name="Note 4 3 3 3 2" xfId="4575" xr:uid="{FFB17AFC-AB7A-44DA-9E63-6FCFA82E72A1}"/>
    <cellStyle name="Note 4 3 3 3 2 2" xfId="7070" xr:uid="{5E4533B5-AC49-4B09-BFCA-1C1022E9E977}"/>
    <cellStyle name="Note 4 3 3 3 2 3" xfId="8489" xr:uid="{E0200667-B5A4-4239-8980-4A07D2ADD67A}"/>
    <cellStyle name="Note 4 3 3 3 2 4" xfId="10192" xr:uid="{D0B92409-1828-4829-9F8D-87C8EA46ED2B}"/>
    <cellStyle name="Note 4 3 3 3 2 5" xfId="11688" xr:uid="{3E305B73-7E04-48DB-93C6-847D6A4088BE}"/>
    <cellStyle name="Note 4 3 3 3 2 6" xfId="13166" xr:uid="{C9C62958-C766-4B4D-BCF7-CA60B53081F9}"/>
    <cellStyle name="Note 4 3 3 3 2 7" xfId="14835" xr:uid="{72B1CBD5-EFC5-462C-BAF3-EEDF4C3F38DD}"/>
    <cellStyle name="Note 4 3 3 3 2 8" xfId="16506" xr:uid="{A70DABB3-8B4C-4AF9-AB97-EFD5A65CA21B}"/>
    <cellStyle name="Note 4 3 3 3 3" xfId="6292" xr:uid="{7F2E5D7E-AF97-4A4A-BC04-DA673EC487AE}"/>
    <cellStyle name="Note 4 3 3 3 4" xfId="5089" xr:uid="{59AB90C4-5754-4F9A-A9D3-03AC3E72301C}"/>
    <cellStyle name="Note 4 3 3 3 5" xfId="9197" xr:uid="{D47AF4C2-840F-42F1-83EF-5F650DE0728D}"/>
    <cellStyle name="Note 4 3 3 3 6" xfId="10922" xr:uid="{7157D63F-3B65-41E0-80F9-986D5071814D}"/>
    <cellStyle name="Note 4 3 3 3 7" xfId="12189" xr:uid="{4ACD1E47-BA5B-4B7D-BD18-46E6520C1958}"/>
    <cellStyle name="Note 4 3 3 3 8" xfId="13840" xr:uid="{EDC8C607-8013-487E-B0A4-7F14C5DB27D7}"/>
    <cellStyle name="Note 4 3 3 3 9" xfId="15529" xr:uid="{B85BC254-2B15-4D21-93D6-11A534C0327B}"/>
    <cellStyle name="Note 4 3 3 4" xfId="6161" xr:uid="{2C986F89-282B-4166-9A9E-FBB4E962E7C6}"/>
    <cellStyle name="Note 4 3 4" xfId="3052" xr:uid="{D96A2483-3B1D-4B59-809C-C2A6BADDB40C}"/>
    <cellStyle name="Note 4 3 4 2" xfId="3932" xr:uid="{83163DE4-5EA9-4927-B94D-476D86E6FA18}"/>
    <cellStyle name="Note 4 3 4 2 2" xfId="4801" xr:uid="{306DFF46-56CC-4D13-81F4-3F418EDDF150}"/>
    <cellStyle name="Note 4 3 4 2 2 2" xfId="7296" xr:uid="{99D8E355-6AAE-4A10-B3E8-C8FDA4EB6DBD}"/>
    <cellStyle name="Note 4 3 4 2 2 3" xfId="8711" xr:uid="{0C2D8BB7-8F4B-4F3E-89E2-3CEC0864FF10}"/>
    <cellStyle name="Note 4 3 4 2 2 4" xfId="10418" xr:uid="{376F77BF-E36A-4E31-8457-B6AF65E45D6E}"/>
    <cellStyle name="Note 4 3 4 2 2 5" xfId="11914" xr:uid="{9281B540-7CFC-42A8-8F13-BE00DCD54CE7}"/>
    <cellStyle name="Note 4 3 4 2 2 6" xfId="13388" xr:uid="{1A7672FA-2E43-48F3-A729-45A119F25415}"/>
    <cellStyle name="Note 4 3 4 2 2 7" xfId="15061" xr:uid="{A411F315-9458-4E9D-A47E-1A491ED2DB79}"/>
    <cellStyle name="Note 4 3 4 2 2 8" xfId="16728" xr:uid="{AED63F29-5356-4EBD-80F2-15188504068F}"/>
    <cellStyle name="Note 4 3 4 2 3" xfId="6556" xr:uid="{E23F1192-347F-4FE0-991F-0F1015A9AE58}"/>
    <cellStyle name="Note 4 3 4 2 4" xfId="7860" xr:uid="{5C538516-771C-4351-ABE1-E3B6C8DB6A62}"/>
    <cellStyle name="Note 4 3 4 2 5" xfId="9551" xr:uid="{3B290769-E128-402A-B70B-8731C75A8881}"/>
    <cellStyle name="Note 4 3 4 2 6" xfId="11187" xr:uid="{631DAE18-CC8E-425A-B376-8902EF257253}"/>
    <cellStyle name="Note 4 3 4 2 7" xfId="12539" xr:uid="{E38E0F77-FE74-4441-8F3C-012840000F95}"/>
    <cellStyle name="Note 4 3 4 2 8" xfId="14194" xr:uid="{703BD8F2-F563-4382-A419-795504B2CCFC}"/>
    <cellStyle name="Note 4 3 4 2 9" xfId="15879" xr:uid="{FDFE50E6-D642-4279-A18E-6E6EC24A76EC}"/>
    <cellStyle name="Note 4 3 4 3" xfId="3494" xr:uid="{2882E189-77CC-4489-958F-A7A27DDF0E07}"/>
    <cellStyle name="Note 4 3 4 3 2" xfId="4515" xr:uid="{BD7152FA-455B-4F4E-A686-3BDEA8F8E80B}"/>
    <cellStyle name="Note 4 3 4 3 2 2" xfId="7010" xr:uid="{691272DE-4E07-4346-B1D9-A2FD0EDC423A}"/>
    <cellStyle name="Note 4 3 4 3 2 3" xfId="8431" xr:uid="{B19152FE-033E-4911-A809-DF26DDC10AF0}"/>
    <cellStyle name="Note 4 3 4 3 2 4" xfId="10132" xr:uid="{13A88DB4-1862-41C6-8DE2-CF515CC51BDA}"/>
    <cellStyle name="Note 4 3 4 3 2 5" xfId="11628" xr:uid="{081BE976-3EED-4B3B-80E9-3C2224FE018E}"/>
    <cellStyle name="Note 4 3 4 3 2 6" xfId="13108" xr:uid="{88FE1FBD-4979-4ECA-9C8C-DAB27616F4A7}"/>
    <cellStyle name="Note 4 3 4 3 2 7" xfId="14775" xr:uid="{B9F93B86-37E1-47BC-8648-F6E8D98E507A}"/>
    <cellStyle name="Note 4 3 4 3 2 8" xfId="16448" xr:uid="{60FA1A46-1717-4CF2-B8F7-645823955D02}"/>
    <cellStyle name="Note 4 3 4 3 3" xfId="6225" xr:uid="{EAD0DFE5-BB8F-4F3D-B0A0-1D748F34F0FC}"/>
    <cellStyle name="Note 4 3 4 3 4" xfId="5162" xr:uid="{B399556B-0683-4A2B-9AB9-0867BEFB4476}"/>
    <cellStyle name="Note 4 3 4 3 5" xfId="9113" xr:uid="{8D42A83C-A6B5-4D26-8632-BE4351EC8A16}"/>
    <cellStyle name="Note 4 3 4 3 6" xfId="10859" xr:uid="{1EA6AC0F-808C-45C2-98CF-DBF3908B3F36}"/>
    <cellStyle name="Note 4 3 4 3 7" xfId="5516" xr:uid="{6E66BA96-0030-42D2-B7F5-7DC8102A305B}"/>
    <cellStyle name="Note 4 3 4 3 8" xfId="13756" xr:uid="{AC90CBF4-7128-4E35-B3A2-65632098353C}"/>
    <cellStyle name="Note 4 3 4 3 9" xfId="15447" xr:uid="{C46DDBA2-67BE-4F71-BDC8-B01E4CD359CF}"/>
    <cellStyle name="Note 4 3 4 4" xfId="5556" xr:uid="{2A0DEFC3-ED9A-468B-AA4A-6BE572992CA7}"/>
    <cellStyle name="Note 4 3 5" xfId="3304" xr:uid="{FA547201-43B8-4D79-9A68-5B2CE3367DA3}"/>
    <cellStyle name="Note 4 3 5 2" xfId="4184" xr:uid="{A8B3A331-A97F-407F-8DB1-AE392323A72F}"/>
    <cellStyle name="Note 4 3 5 2 2" xfId="4972" xr:uid="{A7A01D24-3064-4B4F-A8D2-1A03DD44C1AB}"/>
    <cellStyle name="Note 4 3 5 2 2 2" xfId="7467" xr:uid="{D722FF83-3899-4D30-B877-778DE54896E8}"/>
    <cellStyle name="Note 4 3 5 2 2 3" xfId="8878" xr:uid="{0EB0B363-2E22-428B-8297-4635D35D719D}"/>
    <cellStyle name="Note 4 3 5 2 2 4" xfId="10589" xr:uid="{3E3CFD75-1027-4F99-ADD5-AEC5C8388C0C}"/>
    <cellStyle name="Note 4 3 5 2 2 5" xfId="12085" xr:uid="{14ABF2FD-DA04-4398-AB0E-613C1DC2638C}"/>
    <cellStyle name="Note 4 3 5 2 2 6" xfId="13555" xr:uid="{65C9F6EE-F740-49B6-BF0E-18F64F2DC796}"/>
    <cellStyle name="Note 4 3 5 2 2 7" xfId="15232" xr:uid="{47E9DA86-76B1-4E85-ACD4-843F2069B54C}"/>
    <cellStyle name="Note 4 3 5 2 2 8" xfId="16895" xr:uid="{2AF0A628-A527-4228-8152-EF2303E4E9EA}"/>
    <cellStyle name="Note 4 3 5 2 3" xfId="6747" xr:uid="{CDEF43F1-8F6C-4CD3-B95E-7CE328E4CFB4}"/>
    <cellStyle name="Note 4 3 5 2 4" xfId="8108" xr:uid="{A1F4C638-070E-49E3-B591-78AB4C029CDC}"/>
    <cellStyle name="Note 4 3 5 2 5" xfId="9803" xr:uid="{D893AC94-0867-4543-8C89-6B800F632599}"/>
    <cellStyle name="Note 4 3 5 2 6" xfId="11375" xr:uid="{7BBBB6A1-F9EB-42AD-91A6-5B4859D73B59}"/>
    <cellStyle name="Note 4 3 5 2 7" xfId="12787" xr:uid="{474B13C5-071A-45BF-82F3-2AED22D7846D}"/>
    <cellStyle name="Note 4 3 5 2 8" xfId="14446" xr:uid="{E4722749-6215-4865-BAF6-371967A3841C}"/>
    <cellStyle name="Note 4 3 5 2 9" xfId="16127" xr:uid="{5460BECC-4837-4165-9B3A-27C9F470F3DC}"/>
    <cellStyle name="Note 4 3 5 3" xfId="3745" xr:uid="{AFFEF342-A6D4-4C15-B5FF-C09C9F04B52C}"/>
    <cellStyle name="Note 4 3 5 3 2" xfId="4685" xr:uid="{919E7AA7-90C1-47E4-A97B-B8F08F5DCC41}"/>
    <cellStyle name="Note 4 3 5 3 2 2" xfId="7180" xr:uid="{EBE6CB26-900D-4AE8-B6F2-03C21D6784D0}"/>
    <cellStyle name="Note 4 3 5 3 2 3" xfId="8598" xr:uid="{82B9725C-29C1-40A7-81FC-C5E3E6FA140E}"/>
    <cellStyle name="Note 4 3 5 3 2 4" xfId="10302" xr:uid="{E6AD5AD4-A6A3-4007-BA76-974CE4EEAFC2}"/>
    <cellStyle name="Note 4 3 5 3 2 5" xfId="11798" xr:uid="{9B0E90ED-B99B-4CA4-B9EF-D2BF063968CC}"/>
    <cellStyle name="Note 4 3 5 3 2 6" xfId="13275" xr:uid="{703384F5-0706-44C7-96A8-A860884BC4F4}"/>
    <cellStyle name="Note 4 3 5 3 2 7" xfId="14945" xr:uid="{EC7F8587-68E3-40A5-AE02-1F8F9872DE27}"/>
    <cellStyle name="Note 4 3 5 3 2 8" xfId="16615" xr:uid="{57021960-222B-4F3E-AB42-84E3765C1CEE}"/>
    <cellStyle name="Note 4 3 5 3 3" xfId="6420" xr:uid="{02AEE140-4C55-42A2-8C00-650C4B958B2C}"/>
    <cellStyle name="Note 4 3 5 3 4" xfId="7676" xr:uid="{A73CCA2A-56DF-4E88-BABA-F491AF2B1689}"/>
    <cellStyle name="Note 4 3 5 3 5" xfId="9364" xr:uid="{E17FAB92-9122-4341-A924-3D5952FA5112}"/>
    <cellStyle name="Note 4 3 5 3 6" xfId="11048" xr:uid="{3ADEC598-5D88-4574-9ACB-77DD031E6978}"/>
    <cellStyle name="Note 4 3 5 3 7" xfId="12355" xr:uid="{E419A1F6-A40D-4786-B7F4-5FBAD3D45CAC}"/>
    <cellStyle name="Note 4 3 5 3 8" xfId="14007" xr:uid="{73651FAA-CBFE-46BF-BEF8-A5012A7C9C4F}"/>
    <cellStyle name="Note 4 3 5 3 9" xfId="15695" xr:uid="{9CBC2A97-686C-46A8-9E15-0D3258695FFF}"/>
    <cellStyle name="Note 4 3 5 4" xfId="8967" xr:uid="{91AEA8EF-CFA7-442E-95F9-2FDB05203466}"/>
    <cellStyle name="Note 4 3 6" xfId="3049" xr:uid="{AEE69B79-0C2C-431F-9BF0-9A6520476DA3}"/>
    <cellStyle name="Note 4 3 6 10" xfId="13608" xr:uid="{581E8F0D-C846-4EDE-90A3-B777B288DCD2}"/>
    <cellStyle name="Note 4 3 6 2" xfId="3929" xr:uid="{E30C1FA0-48B0-4886-A579-11EC4D415EC2}"/>
    <cellStyle name="Note 4 3 6 2 2" xfId="4798" xr:uid="{B59AA061-2D4B-4AA5-8C06-0045663AA904}"/>
    <cellStyle name="Note 4 3 6 2 2 2" xfId="7293" xr:uid="{D7FC1197-4D46-4F90-86E3-139808B5ECEA}"/>
    <cellStyle name="Note 4 3 6 2 2 3" xfId="8708" xr:uid="{A901422D-FF28-481A-9362-D0DEF264E817}"/>
    <cellStyle name="Note 4 3 6 2 2 4" xfId="10415" xr:uid="{F5318BAE-5502-470C-8C25-823EE9813C1E}"/>
    <cellStyle name="Note 4 3 6 2 2 5" xfId="11911" xr:uid="{5BEFFCA3-C4D6-4591-B877-5052AC5FCF9F}"/>
    <cellStyle name="Note 4 3 6 2 2 6" xfId="13385" xr:uid="{E9AF7246-1129-40E7-B9F1-3598B3872A2E}"/>
    <cellStyle name="Note 4 3 6 2 2 7" xfId="15058" xr:uid="{701A2E0D-2232-4C96-B9C0-C52882F9A5CB}"/>
    <cellStyle name="Note 4 3 6 2 2 8" xfId="16725" xr:uid="{9B8B467A-434D-4B90-8B45-6F63F9B78374}"/>
    <cellStyle name="Note 4 3 6 2 3" xfId="6553" xr:uid="{36FF6562-839C-4074-91E5-66FFB7E15891}"/>
    <cellStyle name="Note 4 3 6 2 4" xfId="7857" xr:uid="{D5495006-DC86-4321-8390-5F70B7FD291C}"/>
    <cellStyle name="Note 4 3 6 2 5" xfId="9548" xr:uid="{145C40BD-071A-4E7F-A344-DBF076660CF8}"/>
    <cellStyle name="Note 4 3 6 2 6" xfId="11184" xr:uid="{2D9C55F0-A94F-4930-A6F4-0F454DDEE663}"/>
    <cellStyle name="Note 4 3 6 2 7" xfId="12536" xr:uid="{61F2D47E-DBF9-4DF5-9019-5401F146D58A}"/>
    <cellStyle name="Note 4 3 6 2 8" xfId="14191" xr:uid="{836A4697-3B98-4F66-9441-47F2D728A6FF}"/>
    <cellStyle name="Note 4 3 6 2 9" xfId="15876" xr:uid="{651C85C7-66EC-43AF-9F4C-B223EDBA11CA}"/>
    <cellStyle name="Note 4 3 6 3" xfId="3491" xr:uid="{A6546511-1200-47B4-A392-6499B39F210C}"/>
    <cellStyle name="Note 4 3 6 3 2" xfId="4512" xr:uid="{6F9B9711-F0B7-4BD5-ACA5-F6CDB1211E33}"/>
    <cellStyle name="Note 4 3 6 3 2 2" xfId="7007" xr:uid="{BF4D81E7-8EEF-4DC1-8437-73EE35FD7DFC}"/>
    <cellStyle name="Note 4 3 6 3 2 3" xfId="8428" xr:uid="{1FF328B8-6FB3-4162-8796-EC0317B23941}"/>
    <cellStyle name="Note 4 3 6 3 2 4" xfId="10129" xr:uid="{55319B02-8811-4328-B21D-1585582DD80D}"/>
    <cellStyle name="Note 4 3 6 3 2 5" xfId="11625" xr:uid="{E9681B2C-0BBB-4ABB-B424-EE7FCC2BEC83}"/>
    <cellStyle name="Note 4 3 6 3 2 6" xfId="13105" xr:uid="{60901A42-E691-49A8-8FC2-6C93A29B8C80}"/>
    <cellStyle name="Note 4 3 6 3 2 7" xfId="14772" xr:uid="{5562C05C-ADB6-4331-96DD-D0972477CE4E}"/>
    <cellStyle name="Note 4 3 6 3 2 8" xfId="16445" xr:uid="{CD55EA15-4C2F-46C9-9884-63970A1834CD}"/>
    <cellStyle name="Note 4 3 6 3 3" xfId="6222" xr:uid="{8A69B836-DB3D-466C-9D88-05E3BE402809}"/>
    <cellStyle name="Note 4 3 6 3 4" xfId="5164" xr:uid="{5D5C96AF-772C-4991-ABAF-A678CB2778DF}"/>
    <cellStyle name="Note 4 3 6 3 5" xfId="9110" xr:uid="{92F99CA2-46A0-4DEA-B1A8-920F5A94437C}"/>
    <cellStyle name="Note 4 3 6 3 6" xfId="10856" xr:uid="{87BF3A65-1836-4486-8BBE-3F2A36348A04}"/>
    <cellStyle name="Note 4 3 6 3 7" xfId="9008" xr:uid="{8A5C4A8A-B6FF-4B17-8A68-A047B6DF64D4}"/>
    <cellStyle name="Note 4 3 6 3 8" xfId="13753" xr:uid="{18A94885-AAF7-4CB3-B2FF-180CE1E71DD7}"/>
    <cellStyle name="Note 4 3 6 3 9" xfId="15444" xr:uid="{FC721957-D32E-4600-981C-1354D69A2653}"/>
    <cellStyle name="Note 4 3 6 4" xfId="4296" xr:uid="{CF25F509-2F3D-4D8D-BAB5-26CE616A6E25}"/>
    <cellStyle name="Note 4 3 6 4 2" xfId="6823" xr:uid="{B8382A7F-AC8D-4F7A-98A5-376D4D11F893}"/>
    <cellStyle name="Note 4 3 6 4 3" xfId="8218" xr:uid="{C8BD7147-ACAD-4BF4-B18C-7CD25D0E7EC7}"/>
    <cellStyle name="Note 4 3 6 4 4" xfId="9913" xr:uid="{4150D23E-7309-45D0-91B1-9D6D571F3376}"/>
    <cellStyle name="Note 4 3 6 4 5" xfId="11444" xr:uid="{1981F66F-58EC-4C73-A18E-2EAD2A3FC63B}"/>
    <cellStyle name="Note 4 3 6 4 6" xfId="12895" xr:uid="{F12F025A-B34C-474C-AADE-539674750A5F}"/>
    <cellStyle name="Note 4 3 6 4 7" xfId="14556" xr:uid="{6E10A0D5-18C4-4F3B-8E40-2DB3006854B6}"/>
    <cellStyle name="Note 4 3 6 4 8" xfId="16235" xr:uid="{5B82DEBE-5AB4-4C76-AD74-1431A2B9F1CE}"/>
    <cellStyle name="Note 4 3 6 5" xfId="5932" xr:uid="{7E06F140-88AF-432C-89A8-86F4F27A1EA7}"/>
    <cellStyle name="Note 4 3 6 6" xfId="5757" xr:uid="{602E88BC-9BAE-488A-B8DF-AED730891111}"/>
    <cellStyle name="Note 4 3 6 7" xfId="5379" xr:uid="{DC0532F0-C343-42F3-AB34-029EE1C26E38}"/>
    <cellStyle name="Note 4 3 6 8" xfId="5437" xr:uid="{90CE08C7-5727-475E-9DAA-4CCDE06B48C0}"/>
    <cellStyle name="Note 4 3 6 9" xfId="5493" xr:uid="{DDD7E9FF-9AF2-47CD-92FC-6EBEBB0A438F}"/>
    <cellStyle name="Note 4 3 7" xfId="3232" xr:uid="{0B136809-60C7-42F6-A685-53879EDC484F}"/>
    <cellStyle name="Note 4 3 7 10" xfId="15284" xr:uid="{30917842-12A7-49A4-8F0C-A23FADB6B20A}"/>
    <cellStyle name="Note 4 3 7 2" xfId="4112" xr:uid="{D8C06F43-BEBC-4D37-ABF2-2D971ACBAFA6}"/>
    <cellStyle name="Note 4 3 7 2 2" xfId="4919" xr:uid="{9C432582-A3A4-4761-84AA-A45CFF190E2E}"/>
    <cellStyle name="Note 4 3 7 2 2 2" xfId="7414" xr:uid="{E1F6E7CB-5B1D-43D8-B6B6-973E8243CB5A}"/>
    <cellStyle name="Note 4 3 7 2 2 3" xfId="8826" xr:uid="{0D779F5B-8204-41DC-92CD-BC8B2523C39D}"/>
    <cellStyle name="Note 4 3 7 2 2 4" xfId="10536" xr:uid="{F56258CA-1F10-4888-82B3-8D0646D126E3}"/>
    <cellStyle name="Note 4 3 7 2 2 5" xfId="12032" xr:uid="{61AB7B7B-32E7-4122-B476-53A169D7DF4E}"/>
    <cellStyle name="Note 4 3 7 2 2 6" xfId="13503" xr:uid="{319BDA4E-8F83-4141-BEF2-615E3B2F90E2}"/>
    <cellStyle name="Note 4 3 7 2 2 7" xfId="15179" xr:uid="{EB2261E4-8D11-41F3-B05C-8BAAD895D778}"/>
    <cellStyle name="Note 4 3 7 2 2 8" xfId="16843" xr:uid="{F01C2F90-A5BE-4DD6-8347-B2BC6604E10E}"/>
    <cellStyle name="Note 4 3 7 2 3" xfId="6689" xr:uid="{E964356A-E9F9-44E5-A8B2-E389AED9D707}"/>
    <cellStyle name="Note 4 3 7 2 4" xfId="8037" xr:uid="{7FDB2BF5-7325-41E1-BC36-EE14104CF1CF}"/>
    <cellStyle name="Note 4 3 7 2 5" xfId="9731" xr:uid="{8FF6B069-50B7-4946-BBAB-E63330D8F074}"/>
    <cellStyle name="Note 4 3 7 2 6" xfId="11317" xr:uid="{C26E0B14-1C95-4FB0-A7E6-5147D841CAE0}"/>
    <cellStyle name="Note 4 3 7 2 7" xfId="12716" xr:uid="{CD2A6E5D-465D-46B5-9116-35D1D0F2C9C6}"/>
    <cellStyle name="Note 4 3 7 2 8" xfId="14374" xr:uid="{55E2A61A-2B54-4B64-9866-D7D95979B7B8}"/>
    <cellStyle name="Note 4 3 7 2 9" xfId="16056" xr:uid="{1BD1FF1C-B6FB-4F4D-8A58-776353AF6EAF}"/>
    <cellStyle name="Note 4 3 7 3" xfId="3674" xr:uid="{F5BD13A8-2F5E-4403-A704-402F416DB91E}"/>
    <cellStyle name="Note 4 3 7 3 2" xfId="4633" xr:uid="{F1A17D3B-7391-41EE-A7D9-88FD3AB3AA6A}"/>
    <cellStyle name="Note 4 3 7 3 2 2" xfId="7128" xr:uid="{D41480B0-2B99-4976-BB98-F006416808AF}"/>
    <cellStyle name="Note 4 3 7 3 2 3" xfId="8546" xr:uid="{6DADC541-3D8A-4AD4-BC27-DED3730B24AD}"/>
    <cellStyle name="Note 4 3 7 3 2 4" xfId="10250" xr:uid="{57E97C34-82A2-44BD-A138-974F1E2B7CBD}"/>
    <cellStyle name="Note 4 3 7 3 2 5" xfId="11746" xr:uid="{BACB969E-E82F-4D75-8EEC-11F25BC3FCCE}"/>
    <cellStyle name="Note 4 3 7 3 2 6" xfId="13223" xr:uid="{9D6D7D98-3233-4C29-9F77-11BBA57E6B7D}"/>
    <cellStyle name="Note 4 3 7 3 2 7" xfId="14893" xr:uid="{578163DA-DAEC-4DB7-874B-DCFD82885BC1}"/>
    <cellStyle name="Note 4 3 7 3 2 8" xfId="16563" xr:uid="{70DD33E8-C1D5-4762-A282-3587C892CA31}"/>
    <cellStyle name="Note 4 3 7 3 3" xfId="6364" xr:uid="{C414F0F7-DE9D-44C3-8325-F145770FCDB9}"/>
    <cellStyle name="Note 4 3 7 3 4" xfId="7605" xr:uid="{0A0AD604-5F51-4A43-A4C7-9B4738DE5A25}"/>
    <cellStyle name="Note 4 3 7 3 5" xfId="9293" xr:uid="{3061F3EE-5A0D-4DAA-9EBE-F3141D17EB77}"/>
    <cellStyle name="Note 4 3 7 3 6" xfId="10989" xr:uid="{BB2DBBB1-E306-44E0-8126-70DF3F6BB33C}"/>
    <cellStyle name="Note 4 3 7 3 7" xfId="12284" xr:uid="{F2BBDC3F-4EC1-40D5-A640-B79387D9B5F4}"/>
    <cellStyle name="Note 4 3 7 3 8" xfId="13936" xr:uid="{4F0A34A8-9F06-4428-95AC-0CBE3416105B}"/>
    <cellStyle name="Note 4 3 7 3 9" xfId="15624" xr:uid="{6F05E381-1A90-4249-8E51-61C069ECE083}"/>
    <cellStyle name="Note 4 3 7 4" xfId="4381" xr:uid="{17663296-147B-453B-9D21-F2B2533157BA}"/>
    <cellStyle name="Note 4 3 7 4 2" xfId="6891" xr:uid="{38EDFD54-D7BB-4A0B-9FF9-B75779774533}"/>
    <cellStyle name="Note 4 3 7 4 3" xfId="8300" xr:uid="{0259AEBA-0F26-40C9-9A57-0FCEE9C0CAFE}"/>
    <cellStyle name="Note 4 3 7 4 4" xfId="9998" xr:uid="{C83A07B9-5A85-4426-A145-06799E87B1BE}"/>
    <cellStyle name="Note 4 3 7 4 5" xfId="11510" xr:uid="{233FC2A7-AB3C-4710-BECC-758A9B5CF5F1}"/>
    <cellStyle name="Note 4 3 7 4 6" xfId="12977" xr:uid="{77286B10-A0D3-4876-848C-DFEED83B90BE}"/>
    <cellStyle name="Note 4 3 7 4 7" xfId="14641" xr:uid="{237D8141-B57B-4EDD-96F7-CFE83EA768BF}"/>
    <cellStyle name="Note 4 3 7 4 8" xfId="16317" xr:uid="{3C4139B6-8323-4387-B94C-C971EADA00F7}"/>
    <cellStyle name="Note 4 3 7 5" xfId="6054" xr:uid="{3996F3D9-9ECE-40E5-9D0D-63EF9D178C32}"/>
    <cellStyle name="Note 4 3 7 6" xfId="5713" xr:uid="{14F13200-1253-4B5E-95CE-BAB5D1803C6A}"/>
    <cellStyle name="Note 4 3 7 7" xfId="10696" xr:uid="{93AD95E5-B383-409A-895F-8032E4E7E864}"/>
    <cellStyle name="Note 4 3 7 8" xfId="5295" xr:uid="{EB4B730B-64A8-4C56-887E-8FA2D3F1F7BD}"/>
    <cellStyle name="Note 4 3 7 9" xfId="10993" xr:uid="{772BF18D-3641-4910-9FDA-BE00479B6CF5}"/>
    <cellStyle name="Note 4 3 8" xfId="3365" xr:uid="{A9BAC80B-F5DF-4B22-AC72-51E22382A603}"/>
    <cellStyle name="Note 4 3 8 10" xfId="15322" xr:uid="{DF401EED-11D3-4EE3-8610-B1F38378B566}"/>
    <cellStyle name="Note 4 3 8 2" xfId="4245" xr:uid="{9BB35E41-6B03-4ECE-A891-EC67D13EF2E9}"/>
    <cellStyle name="Note 4 3 8 2 2" xfId="5001" xr:uid="{61D6C466-ED2E-45FD-9F62-7FE09FAAD36D}"/>
    <cellStyle name="Note 4 3 8 2 2 2" xfId="7496" xr:uid="{F6F687E5-DE7A-4246-91B3-0B77D552D3B8}"/>
    <cellStyle name="Note 4 3 8 2 2 3" xfId="8906" xr:uid="{E424CD9A-8D2E-4CF5-A471-FB18FBC0D95B}"/>
    <cellStyle name="Note 4 3 8 2 2 4" xfId="10618" xr:uid="{95D59721-E6F1-436F-923B-5A320FAC0628}"/>
    <cellStyle name="Note 4 3 8 2 2 5" xfId="12114" xr:uid="{9AF84137-9957-44EF-AEAA-089DD31F8900}"/>
    <cellStyle name="Note 4 3 8 2 2 6" xfId="13583" xr:uid="{FC116233-8D20-4ACA-B1DE-A6DDB0312476}"/>
    <cellStyle name="Note 4 3 8 2 2 7" xfId="15261" xr:uid="{1EA9DC00-0639-4A81-925E-005269B0F45A}"/>
    <cellStyle name="Note 4 3 8 2 2 8" xfId="16923" xr:uid="{69603A01-67B2-4163-9286-BE547053B59D}"/>
    <cellStyle name="Note 4 3 8 2 3" xfId="6787" xr:uid="{78702CFE-78D5-4BF9-8D43-CC3AE0BF32D0}"/>
    <cellStyle name="Note 4 3 8 2 4" xfId="8168" xr:uid="{5832AD25-33E5-4F01-ABE1-5F153224A1EF}"/>
    <cellStyle name="Note 4 3 8 2 5" xfId="9864" xr:uid="{C854CDF0-4BBB-4EEB-B475-99BD459F4DA3}"/>
    <cellStyle name="Note 4 3 8 2 6" xfId="11407" xr:uid="{F4B07E5E-677B-4019-8452-BF419D3C7E14}"/>
    <cellStyle name="Note 4 3 8 2 7" xfId="12847" xr:uid="{3683DF5A-2BB2-43B5-82B5-9111C8982FB8}"/>
    <cellStyle name="Note 4 3 8 2 8" xfId="14507" xr:uid="{24FEE4BC-BA13-4EFF-888A-6BC25630E434}"/>
    <cellStyle name="Note 4 3 8 2 9" xfId="16187" xr:uid="{62D9E0B6-B095-4639-B2F9-0A6B1A3C5BF4}"/>
    <cellStyle name="Note 4 3 8 3" xfId="3805" xr:uid="{3EEFB227-FBA8-4176-97B7-069C2C3CEDD7}"/>
    <cellStyle name="Note 4 3 8 3 2" xfId="4713" xr:uid="{4F293C0E-3873-4912-AEA4-B752DD3E28E1}"/>
    <cellStyle name="Note 4 3 8 3 2 2" xfId="7208" xr:uid="{B5C0BD72-8C36-4AAF-8189-A8974D86A981}"/>
    <cellStyle name="Note 4 3 8 3 2 3" xfId="8626" xr:uid="{AA4F0AD4-4D66-4D20-9F74-93C0526D5D62}"/>
    <cellStyle name="Note 4 3 8 3 2 4" xfId="10330" xr:uid="{E0D213B0-A6F4-4884-9DD8-0D92AF67589C}"/>
    <cellStyle name="Note 4 3 8 3 2 5" xfId="11826" xr:uid="{D3146FE9-0327-4EF8-AD20-F15EC5ABE267}"/>
    <cellStyle name="Note 4 3 8 3 2 6" xfId="13303" xr:uid="{8497C322-0CB7-4217-A898-4432AB7EA4EF}"/>
    <cellStyle name="Note 4 3 8 3 2 7" xfId="14973" xr:uid="{84A266DD-955F-4B05-8C7B-21DA92D3DE34}"/>
    <cellStyle name="Note 4 3 8 3 2 8" xfId="16643" xr:uid="{5C0DE34B-DF18-4CD2-AFA0-FB3945D84538}"/>
    <cellStyle name="Note 4 3 8 3 3" xfId="6458" xr:uid="{E9001FD8-1BA6-45E2-A45B-A716BB3D40FF}"/>
    <cellStyle name="Note 4 3 8 3 4" xfId="7736" xr:uid="{2A6A3279-B1C6-453A-B058-78F85F0961B7}"/>
    <cellStyle name="Note 4 3 8 3 5" xfId="9424" xr:uid="{30FF1EBF-7BC4-4F4E-B5EB-9109A7C0F36F}"/>
    <cellStyle name="Note 4 3 8 3 6" xfId="11087" xr:uid="{19F99BDF-0CEB-425D-9745-C357B72C00D5}"/>
    <cellStyle name="Note 4 3 8 3 7" xfId="12415" xr:uid="{47BB749F-53B5-4C62-A066-0ECA43104202}"/>
    <cellStyle name="Note 4 3 8 3 8" xfId="14067" xr:uid="{BC730CA1-8A87-4874-9595-B57B5F452AD8}"/>
    <cellStyle name="Note 4 3 8 3 9" xfId="15755" xr:uid="{5F4D8D14-5369-4812-A530-B44EDB837175}"/>
    <cellStyle name="Note 4 3 8 4" xfId="4421" xr:uid="{2573A808-0E3C-4A55-8096-009E136A93A7}"/>
    <cellStyle name="Note 4 3 8 4 2" xfId="6922" xr:uid="{A374434A-77F3-4917-9E92-B8A86A6C3D11}"/>
    <cellStyle name="Note 4 3 8 4 3" xfId="8338" xr:uid="{045B4B9A-8D93-4D1C-9233-A9974391CC1E}"/>
    <cellStyle name="Note 4 3 8 4 4" xfId="10038" xr:uid="{9A14566A-FD25-463C-AF30-DDBCE20DA4EE}"/>
    <cellStyle name="Note 4 3 8 4 5" xfId="11539" xr:uid="{979C264A-7C0F-4F7E-B18F-5ABAED2CA8C3}"/>
    <cellStyle name="Note 4 3 8 4 6" xfId="13015" xr:uid="{B704B528-6DD9-408A-A5C7-B0C14AF40904}"/>
    <cellStyle name="Note 4 3 8 4 7" xfId="14681" xr:uid="{84ADBA46-22AD-46A4-BFEF-1FF33FA6AA37}"/>
    <cellStyle name="Note 4 3 8 4 8" xfId="16355" xr:uid="{4A28741D-A25C-4AC1-8238-A6A5EF3B9B3D}"/>
    <cellStyle name="Note 4 3 8 5" xfId="6123" xr:uid="{05EE4E5B-5162-4D78-ACDD-DC23EF0BC8CA}"/>
    <cellStyle name="Note 4 3 8 6" xfId="5765" xr:uid="{FFBDFB1E-1ECB-448D-93CF-612A7132A959}"/>
    <cellStyle name="Note 4 3 8 7" xfId="10755" xr:uid="{E9EFECE6-6E08-4055-8C8D-5A6E699B8EAC}"/>
    <cellStyle name="Note 4 3 8 8" xfId="10688" xr:uid="{FCF69401-AD1F-40A7-BA6C-E684465B6578}"/>
    <cellStyle name="Note 4 3 8 9" xfId="13631" xr:uid="{7660FC1D-357F-4A7E-8E34-EEF379E0EC86}"/>
    <cellStyle name="Note 4 3 9" xfId="3862" xr:uid="{FA3D2ABA-309C-4AFE-B95E-515857510FD7}"/>
    <cellStyle name="Note 4 3 9 2" xfId="4757" xr:uid="{7FFCD150-CAE6-4FB5-B5D0-9BABB6EBC151}"/>
    <cellStyle name="Note 4 3 9 2 2" xfId="7252" xr:uid="{4361F4CD-8DB7-4E7C-8C31-AB1D8805D66A}"/>
    <cellStyle name="Note 4 3 9 2 3" xfId="8668" xr:uid="{0A5F643A-8656-49D5-8F7B-9BD8F24F10F7}"/>
    <cellStyle name="Note 4 3 9 2 4" xfId="10374" xr:uid="{0FE44221-F24D-4655-BA44-D82F3AF9A18C}"/>
    <cellStyle name="Note 4 3 9 2 5" xfId="11870" xr:uid="{5EB532F1-CEEB-4CBF-9982-F60A8476ECBE}"/>
    <cellStyle name="Note 4 3 9 2 6" xfId="13345" xr:uid="{9CFA8609-C99E-4D17-AFED-B91F4DDDAEB8}"/>
    <cellStyle name="Note 4 3 9 2 7" xfId="15017" xr:uid="{3C89D035-20A1-474A-AED4-008CDDFD6AAC}"/>
    <cellStyle name="Note 4 3 9 2 8" xfId="16685" xr:uid="{621376BD-FA8C-4D09-AA06-ECD121283A05}"/>
    <cellStyle name="Note 4 3 9 3" xfId="6505" xr:uid="{8D3BFD31-AE10-4E62-BAB8-71A899D6EA67}"/>
    <cellStyle name="Note 4 3 9 4" xfId="7791" xr:uid="{74C93592-2F53-478E-AFC6-B216173608CB}"/>
    <cellStyle name="Note 4 3 9 5" xfId="9481" xr:uid="{6C6F7840-752A-4973-BB1C-4CD063B5C3A3}"/>
    <cellStyle name="Note 4 3 9 6" xfId="11135" xr:uid="{A3E1D827-C849-434C-BF00-BA495E064B51}"/>
    <cellStyle name="Note 4 3 9 7" xfId="12470" xr:uid="{4DD55354-CFD0-4644-860C-76BEF76D2B16}"/>
    <cellStyle name="Note 4 3 9 8" xfId="14124" xr:uid="{102B94A5-253A-441B-AF4F-C41934EF765B}"/>
    <cellStyle name="Note 4 3 9 9" xfId="15810" xr:uid="{5AACEADE-09E4-4E80-B27F-5D80180EF285}"/>
    <cellStyle name="Note 4 4" xfId="3291" xr:uid="{6C86C1F6-B2D5-4480-AC28-90E33D898655}"/>
    <cellStyle name="Note 4 4 2" xfId="4171" xr:uid="{849BDA7D-FF1E-4205-AB33-EBD9C5A82E51}"/>
    <cellStyle name="Note 4 4 2 2" xfId="4961" xr:uid="{A7DAC953-4429-4561-BE4C-6BD49B047B80}"/>
    <cellStyle name="Note 4 4 2 2 2" xfId="7456" xr:uid="{6FFA7791-92D1-40C5-AC4C-5144C49A62FB}"/>
    <cellStyle name="Note 4 4 2 2 3" xfId="8868" xr:uid="{130B9383-E830-4AEF-892A-50CE70970543}"/>
    <cellStyle name="Note 4 4 2 2 4" xfId="10578" xr:uid="{AFB7C634-E1EB-47C2-8CEE-C7F23B32B985}"/>
    <cellStyle name="Note 4 4 2 2 5" xfId="12074" xr:uid="{548F8575-A3FB-41B4-BD7F-C923989E9883}"/>
    <cellStyle name="Note 4 4 2 2 6" xfId="13545" xr:uid="{F50C6E29-F6A2-46B3-AA41-720D6CBF71ED}"/>
    <cellStyle name="Note 4 4 2 2 7" xfId="15221" xr:uid="{5474FFCD-0E24-461A-995E-CB4F37B08AEC}"/>
    <cellStyle name="Note 4 4 2 2 8" xfId="16885" xr:uid="{5C30248D-3318-4D34-A93E-63B4C7C20918}"/>
    <cellStyle name="Note 4 4 2 3" xfId="6736" xr:uid="{400143C3-2B9B-4340-B654-B97726DA03AF}"/>
    <cellStyle name="Note 4 4 2 4" xfId="8096" xr:uid="{AF0102E4-E510-4846-B2CC-3FC51BD1169C}"/>
    <cellStyle name="Note 4 4 2 5" xfId="9790" xr:uid="{291C9589-06D5-4498-A1C4-242AF55A5354}"/>
    <cellStyle name="Note 4 4 2 6" xfId="11364" xr:uid="{B945EC51-F959-44FE-964B-E1271C70CEE9}"/>
    <cellStyle name="Note 4 4 2 7" xfId="12775" xr:uid="{C495A1E0-7088-45E6-BC0A-F0084B1A5F47}"/>
    <cellStyle name="Note 4 4 2 8" xfId="14433" xr:uid="{AC5CF5EA-7C4B-46B9-813E-D668CF6A394A}"/>
    <cellStyle name="Note 4 4 2 9" xfId="16115" xr:uid="{2325E9EF-53E4-4D3C-B61E-D33945CDF7BA}"/>
    <cellStyle name="Note 4 4 3" xfId="3733" xr:uid="{2937E530-6CD9-498E-8275-52CDBFF49C1A}"/>
    <cellStyle name="Note 4 4 3 2" xfId="4675" xr:uid="{7B4FEFCF-054F-4A43-BBAF-992C040BA393}"/>
    <cellStyle name="Note 4 4 3 2 2" xfId="7170" xr:uid="{3E306620-7497-4787-98CE-C7FBD00E3EC2}"/>
    <cellStyle name="Note 4 4 3 2 3" xfId="8588" xr:uid="{76690744-8157-47BC-8A6A-8798A7015CD9}"/>
    <cellStyle name="Note 4 4 3 2 4" xfId="10292" xr:uid="{61010E6D-912D-415D-99C7-F49C1ADEFE80}"/>
    <cellStyle name="Note 4 4 3 2 5" xfId="11788" xr:uid="{02B47101-FBC0-43BA-9317-D727951D17E9}"/>
    <cellStyle name="Note 4 4 3 2 6" xfId="13265" xr:uid="{B7D52152-3D8F-4A0B-B957-B5DC447FB329}"/>
    <cellStyle name="Note 4 4 3 2 7" xfId="14935" xr:uid="{51707511-77E5-4212-968F-A362D466B465}"/>
    <cellStyle name="Note 4 4 3 2 8" xfId="16605" xr:uid="{4BAAD912-9013-46D3-A347-7B74BFC44BAB}"/>
    <cellStyle name="Note 4 4 3 3" xfId="6410" xr:uid="{11CDEE34-F14B-4016-A01F-A163DA4F3125}"/>
    <cellStyle name="Note 4 4 3 4" xfId="7664" xr:uid="{9A3A8DD8-D9C7-4E1F-AAFF-00ED519C2142}"/>
    <cellStyle name="Note 4 4 3 5" xfId="9352" xr:uid="{BDCB7B51-993B-4D24-BF7B-903350AE32D1}"/>
    <cellStyle name="Note 4 4 3 6" xfId="11037" xr:uid="{2541FA56-FCB5-47B5-8E0C-DD615A030583}"/>
    <cellStyle name="Note 4 4 3 7" xfId="12343" xr:uid="{6FA6DDC5-3E19-4576-8FCB-DBCDDCDFE4B7}"/>
    <cellStyle name="Note 4 4 3 8" xfId="13995" xr:uid="{A92931E2-2837-42F5-AA2F-304B0AA73F35}"/>
    <cellStyle name="Note 4 4 3 9" xfId="15683" xr:uid="{7C7E98F9-6D9F-4D4B-995E-BA97BE82A031}"/>
    <cellStyle name="Note 4 4 4" xfId="8958" xr:uid="{4F6D2131-C943-46FE-837A-82802B38FFDD}"/>
    <cellStyle name="Note 4 5" xfId="3015" xr:uid="{2CD452EB-BDC3-45FE-AD7B-AFD51B91B86D}"/>
    <cellStyle name="Note 4 5 10" xfId="5798" xr:uid="{48F6EA36-19C9-4121-8BBB-89A9DA6CBD4B}"/>
    <cellStyle name="Note 4 5 2" xfId="3895" xr:uid="{CB6BE4E2-8A65-4DC6-B5A0-69B84EAB98EF}"/>
    <cellStyle name="Note 4 5 2 2" xfId="4774" xr:uid="{A76DD4E3-421F-4C0D-BEA5-B300F5D846D8}"/>
    <cellStyle name="Note 4 5 2 2 2" xfId="7269" xr:uid="{4091799B-4D20-49F9-87D6-1D6FF660DBA5}"/>
    <cellStyle name="Note 4 5 2 2 3" xfId="8684" xr:uid="{09A0EDB0-33E4-4BD6-9494-AA20669DA81D}"/>
    <cellStyle name="Note 4 5 2 2 4" xfId="10391" xr:uid="{BDD5826D-0299-4C2E-9E86-5BA7E783748E}"/>
    <cellStyle name="Note 4 5 2 2 5" xfId="11887" xr:uid="{59F10439-BFD1-4711-ADD9-13D3063AC951}"/>
    <cellStyle name="Note 4 5 2 2 6" xfId="13361" xr:uid="{5B20BA43-CBC0-44FE-99EE-716987AE39E7}"/>
    <cellStyle name="Note 4 5 2 2 7" xfId="15034" xr:uid="{F10D0C36-2DE2-4231-985D-629C1BC3A689}"/>
    <cellStyle name="Note 4 5 2 2 8" xfId="16701" xr:uid="{26ED2EBF-2507-40AA-B331-98FCB2E4D530}"/>
    <cellStyle name="Note 4 5 2 3" xfId="6528" xr:uid="{03593A79-A75E-4924-99BB-0AA2A2381882}"/>
    <cellStyle name="Note 4 5 2 4" xfId="7823" xr:uid="{0961BB9A-C0ED-48E4-8113-4D642C705A29}"/>
    <cellStyle name="Note 4 5 2 5" xfId="9514" xr:uid="{85F71288-EFEA-442A-95E1-E19F428E93D8}"/>
    <cellStyle name="Note 4 5 2 6" xfId="11159" xr:uid="{2B3CBCEE-8493-440F-9F80-16A68B0BF935}"/>
    <cellStyle name="Note 4 5 2 7" xfId="12502" xr:uid="{EDD2297D-8A7B-4A7B-8805-EE342A215B1A}"/>
    <cellStyle name="Note 4 5 2 8" xfId="14157" xr:uid="{00EED2FF-E03F-487D-9DFA-523A9BF510D3}"/>
    <cellStyle name="Note 4 5 2 9" xfId="15842" xr:uid="{53F9707E-FC52-4E72-8E38-298C1513A69E}"/>
    <cellStyle name="Note 4 5 3" xfId="3457" xr:uid="{954F83CD-905F-4961-93D0-4131FA60F197}"/>
    <cellStyle name="Note 4 5 3 2" xfId="4488" xr:uid="{4BBCE7C9-A2B8-45FC-BEA1-4FE513FA7C97}"/>
    <cellStyle name="Note 4 5 3 2 2" xfId="6983" xr:uid="{68089E5B-72A1-411C-8FAC-17C0C1A457E1}"/>
    <cellStyle name="Note 4 5 3 2 3" xfId="8404" xr:uid="{3272E6F2-857F-46F1-86B6-F346081818F8}"/>
    <cellStyle name="Note 4 5 3 2 4" xfId="10105" xr:uid="{44C7D11D-72F7-4E7A-8B86-2C54EFB266C1}"/>
    <cellStyle name="Note 4 5 3 2 5" xfId="11601" xr:uid="{897CFF38-FEC2-4739-82EF-A5C7AC2F9E69}"/>
    <cellStyle name="Note 4 5 3 2 6" xfId="13081" xr:uid="{EB5A4156-FB31-4764-A13F-CC5CBE3B043A}"/>
    <cellStyle name="Note 4 5 3 2 7" xfId="14748" xr:uid="{9B4ADE6F-C41D-4A32-BB4C-6B3640D79125}"/>
    <cellStyle name="Note 4 5 3 2 8" xfId="16421" xr:uid="{3F5C2A45-3969-469C-941A-7DDB506CC65E}"/>
    <cellStyle name="Note 4 5 3 3" xfId="6196" xr:uid="{F3195823-D2D7-44B3-B11A-690FF7225A5E}"/>
    <cellStyle name="Note 4 5 3 4" xfId="5189" xr:uid="{C4801BFA-FCD7-4C77-BC3D-DD21F87A1898}"/>
    <cellStyle name="Note 4 5 3 5" xfId="9076" xr:uid="{714A9B58-789F-4300-9CD8-09539C339C1C}"/>
    <cellStyle name="Note 4 5 3 6" xfId="10830" xr:uid="{938CFBB2-41CE-4186-A2CA-2B2856B761D9}"/>
    <cellStyle name="Note 4 5 3 7" xfId="5387" xr:uid="{EA71ECF5-9E13-44E5-8F3C-F90BCB5796CD}"/>
    <cellStyle name="Note 4 5 3 8" xfId="13719" xr:uid="{99536C37-15CE-40DB-B4AD-9F3D9642BE17}"/>
    <cellStyle name="Note 4 5 3 9" xfId="15410" xr:uid="{66122157-E356-4438-874F-CA8104BB1F43}"/>
    <cellStyle name="Note 4 5 4" xfId="4272" xr:uid="{765DD731-8296-4814-9B72-AAFD696B6696}"/>
    <cellStyle name="Note 4 5 4 2" xfId="6806" xr:uid="{5E5DDFDE-4538-4F5D-94D6-1049B5E80A8A}"/>
    <cellStyle name="Note 4 5 4 3" xfId="8194" xr:uid="{1435FE9E-EE6F-41CF-B4F2-4AB4806160BF}"/>
    <cellStyle name="Note 4 5 4 4" xfId="9889" xr:uid="{1C3D7F01-3DE2-49FF-A4B7-CF0AFDE0448F}"/>
    <cellStyle name="Note 4 5 4 5" xfId="11426" xr:uid="{83018E29-F37A-43D2-92EA-70A463DC6424}"/>
    <cellStyle name="Note 4 5 4 6" xfId="12871" xr:uid="{E5F8BCF3-3F7E-448D-90A1-71E929B0F14A}"/>
    <cellStyle name="Note 4 5 4 7" xfId="14532" xr:uid="{D2D34FB9-04E8-4E8B-AAFA-2C178D73EF40}"/>
    <cellStyle name="Note 4 5 4 8" xfId="16211" xr:uid="{CAA7D239-E09D-4721-AB6F-EB2CD006B4E1}"/>
    <cellStyle name="Note 4 5 5" xfId="5905" xr:uid="{EA15BAC7-A4BD-472B-B210-25B219D2FB99}"/>
    <cellStyle name="Note 4 5 6" xfId="5712" xr:uid="{D9B94575-3563-465E-A28E-4A602831331F}"/>
    <cellStyle name="Note 4 5 7" xfId="5381" xr:uid="{50204CF4-C941-46A2-9E06-85D3BE61F11F}"/>
    <cellStyle name="Note 4 5 8" xfId="5599" xr:uid="{28453AD2-7BC8-4649-9917-C790A477C4DF}"/>
    <cellStyle name="Note 4 5 9" xfId="5851" xr:uid="{0D832053-2927-4908-A6D2-35218B341488}"/>
    <cellStyle name="Note 4 6" xfId="3075" xr:uid="{046B0E7D-1886-4BD0-92C2-AC0BABD9D67A}"/>
    <cellStyle name="Note 4 6 10" xfId="5046" xr:uid="{FA1C8EFD-A927-4717-A6CF-F1CAFB036D8E}"/>
    <cellStyle name="Note 4 6 2" xfId="3955" xr:uid="{3F3ABC12-3A48-4723-9931-EAE21D9E9A84}"/>
    <cellStyle name="Note 4 6 2 2" xfId="4817" xr:uid="{9712B399-583F-4C19-931A-6EE0A0E6505A}"/>
    <cellStyle name="Note 4 6 2 2 2" xfId="7312" xr:uid="{9B881709-C6C5-48C9-9EDD-E8C01BBCC59A}"/>
    <cellStyle name="Note 4 6 2 2 3" xfId="8726" xr:uid="{84E5CC68-A2C6-448D-98CB-BE69536E9AA6}"/>
    <cellStyle name="Note 4 6 2 2 4" xfId="10434" xr:uid="{185CFFC8-C96A-4B7E-ADD4-4273616040A6}"/>
    <cellStyle name="Note 4 6 2 2 5" xfId="11930" xr:uid="{8BE887B9-5D0B-488E-BAF8-D093D72F860B}"/>
    <cellStyle name="Note 4 6 2 2 6" xfId="13403" xr:uid="{C052E88A-C9A2-4735-B869-FD5BDE53319C}"/>
    <cellStyle name="Note 4 6 2 2 7" xfId="15077" xr:uid="{BAC19BDE-369B-434A-B9BB-061C1263FF4C}"/>
    <cellStyle name="Note 4 6 2 2 8" xfId="16743" xr:uid="{AC8C0B24-FDE9-4772-9E79-11E1B56F09E0}"/>
    <cellStyle name="Note 4 6 2 3" xfId="6574" xr:uid="{78EC3CF2-5F0F-46A4-B821-02153CAA142A}"/>
    <cellStyle name="Note 4 6 2 4" xfId="7882" xr:uid="{85301682-4DE8-4716-944B-06ABA79563AD}"/>
    <cellStyle name="Note 4 6 2 5" xfId="9574" xr:uid="{64D621EA-4C58-474C-A77F-9A74109B5869}"/>
    <cellStyle name="Note 4 6 2 6" xfId="11204" xr:uid="{045947E5-2D76-4D72-AF15-7B961DDD13E2}"/>
    <cellStyle name="Note 4 6 2 7" xfId="12561" xr:uid="{98D3CC5A-76D7-4A0A-A123-B22C796074C1}"/>
    <cellStyle name="Note 4 6 2 8" xfId="14217" xr:uid="{F0990A2A-85F8-47BF-9BFB-23A4E4D69110}"/>
    <cellStyle name="Note 4 6 2 9" xfId="15901" xr:uid="{B1AFD05C-4F04-408D-BDB9-E408E172EB5A}"/>
    <cellStyle name="Note 4 6 3" xfId="3517" xr:uid="{4D3DD251-AB3E-4808-A333-E48679D7902D}"/>
    <cellStyle name="Note 4 6 3 2" xfId="4531" xr:uid="{81C69A0B-96B4-49A7-ADB1-5F52A965DDFF}"/>
    <cellStyle name="Note 4 6 3 2 2" xfId="7026" xr:uid="{E573080B-8B50-4EDF-AB49-9A220CA4E7E7}"/>
    <cellStyle name="Note 4 6 3 2 3" xfId="8446" xr:uid="{E3D82951-EEDA-44F2-B9E0-DBFEDF1C8BEB}"/>
    <cellStyle name="Note 4 6 3 2 4" xfId="10148" xr:uid="{5DBBA5A9-03BB-43BD-8024-E1063DE1B7A9}"/>
    <cellStyle name="Note 4 6 3 2 5" xfId="11644" xr:uid="{A6E1B033-EBDB-4A13-AEA6-38ED2040B3A7}"/>
    <cellStyle name="Note 4 6 3 2 6" xfId="13123" xr:uid="{D87815D9-754D-49AD-966F-A9F17ABD0108}"/>
    <cellStyle name="Note 4 6 3 2 7" xfId="14791" xr:uid="{C8C74132-27F5-4470-BB5E-5F64031A77B4}"/>
    <cellStyle name="Note 4 6 3 2 8" xfId="16463" xr:uid="{DC82D350-4BE3-498E-B1AF-69E60BC70A64}"/>
    <cellStyle name="Note 4 6 3 3" xfId="6244" xr:uid="{A7942AAD-C1B3-4BDC-AEE2-53B62735D5B2}"/>
    <cellStyle name="Note 4 6 3 4" xfId="5059" xr:uid="{169BEDDA-6B1A-433F-8274-D5FB8722BD63}"/>
    <cellStyle name="Note 4 6 3 5" xfId="9136" xr:uid="{B20FE1A2-64E7-44F5-A437-C4FC37C0DB81}"/>
    <cellStyle name="Note 4 6 3 6" xfId="10875" xr:uid="{93288265-CEE6-4EF9-A0D9-41068AC17472}"/>
    <cellStyle name="Note 4 6 3 7" xfId="5349" xr:uid="{D9FE12AB-6F9B-4F62-9AAA-D49854696B21}"/>
    <cellStyle name="Note 4 6 3 8" xfId="13779" xr:uid="{65292E74-7354-44F6-A61F-118D7566BDF0}"/>
    <cellStyle name="Note 4 6 3 9" xfId="15469" xr:uid="{2858B27F-D8FD-4869-950B-09D7D96F5883}"/>
    <cellStyle name="Note 4 6 4" xfId="4313" xr:uid="{A5980DEB-E626-48C1-A8CA-1472066D0A64}"/>
    <cellStyle name="Note 4 6 4 2" xfId="6838" xr:uid="{DB81A3E5-3471-4809-A743-CCE707904492}"/>
    <cellStyle name="Note 4 6 4 3" xfId="8234" xr:uid="{37DCF946-A774-436C-A707-815AEC028A7B}"/>
    <cellStyle name="Note 4 6 4 4" xfId="9930" xr:uid="{43FF8F98-501A-40D0-8610-D4D50F209088}"/>
    <cellStyle name="Note 4 6 4 5" xfId="11457" xr:uid="{D6449254-2DCD-4006-9C47-6CEE62DCDCE4}"/>
    <cellStyle name="Note 4 6 4 6" xfId="12911" xr:uid="{100638B2-023F-4189-BC5A-D2CD5AB8C78C}"/>
    <cellStyle name="Note 4 6 4 7" xfId="14573" xr:uid="{1278A812-B615-4839-B8F7-8B341F6BD2D8}"/>
    <cellStyle name="Note 4 6 4 8" xfId="16251" xr:uid="{7163EAF6-146C-41FF-9B42-91A0E9274878}"/>
    <cellStyle name="Note 4 6 5" xfId="5953" xr:uid="{B75E128D-8DA9-4507-978E-9C90018BAAE5}"/>
    <cellStyle name="Note 4 6 6" xfId="5248" xr:uid="{94863082-8979-48FC-8F08-CBFE7BE1570B}"/>
    <cellStyle name="Note 4 6 7" xfId="5875" xr:uid="{587D855A-A7A7-4356-ACE4-98647A49C3C7}"/>
    <cellStyle name="Note 4 6 8" xfId="6089" xr:uid="{85748C42-9E90-45A6-8493-71D0280690EF}"/>
    <cellStyle name="Note 4 6 9" xfId="5373" xr:uid="{759C031D-92CC-468E-98F7-042CAD57D669}"/>
    <cellStyle name="Note 4 7" xfId="3844" xr:uid="{C21BB8FA-7D20-4F76-A8E7-8402BA3C5EEB}"/>
    <cellStyle name="Note 4 7 2" xfId="4743" xr:uid="{A4057B59-C912-4BEC-893B-78B377FFAC9E}"/>
    <cellStyle name="Note 4 7 2 2" xfId="7238" xr:uid="{802F2238-066E-41BD-A94E-28E16EC60C69}"/>
    <cellStyle name="Note 4 7 2 3" xfId="8654" xr:uid="{F0C9A883-6476-453C-85DC-042786D9F9CD}"/>
    <cellStyle name="Note 4 7 2 4" xfId="10360" xr:uid="{D5F8E067-0823-441D-9BC5-19E1F64A188E}"/>
    <cellStyle name="Note 4 7 2 5" xfId="11856" xr:uid="{B551A953-0D92-4822-85AD-8FCA7665D68B}"/>
    <cellStyle name="Note 4 7 2 6" xfId="13331" xr:uid="{10EFFE6D-103E-48CF-A0C0-AC9D3B36C79C}"/>
    <cellStyle name="Note 4 7 2 7" xfId="15003" xr:uid="{B61CF838-433A-4B52-9A29-C15FBCA5C8A1}"/>
    <cellStyle name="Note 4 7 2 8" xfId="16671" xr:uid="{53AD19DA-A8B9-441D-8173-31E6811F45F0}"/>
    <cellStyle name="Note 4 7 3" xfId="6489" xr:uid="{D5F3180F-E0A8-4AEE-86DD-C9AC61072A79}"/>
    <cellStyle name="Note 4 7 4" xfId="7773" xr:uid="{6A35DCBC-780A-406A-868C-A45626B5BC4C}"/>
    <cellStyle name="Note 4 7 5" xfId="9463" xr:uid="{578F5E93-8E28-4104-9562-47EC39C86EDE}"/>
    <cellStyle name="Note 4 7 6" xfId="11120" xr:uid="{98D403B2-B519-4ED3-9F48-5FA32C6FA86A}"/>
    <cellStyle name="Note 4 7 7" xfId="12452" xr:uid="{2FBFB511-ACEA-45BC-8244-398008744EEF}"/>
    <cellStyle name="Note 4 7 8" xfId="14106" xr:uid="{5FE39298-A3D6-4894-AF9C-03DE4471029E}"/>
    <cellStyle name="Note 4 7 9" xfId="15792" xr:uid="{0931CA79-204D-48C3-9699-02D01BB25C9F}"/>
    <cellStyle name="Note 4 8" xfId="3407" xr:uid="{C990A8C7-7429-43F8-B930-3536FC477A80}"/>
    <cellStyle name="Note 4 8 2" xfId="4458" xr:uid="{87A19919-C23C-4BB2-B88C-8795E8FA8D92}"/>
    <cellStyle name="Note 4 8 2 2" xfId="6953" xr:uid="{E17BE8C9-381C-4C85-B751-4CC5C3766D32}"/>
    <cellStyle name="Note 4 8 2 3" xfId="8374" xr:uid="{B07D68EF-011A-4718-A28E-1959F501341A}"/>
    <cellStyle name="Note 4 8 2 4" xfId="10075" xr:uid="{8ED16EE1-0BF1-4B0C-B719-54AADC5FED20}"/>
    <cellStyle name="Note 4 8 2 5" xfId="11571" xr:uid="{ED71DA0E-B80F-4C09-9529-B53BDC2130EA}"/>
    <cellStyle name="Note 4 8 2 6" xfId="13051" xr:uid="{B2D1A708-6EFF-44E4-AF40-4EEB9F4F97E3}"/>
    <cellStyle name="Note 4 8 2 7" xfId="14718" xr:uid="{CEE5F24B-469A-4F3A-9DBB-0B71845BCF4E}"/>
    <cellStyle name="Note 4 8 2 8" xfId="16391" xr:uid="{251AE1BB-576B-4FEC-ACDA-20613802B1D4}"/>
    <cellStyle name="Note 4 8 3" xfId="6160" xr:uid="{2D714A36-F7EE-44E6-B47F-07B71C90602E}"/>
    <cellStyle name="Note 4 8 4" xfId="6087" xr:uid="{7F7EE050-96ED-412D-8971-BEB36815360A}"/>
    <cellStyle name="Note 4 8 5" xfId="9026" xr:uid="{570B59BF-DD25-4E16-B698-D6E410B495B9}"/>
    <cellStyle name="Note 4 8 6" xfId="10793" xr:uid="{46C66780-815B-4DAB-82FE-3375DE3BBE13}"/>
    <cellStyle name="Note 4 8 7" xfId="5313" xr:uid="{A10D4FE2-B17F-4385-9A5A-A906696E8710}"/>
    <cellStyle name="Note 4 8 8" xfId="13669" xr:uid="{B47C8479-1ED1-4EEF-8965-B9DCEFDD746C}"/>
    <cellStyle name="Note 4 8 9" xfId="15360" xr:uid="{32C90602-B3D2-435F-9DDC-BD9465A70887}"/>
    <cellStyle name="Note 4 9" xfId="5355" xr:uid="{9121BFFB-8C2C-42FC-A658-4713D4CBBE44}"/>
    <cellStyle name="Output 2" xfId="1721" xr:uid="{36BE50C2-1D8C-4708-A5F3-EEDD7BA2842C}"/>
    <cellStyle name="Output 2 10" xfId="5786" xr:uid="{9CE3EDF0-23AA-4DBC-A16B-5C52320807A8}"/>
    <cellStyle name="Output 2 2" xfId="2999" xr:uid="{20DB53E2-48A2-4804-A051-EA26ABFECB03}"/>
    <cellStyle name="Output 2 2 10" xfId="3882" xr:uid="{63C7FC36-8269-468E-8EB4-20AF8F5DC391}"/>
    <cellStyle name="Output 2 2 10 2" xfId="7810" xr:uid="{EA8D81ED-A2DC-43EB-BCB2-0B12B226E784}"/>
    <cellStyle name="Output 2 2 10 3" xfId="9501" xr:uid="{7ECC7EA0-D934-4477-BEA8-B961C853C112}"/>
    <cellStyle name="Output 2 2 10 4" xfId="12489" xr:uid="{1CAC1752-9B1C-4B68-8618-ABF1A80EC2B8}"/>
    <cellStyle name="Output 2 2 10 5" xfId="14144" xr:uid="{DC617FF6-3B1B-40C8-80C1-6484A6B12DF8}"/>
    <cellStyle name="Output 2 2 10 6" xfId="15829" xr:uid="{5C3AB08F-DBE5-40C1-98B4-49A1AF43BECB}"/>
    <cellStyle name="Output 2 2 11" xfId="3444" xr:uid="{4EC1C8AA-F235-4D6B-AF34-2EC0BBB986FA}"/>
    <cellStyle name="Output 2 2 11 2" xfId="5196" xr:uid="{27CB7627-8BC3-4A09-9C91-A7D7D71463EB}"/>
    <cellStyle name="Output 2 2 11 3" xfId="9063" xr:uid="{F30C267B-895B-459D-856B-E30398A50999}"/>
    <cellStyle name="Output 2 2 11 4" xfId="5333" xr:uid="{A73A1FEF-C2A1-4F0D-A3E2-EF95CD8CD357}"/>
    <cellStyle name="Output 2 2 11 5" xfId="13706" xr:uid="{D0BF65F0-F3B4-4F7D-AF43-FAC695DC0AF2}"/>
    <cellStyle name="Output 2 2 11 6" xfId="15397" xr:uid="{AA990772-4632-456A-8E93-4289E3A3CDA2}"/>
    <cellStyle name="Output 2 2 12" xfId="5794" xr:uid="{9A932F7B-1BFD-4ADA-B3D4-29990488D872}"/>
    <cellStyle name="Output 2 2 13" xfId="6778" xr:uid="{CFD2B69E-E936-471F-8927-C64EC5497CC7}"/>
    <cellStyle name="Output 2 2 2" xfId="3011" xr:uid="{E28EEE69-048B-4F61-B72B-717055DB208E}"/>
    <cellStyle name="Output 2 2 2 10" xfId="3891" xr:uid="{7A37A1EA-317F-4E8B-B4A9-B70BD3190F7F}"/>
    <cellStyle name="Output 2 2 2 10 2" xfId="7819" xr:uid="{EC99BA1D-EF10-4E88-9990-B387EFE6B1A3}"/>
    <cellStyle name="Output 2 2 2 10 3" xfId="9510" xr:uid="{65FEF721-BFF8-4EF7-A2CA-BCF10AC8B879}"/>
    <cellStyle name="Output 2 2 2 10 4" xfId="12498" xr:uid="{642A755D-AE6F-45E6-9B5F-0ED60896A451}"/>
    <cellStyle name="Output 2 2 2 10 5" xfId="14153" xr:uid="{707D29B4-62F7-4E4C-B2D4-23A00A970C17}"/>
    <cellStyle name="Output 2 2 2 10 6" xfId="15838" xr:uid="{6BAC14A8-786B-4856-BBA9-490CE2392642}"/>
    <cellStyle name="Output 2 2 2 11" xfId="3453" xr:uid="{09F6485C-6938-47E5-9BE6-E0679790E360}"/>
    <cellStyle name="Output 2 2 2 11 2" xfId="5072" xr:uid="{A530F2CF-F747-4C9A-A83F-3AACC414162F}"/>
    <cellStyle name="Output 2 2 2 11 3" xfId="9072" xr:uid="{40F06F84-649D-4446-8755-A06587240170}"/>
    <cellStyle name="Output 2 2 2 11 4" xfId="5606" xr:uid="{541350CE-A408-4117-AEDC-4CC8749CC363}"/>
    <cellStyle name="Output 2 2 2 11 5" xfId="13715" xr:uid="{59C6F557-B75B-4101-B129-8947E26536F1}"/>
    <cellStyle name="Output 2 2 2 11 6" xfId="15406" xr:uid="{0AECA01A-AF3A-49FF-ABD3-18E1B9D77C5D}"/>
    <cellStyle name="Output 2 2 2 12" xfId="5817" xr:uid="{BA5DE9BB-280A-46A6-B90D-53A32D8F624C}"/>
    <cellStyle name="Output 2 2 2 13" xfId="5960" xr:uid="{FA214B8D-B575-4510-BB13-2FCD6050F772}"/>
    <cellStyle name="Output 2 2 2 2" xfId="3158" xr:uid="{168AA984-522F-41D6-AD16-EFEE670A67F1}"/>
    <cellStyle name="Output 2 2 2 2 2" xfId="4038" xr:uid="{D9603AA9-D0B6-491E-A3E3-C06178D84708}"/>
    <cellStyle name="Output 2 2 2 2 2 2" xfId="7964" xr:uid="{B32F7637-1CD3-4836-9363-0CC152CF5782}"/>
    <cellStyle name="Output 2 2 2 2 2 3" xfId="9657" xr:uid="{2604ACDE-145A-4176-824F-CED26A310DF2}"/>
    <cellStyle name="Output 2 2 2 2 2 4" xfId="12643" xr:uid="{314206F9-675B-4A92-BABA-E5CE8B3C74E7}"/>
    <cellStyle name="Output 2 2 2 2 2 5" xfId="14300" xr:uid="{C01982DB-9831-4BA3-9E67-D05097519A13}"/>
    <cellStyle name="Output 2 2 2 2 2 6" xfId="15983" xr:uid="{C169B871-BF31-4321-BB9F-2D1F731C2139}"/>
    <cellStyle name="Output 2 2 2 2 3" xfId="3600" xr:uid="{67A1224A-24CA-49DC-8DAE-B936C9519173}"/>
    <cellStyle name="Output 2 2 2 2 3 2" xfId="7532" xr:uid="{8ADD2A37-C2F0-4D9E-92C3-3D295DF50E45}"/>
    <cellStyle name="Output 2 2 2 2 3 3" xfId="9219" xr:uid="{B37F6363-CA91-452A-BBE5-6A7B6185C614}"/>
    <cellStyle name="Output 2 2 2 2 3 4" xfId="12211" xr:uid="{59A51F93-0EF9-41B3-B86C-1F556E6067CF}"/>
    <cellStyle name="Output 2 2 2 2 3 5" xfId="13862" xr:uid="{41258463-EDB0-4ADE-8E75-6F3A1C9FA431}"/>
    <cellStyle name="Output 2 2 2 2 3 6" xfId="15551" xr:uid="{4C6DEA56-D2E1-4BBD-903D-0D607B61BBF6}"/>
    <cellStyle name="Output 2 2 2 2 4" xfId="6098" xr:uid="{A80C3CB1-6AC3-4255-AECB-53FF2F769C57}"/>
    <cellStyle name="Output 2 2 2 3" xfId="3099" xr:uid="{3DD7AED8-8E4A-4D56-A70A-EFF564D40AF0}"/>
    <cellStyle name="Output 2 2 2 3 2" xfId="3979" xr:uid="{B7E14B73-DF60-4FC4-BF23-27FF55AFB4D3}"/>
    <cellStyle name="Output 2 2 2 3 2 2" xfId="7905" xr:uid="{1180BA92-3329-4821-B7DA-5632FAF42AB4}"/>
    <cellStyle name="Output 2 2 2 3 2 3" xfId="9598" xr:uid="{F5430312-014D-43D1-802D-BDB618178555}"/>
    <cellStyle name="Output 2 2 2 3 2 4" xfId="12584" xr:uid="{DF73537D-1009-4C56-97DA-E598C8D0D825}"/>
    <cellStyle name="Output 2 2 2 3 2 5" xfId="14241" xr:uid="{12880E62-6094-453C-B9FA-ECAA3D01EBA0}"/>
    <cellStyle name="Output 2 2 2 3 2 6" xfId="15924" xr:uid="{E7190266-2063-45C3-9F6B-FDEB3E1279AD}"/>
    <cellStyle name="Output 2 2 2 3 3" xfId="3541" xr:uid="{20C02BEB-F686-4489-A313-B1C4F14485B4}"/>
    <cellStyle name="Output 2 2 2 3 3 2" xfId="5129" xr:uid="{E68977EE-CD41-4C4F-8C3B-17CD14B75C20}"/>
    <cellStyle name="Output 2 2 2 3 3 3" xfId="9160" xr:uid="{9202E7BE-C449-4453-AED5-9E92389CB8A7}"/>
    <cellStyle name="Output 2 2 2 3 3 4" xfId="12152" xr:uid="{DF11D9C9-983D-41DB-A6FF-4549A6857089}"/>
    <cellStyle name="Output 2 2 2 3 3 5" xfId="13803" xr:uid="{4A89007E-D0AA-4F86-ADE8-8912680F4BA1}"/>
    <cellStyle name="Output 2 2 2 3 3 6" xfId="15492" xr:uid="{6CB698C5-4C1D-4DF3-88F4-8B3DA0C0C557}"/>
    <cellStyle name="Output 2 2 2 3 4" xfId="5226" xr:uid="{0CB1EC77-429C-4577-AC0E-21B4582CA113}"/>
    <cellStyle name="Output 2 2 2 4" xfId="3332" xr:uid="{FEB639BE-CFF7-40A8-A473-90E0D1090C3C}"/>
    <cellStyle name="Output 2 2 2 4 2" xfId="4212" xr:uid="{8C9B7EC2-E00F-48B3-AE87-7376450C2FDF}"/>
    <cellStyle name="Output 2 2 2 4 2 2" xfId="8136" xr:uid="{3EEC3602-D2E9-48B1-B0A8-AB4949B0C6D5}"/>
    <cellStyle name="Output 2 2 2 4 2 3" xfId="9831" xr:uid="{694F6421-2A29-4465-95AC-09B1C0DCE343}"/>
    <cellStyle name="Output 2 2 2 4 2 4" xfId="12815" xr:uid="{6AECFC32-4192-4386-9396-767BAFCA6B63}"/>
    <cellStyle name="Output 2 2 2 4 2 5" xfId="14474" xr:uid="{1E8E8B79-58E3-431A-9705-AE667FA4174C}"/>
    <cellStyle name="Output 2 2 2 4 2 6" xfId="16155" xr:uid="{74882885-782C-4109-ABC5-D20C1F1802D2}"/>
    <cellStyle name="Output 2 2 2 4 3" xfId="3773" xr:uid="{7B921B81-A155-40FE-8CD6-675B1941E876}"/>
    <cellStyle name="Output 2 2 2 4 3 2" xfId="7704" xr:uid="{1EEA1B3A-6556-46EC-81B8-C3C4C5AD8E85}"/>
    <cellStyle name="Output 2 2 2 4 3 3" xfId="9392" xr:uid="{A9D03447-953D-4944-A17F-99D491187308}"/>
    <cellStyle name="Output 2 2 2 4 3 4" xfId="12383" xr:uid="{584E56E7-65EA-4588-8BB2-D3BD9C04C5E0}"/>
    <cellStyle name="Output 2 2 2 4 3 5" xfId="14035" xr:uid="{0C628DCE-421B-47C8-8B70-5EE724574AD3}"/>
    <cellStyle name="Output 2 2 2 4 3 6" xfId="15723" xr:uid="{5F087B69-0652-43A2-AA0F-2C86D56FF8FF}"/>
    <cellStyle name="Output 2 2 2 4 4" xfId="8995" xr:uid="{D45826C2-F109-4B45-A2C6-ACC55D6515A7}"/>
    <cellStyle name="Output 2 2 2 5" xfId="3343" xr:uid="{7DB9E6F7-AA1F-41A8-A5E8-9EFF54EF5C3B}"/>
    <cellStyle name="Output 2 2 2 5 2" xfId="4223" xr:uid="{270BAF26-568E-42CD-886C-616B3501CA9D}"/>
    <cellStyle name="Output 2 2 2 5 2 2" xfId="8146" xr:uid="{87971A80-278F-48C4-9433-C9DC653A5554}"/>
    <cellStyle name="Output 2 2 2 5 2 3" xfId="9842" xr:uid="{285C0C66-9CAE-4295-A736-D37FDCA2F026}"/>
    <cellStyle name="Output 2 2 2 5 2 4" xfId="12825" xr:uid="{BFE0C565-4957-452C-B2D5-6D4D353396E5}"/>
    <cellStyle name="Output 2 2 2 5 2 5" xfId="14485" xr:uid="{CFA960CE-0D47-4A89-B97D-AEA8466B7BA5}"/>
    <cellStyle name="Output 2 2 2 5 2 6" xfId="16165" xr:uid="{5F966221-4253-4CA5-916D-AF0934D657E4}"/>
    <cellStyle name="Output 2 2 2 5 3" xfId="3783" xr:uid="{40132A22-588F-42D9-852B-DCD32A3675C5}"/>
    <cellStyle name="Output 2 2 2 5 3 2" xfId="7714" xr:uid="{E12CC565-E5FC-4960-8311-2982209E2008}"/>
    <cellStyle name="Output 2 2 2 5 3 3" xfId="9402" xr:uid="{EB14FF8A-96BB-400A-AA19-4D931180D0B0}"/>
    <cellStyle name="Output 2 2 2 5 3 4" xfId="12393" xr:uid="{8042CBDE-4474-44D2-9E68-2CE2D922BECA}"/>
    <cellStyle name="Output 2 2 2 5 3 5" xfId="14045" xr:uid="{792A1E36-EE5F-4123-9B22-66E220EBA086}"/>
    <cellStyle name="Output 2 2 2 5 3 6" xfId="15733" xr:uid="{FF20CDCD-A84B-49DC-9400-A452C65FF9E8}"/>
    <cellStyle name="Output 2 2 2 5 4" xfId="9004" xr:uid="{9B4727B5-CA79-48DD-890B-060654F0D664}"/>
    <cellStyle name="Output 2 2 2 6" xfId="3352" xr:uid="{18E70E8A-3243-4E54-8727-5C70FB5326E2}"/>
    <cellStyle name="Output 2 2 2 6 10" xfId="15309" xr:uid="{60C10C9A-42D2-4B3D-B594-A0C563A1195C}"/>
    <cellStyle name="Output 2 2 2 6 2" xfId="4232" xr:uid="{31691EB2-5D80-4DD7-A641-4348E620AA1B}"/>
    <cellStyle name="Output 2 2 2 6 2 2" xfId="8155" xr:uid="{01C265A2-3983-4076-AC80-5E369ED9D186}"/>
    <cellStyle name="Output 2 2 2 6 2 3" xfId="9851" xr:uid="{F6257681-AF86-4B01-A541-5851CC926A03}"/>
    <cellStyle name="Output 2 2 2 6 2 4" xfId="12834" xr:uid="{55D95B14-30B5-4340-BE9A-525EC4C58B4D}"/>
    <cellStyle name="Output 2 2 2 6 2 5" xfId="14494" xr:uid="{1067B741-87BF-4590-8333-5BFDE7226CC7}"/>
    <cellStyle name="Output 2 2 2 6 2 6" xfId="16174" xr:uid="{7CB98CAA-ECDC-49A8-B63A-9EA7739A2A02}"/>
    <cellStyle name="Output 2 2 2 6 3" xfId="3792" xr:uid="{1BC0A185-8F76-43A5-B510-9E2C8D137B4E}"/>
    <cellStyle name="Output 2 2 2 6 3 2" xfId="7723" xr:uid="{838C9828-9C5A-4CA6-9056-A842200EB9D5}"/>
    <cellStyle name="Output 2 2 2 6 3 3" xfId="9411" xr:uid="{69B64E92-E3F1-44CD-A34F-C60D07E0A0B5}"/>
    <cellStyle name="Output 2 2 2 6 3 4" xfId="12402" xr:uid="{5F56138E-663C-44B1-BD39-1C9976EA85DD}"/>
    <cellStyle name="Output 2 2 2 6 3 5" xfId="14054" xr:uid="{6DB1A220-01A5-440F-BA28-0D0D7D756CC0}"/>
    <cellStyle name="Output 2 2 2 6 3 6" xfId="15742" xr:uid="{8830930A-BF32-45F9-868D-BA6FF8A85B1D}"/>
    <cellStyle name="Output 2 2 2 6 4" xfId="4408" xr:uid="{8E4A26E2-933B-45C9-AEC8-D598695C18A4}"/>
    <cellStyle name="Output 2 2 2 6 4 2" xfId="8325" xr:uid="{B5B2CFCC-9D13-46F5-B1B5-83B5400D7342}"/>
    <cellStyle name="Output 2 2 2 6 4 3" xfId="10025" xr:uid="{6E3FE1D3-9EC0-4B1E-840B-1EC5072BD896}"/>
    <cellStyle name="Output 2 2 2 6 4 4" xfId="13002" xr:uid="{F768B061-F31F-4CFE-BD7E-86C93A67C5C0}"/>
    <cellStyle name="Output 2 2 2 6 4 5" xfId="14668" xr:uid="{C77090B3-4662-4732-8618-196DF1DD5AD9}"/>
    <cellStyle name="Output 2 2 2 6 4 6" xfId="16342" xr:uid="{6D220567-E27A-48F6-AC20-7DEEB702F2A7}"/>
    <cellStyle name="Output 2 2 2 6 5" xfId="6110" xr:uid="{24A6B3CC-60E4-481D-A712-BEBAF7F9E3FE}"/>
    <cellStyle name="Output 2 2 2 6 6" xfId="5651" xr:uid="{B8FABB45-FCCB-428A-BCFB-BFD5F6DEC688}"/>
    <cellStyle name="Output 2 2 2 6 7" xfId="10742" xr:uid="{70FF7E13-5C0F-4468-8B28-827E523B0FBB}"/>
    <cellStyle name="Output 2 2 2 6 8" xfId="6193" xr:uid="{7D5F2FFC-1996-4728-9904-690A30E5D7A5}"/>
    <cellStyle name="Output 2 2 2 6 9" xfId="13618" xr:uid="{CB1975C6-C945-4F39-83B8-6C76370ABCD9}"/>
    <cellStyle name="Output 2 2 2 7" xfId="3014" xr:uid="{A699826F-8DF4-4685-82C5-78DC41ECCEBD}"/>
    <cellStyle name="Output 2 2 2 7 2" xfId="3894" xr:uid="{09754664-1FDE-44A5-8A34-2112C00A959D}"/>
    <cellStyle name="Output 2 2 2 7 2 2" xfId="7822" xr:uid="{B42D2FF8-73CC-472E-8CD1-DD175948A978}"/>
    <cellStyle name="Output 2 2 2 7 2 3" xfId="9513" xr:uid="{02AEC0DA-2337-45E0-981D-9564D3B25BEF}"/>
    <cellStyle name="Output 2 2 2 7 2 4" xfId="12501" xr:uid="{5598D2FE-253D-46E9-93EB-E90B0E43D8B5}"/>
    <cellStyle name="Output 2 2 2 7 2 5" xfId="14156" xr:uid="{10A8111A-3751-401A-A801-46334D013ACC}"/>
    <cellStyle name="Output 2 2 2 7 2 6" xfId="15841" xr:uid="{5F106E6C-8AA8-439A-B7D9-8821BFE2FC8F}"/>
    <cellStyle name="Output 2 2 2 7 3" xfId="3456" xr:uid="{B4EAF1BC-748C-462F-AFF2-965788EB0A00}"/>
    <cellStyle name="Output 2 2 2 7 3 2" xfId="5069" xr:uid="{0DE6312F-69A0-474C-8D87-BB5A71DB4BEE}"/>
    <cellStyle name="Output 2 2 2 7 3 3" xfId="9075" xr:uid="{3431A0D2-C190-4919-A7DE-DD4B32C1C7CC}"/>
    <cellStyle name="Output 2 2 2 7 3 4" xfId="9011" xr:uid="{AE798A07-D541-4E25-95F6-AD41CBA25F8A}"/>
    <cellStyle name="Output 2 2 2 7 3 5" xfId="13718" xr:uid="{5DF71D50-1187-4857-B630-083D4C240320}"/>
    <cellStyle name="Output 2 2 2 7 3 6" xfId="15409" xr:uid="{19AA177C-DE1F-4C4E-8B81-25CB9A34961E}"/>
    <cellStyle name="Output 2 2 2 7 4" xfId="5391" xr:uid="{1C409E2B-0DAE-44AC-9D9C-B2C46A5AE268}"/>
    <cellStyle name="Output 2 2 2 8" xfId="3067" xr:uid="{970E5ADF-145F-4185-B2E3-52E27CA44A2A}"/>
    <cellStyle name="Output 2 2 2 8 10" xfId="5337" xr:uid="{73C07478-06B7-4695-8AF7-3A15A7E01A0F}"/>
    <cellStyle name="Output 2 2 2 8 2" xfId="3947" xr:uid="{8CED46DD-0F7D-42D9-A00F-93192EC93879}"/>
    <cellStyle name="Output 2 2 2 8 2 2" xfId="7874" xr:uid="{CC4976B4-157B-4AE2-A692-601CA105E601}"/>
    <cellStyle name="Output 2 2 2 8 2 3" xfId="9566" xr:uid="{92F00523-C467-48B6-96AB-6989395702CA}"/>
    <cellStyle name="Output 2 2 2 8 2 4" xfId="12553" xr:uid="{B44626C5-AF08-403A-8447-47BF5C429DA3}"/>
    <cellStyle name="Output 2 2 2 8 2 5" xfId="14209" xr:uid="{2FD48446-A327-4F8F-8A30-A29FD9A3FEF9}"/>
    <cellStyle name="Output 2 2 2 8 2 6" xfId="15893" xr:uid="{B0BA63C5-0F74-48A7-9D18-3EEBAB6F7E81}"/>
    <cellStyle name="Output 2 2 2 8 3" xfId="3509" xr:uid="{BB6FAA73-6760-4807-B694-927DE24F623F}"/>
    <cellStyle name="Output 2 2 2 8 3 2" xfId="5148" xr:uid="{74031369-CDA5-4D98-9BE4-B6DC677C8216}"/>
    <cellStyle name="Output 2 2 2 8 3 3" xfId="9128" xr:uid="{8144B629-5AE5-40BE-95F2-4673F12F8AF8}"/>
    <cellStyle name="Output 2 2 2 8 3 4" xfId="6252" xr:uid="{AC6B18C1-5214-4374-AFDC-5D4BFD1D3D66}"/>
    <cellStyle name="Output 2 2 2 8 3 5" xfId="13771" xr:uid="{CD4DE160-2AA2-400E-BE1A-5117D1DE7737}"/>
    <cellStyle name="Output 2 2 2 8 3 6" xfId="15461" xr:uid="{D81DE9C5-F1B7-476D-B38F-2E1A1ED78ACF}"/>
    <cellStyle name="Output 2 2 2 8 4" xfId="4307" xr:uid="{3706B6D6-D933-494A-ABAE-545E321D0CD9}"/>
    <cellStyle name="Output 2 2 2 8 4 2" xfId="8228" xr:uid="{7052C924-69C1-4C78-BCA7-1B2A9E89E4BD}"/>
    <cellStyle name="Output 2 2 2 8 4 3" xfId="9924" xr:uid="{0298F992-8FFD-49F2-8DD4-6A7DF5FA2D10}"/>
    <cellStyle name="Output 2 2 2 8 4 4" xfId="12905" xr:uid="{18840420-E2F0-4F17-BD13-219683DAB040}"/>
    <cellStyle name="Output 2 2 2 8 4 5" xfId="14567" xr:uid="{0972BAD3-0DE1-4E3F-94FA-D9C4F28AC8E8}"/>
    <cellStyle name="Output 2 2 2 8 4 6" xfId="16245" xr:uid="{62BE93FA-4520-4622-B6E7-25F4FDD0E401}"/>
    <cellStyle name="Output 2 2 2 8 5" xfId="5946" xr:uid="{A084D44E-AF4A-4539-84EA-3B5F67C8AFEB}"/>
    <cellStyle name="Output 2 2 2 8 6" xfId="5249" xr:uid="{0AB676A4-7329-4AA1-9A4A-5809113EEE76}"/>
    <cellStyle name="Output 2 2 2 8 7" xfId="5806" xr:uid="{C5244A75-F7C2-495E-B676-632414CE28D8}"/>
    <cellStyle name="Output 2 2 2 8 8" xfId="5426" xr:uid="{628E9A43-0EA8-48C9-A3B0-3D371560F0A2}"/>
    <cellStyle name="Output 2 2 2 8 9" xfId="10643" xr:uid="{FBCBEA29-4B07-4A56-8C02-43CAC532A224}"/>
    <cellStyle name="Output 2 2 2 9" xfId="3294" xr:uid="{686FAC11-10C5-48E5-8E8D-C7440B2642B3}"/>
    <cellStyle name="Output 2 2 2 9 10" xfId="15299" xr:uid="{A5F85939-CDCD-4004-A513-9BF9FD514084}"/>
    <cellStyle name="Output 2 2 2 9 2" xfId="4174" xr:uid="{AF0DA633-6A7B-45BE-86D4-EDC9A0CBB4A5}"/>
    <cellStyle name="Output 2 2 2 9 2 2" xfId="8099" xr:uid="{796791B3-9105-4FEE-BB42-21A8057087D3}"/>
    <cellStyle name="Output 2 2 2 9 2 3" xfId="9793" xr:uid="{172664AC-4540-4155-9C4F-D413C6B6CD5A}"/>
    <cellStyle name="Output 2 2 2 9 2 4" xfId="12778" xr:uid="{CFDF61E0-D39C-4022-8ABF-0859FF348665}"/>
    <cellStyle name="Output 2 2 2 9 2 5" xfId="14436" xr:uid="{560CC04B-359A-45DF-9E0A-92525B63FC02}"/>
    <cellStyle name="Output 2 2 2 9 2 6" xfId="16118" xr:uid="{BBFB1227-2E2E-4F68-8232-769F59F2AE40}"/>
    <cellStyle name="Output 2 2 2 9 3" xfId="3736" xr:uid="{552FB6AB-9D4D-4233-934D-446EAD0E7EE9}"/>
    <cellStyle name="Output 2 2 2 9 3 2" xfId="7667" xr:uid="{B3FAF8E5-F015-49CD-84DA-709491B718E0}"/>
    <cellStyle name="Output 2 2 2 9 3 3" xfId="9355" xr:uid="{65B05E80-CB3A-489B-A938-31374F7B5EC6}"/>
    <cellStyle name="Output 2 2 2 9 3 4" xfId="12346" xr:uid="{FD032264-8C69-4AB2-9AC7-51E1E268C222}"/>
    <cellStyle name="Output 2 2 2 9 3 5" xfId="13998" xr:uid="{67D52C8E-C243-4A3F-8C0E-C842A34C35AC}"/>
    <cellStyle name="Output 2 2 2 9 3 6" xfId="15686" xr:uid="{3AD0FF98-9A1E-41F2-BA3B-D26B189BA8DC}"/>
    <cellStyle name="Output 2 2 2 9 4" xfId="4396" xr:uid="{DC3D7A16-D1DD-455E-9C1B-83C0CD3B6FC9}"/>
    <cellStyle name="Output 2 2 2 9 4 2" xfId="8315" xr:uid="{A4C978B1-C2A4-4E43-A816-F08D3B359DA8}"/>
    <cellStyle name="Output 2 2 2 9 4 3" xfId="10013" xr:uid="{303A4EA9-BB78-4AB1-BD44-8E1ED95D34D8}"/>
    <cellStyle name="Output 2 2 2 9 4 4" xfId="12992" xr:uid="{DB06088A-06BC-4BB4-B6C2-5A7C0A8A40FE}"/>
    <cellStyle name="Output 2 2 2 9 4 5" xfId="14656" xr:uid="{9DC049FF-4597-4CE3-A8C0-450ED51B268B}"/>
    <cellStyle name="Output 2 2 2 9 4 6" xfId="16332" xr:uid="{F68F4434-4EF6-4773-AF48-384CA454FF92}"/>
    <cellStyle name="Output 2 2 2 9 5" xfId="6084" xr:uid="{9D984DCA-91D6-47D9-83BF-D13BECD2EBAA}"/>
    <cellStyle name="Output 2 2 2 9 6" xfId="5219" xr:uid="{01A52063-A2D6-497F-958D-10ED922FFDE0}"/>
    <cellStyle name="Output 2 2 2 9 7" xfId="10721" xr:uid="{3D22FD4B-4E3B-4AE8-929F-D2182DC12580}"/>
    <cellStyle name="Output 2 2 2 9 8" xfId="5482" xr:uid="{2D54F5F7-A4B5-4B81-ADEB-9595492586B3}"/>
    <cellStyle name="Output 2 2 2 9 9" xfId="13605" xr:uid="{B1AB359D-B5E9-4041-BB50-C5EF0E2A49F4}"/>
    <cellStyle name="Output 2 2 3" xfId="3285" xr:uid="{0DB46254-515F-4639-AEA5-F63B002A4239}"/>
    <cellStyle name="Output 2 2 3 2" xfId="4165" xr:uid="{2EC0F17C-63DF-43EA-A195-6561B76C08FA}"/>
    <cellStyle name="Output 2 2 3 2 2" xfId="8090" xr:uid="{142C55BF-E64A-4D0B-8179-1DF821CF6BC3}"/>
    <cellStyle name="Output 2 2 3 2 3" xfId="9784" xr:uid="{036676F4-EFAA-43BC-8FDC-BEA01F743804}"/>
    <cellStyle name="Output 2 2 3 2 4" xfId="12769" xr:uid="{6E209D00-D55E-46EC-92EF-89E9E6AB058D}"/>
    <cellStyle name="Output 2 2 3 2 5" xfId="14427" xr:uid="{F3902F15-811D-4C88-B205-5276F4B05729}"/>
    <cellStyle name="Output 2 2 3 2 6" xfId="16109" xr:uid="{7B476F4E-9FF2-4E96-9FA1-B5D2BA649B31}"/>
    <cellStyle name="Output 2 2 3 3" xfId="3727" xr:uid="{48AF4141-A9BA-42AA-812E-A88660830045}"/>
    <cellStyle name="Output 2 2 3 3 2" xfId="7658" xr:uid="{365369CA-3592-43F3-8A27-B4A480B89830}"/>
    <cellStyle name="Output 2 2 3 3 3" xfId="9346" xr:uid="{A9EEEDF5-DBC0-4C6A-AF28-86E3D5A3BEA7}"/>
    <cellStyle name="Output 2 2 3 3 4" xfId="12337" xr:uid="{41559F68-CA02-417C-BFDD-5F2E2C06DB7C}"/>
    <cellStyle name="Output 2 2 3 3 5" xfId="13989" xr:uid="{181603F1-267A-47D2-A5C4-3F231A3AD6D1}"/>
    <cellStyle name="Output 2 2 3 3 6" xfId="15677" xr:uid="{C86D6DC8-35FB-4774-8718-973FEE90BA80}"/>
    <cellStyle name="Output 2 2 3 4" xfId="8952" xr:uid="{27A992CC-7812-4F84-9763-B49625C8847A}"/>
    <cellStyle name="Output 2 2 4" xfId="3151" xr:uid="{2E3EFB57-2A8B-4D54-9FB2-239B09C900FC}"/>
    <cellStyle name="Output 2 2 4 2" xfId="4031" xr:uid="{4DAE257A-7AF6-4635-80E7-0B85AA19716A}"/>
    <cellStyle name="Output 2 2 4 2 2" xfId="7957" xr:uid="{46E93153-F70B-40CD-90AD-FC0AA47D7352}"/>
    <cellStyle name="Output 2 2 4 2 3" xfId="9650" xr:uid="{7E2A8019-7CD6-44E5-9582-00E7037D5973}"/>
    <cellStyle name="Output 2 2 4 2 4" xfId="12636" xr:uid="{B85083FF-B0A0-4581-85C9-7F03A7FE8ABF}"/>
    <cellStyle name="Output 2 2 4 2 5" xfId="14293" xr:uid="{2446F603-651D-4916-AADB-72E1706AAAEB}"/>
    <cellStyle name="Output 2 2 4 2 6" xfId="15976" xr:uid="{05911A77-0AC8-42E1-A611-1C08F8E363B5}"/>
    <cellStyle name="Output 2 2 4 3" xfId="3593" xr:uid="{6185D91F-DCE3-41E0-B8E7-214CF95C1BA3}"/>
    <cellStyle name="Output 2 2 4 3 2" xfId="7525" xr:uid="{4075B0B9-C4BD-4D2D-B92F-B515995BCDE9}"/>
    <cellStyle name="Output 2 2 4 3 3" xfId="9212" xr:uid="{8661E896-7A64-47F1-85C5-436F71CC88DA}"/>
    <cellStyle name="Output 2 2 4 3 4" xfId="12204" xr:uid="{EBF7349D-8F16-4BE6-9629-31EEDB93BE68}"/>
    <cellStyle name="Output 2 2 4 3 5" xfId="13855" xr:uid="{34FF602B-E1C5-4D72-B7A5-1BB73A573B90}"/>
    <cellStyle name="Output 2 2 4 3 6" xfId="15544" xr:uid="{7E086AAF-9D67-4C20-A8D1-A8C0A3264304}"/>
    <cellStyle name="Output 2 2 4 4" xfId="6081" xr:uid="{438FF1A5-F267-4744-9BC9-5B7AC6809014}"/>
    <cellStyle name="Output 2 2 5" xfId="3110" xr:uid="{92D6D448-329E-4EAE-8EC3-EFC8BE82FF69}"/>
    <cellStyle name="Output 2 2 5 2" xfId="3990" xr:uid="{BB263E30-8E0A-49C9-B709-3C1618CA17B6}"/>
    <cellStyle name="Output 2 2 5 2 2" xfId="7916" xr:uid="{1D8D169F-3E1C-4D45-A15D-95EB2CF7D16C}"/>
    <cellStyle name="Output 2 2 5 2 3" xfId="9609" xr:uid="{04531583-FF2C-48FE-91D9-3F3F2756528B}"/>
    <cellStyle name="Output 2 2 5 2 4" xfId="12595" xr:uid="{6FDCF1AB-05A6-4810-ACB5-D7B737B62C2B}"/>
    <cellStyle name="Output 2 2 5 2 5" xfId="14252" xr:uid="{8AACE542-CD78-4F2B-8E1B-08D4BCBF0954}"/>
    <cellStyle name="Output 2 2 5 2 6" xfId="15935" xr:uid="{26E7798A-9336-4D60-A043-4E082CFD4E97}"/>
    <cellStyle name="Output 2 2 5 3" xfId="3552" xr:uid="{0C9168FD-FB78-4F6E-871A-493393BAB6A6}"/>
    <cellStyle name="Output 2 2 5 3 2" xfId="5122" xr:uid="{A28F4F7E-F35A-45BD-BCA6-E256E0C89F84}"/>
    <cellStyle name="Output 2 2 5 3 3" xfId="9171" xr:uid="{9F183B5E-E647-4AC9-B3BE-9D5EFAE4D888}"/>
    <cellStyle name="Output 2 2 5 3 4" xfId="12163" xr:uid="{22D39DAC-37D3-4BB1-A98A-0B494A122444}"/>
    <cellStyle name="Output 2 2 5 3 5" xfId="13814" xr:uid="{8F1FFFC5-CAE9-47E2-93DF-8264276955DC}"/>
    <cellStyle name="Output 2 2 5 3 6" xfId="15503" xr:uid="{F11D526C-6627-478B-9A26-8D6BCA43338D}"/>
    <cellStyle name="Output 2 2 5 4" xfId="6421" xr:uid="{1E81E268-E195-4B74-A990-D8A211924FC9}"/>
    <cellStyle name="Output 2 2 6" xfId="3323" xr:uid="{42BEDF36-7D4E-43D3-A4CB-767F8B08139C}"/>
    <cellStyle name="Output 2 2 6 2" xfId="4203" xr:uid="{E78232D3-253E-4CF4-8394-758CF2FB6274}"/>
    <cellStyle name="Output 2 2 6 2 2" xfId="8127" xr:uid="{3F02FAE7-9FE0-4040-AEDE-DD7805B41844}"/>
    <cellStyle name="Output 2 2 6 2 3" xfId="9822" xr:uid="{EE01C7A9-4B0A-4B84-B2BF-5C1FB793AC62}"/>
    <cellStyle name="Output 2 2 6 2 4" xfId="12806" xr:uid="{70DABC5A-304C-48B3-AA31-3E6DF6850381}"/>
    <cellStyle name="Output 2 2 6 2 5" xfId="14465" xr:uid="{9B6B0B26-9F9A-4541-8976-CDDBD83DA6CB}"/>
    <cellStyle name="Output 2 2 6 2 6" xfId="16146" xr:uid="{7A48BE3B-8263-4B09-B4EA-D2C70C3284C2}"/>
    <cellStyle name="Output 2 2 6 3" xfId="3764" xr:uid="{5EB6DCA3-1D22-42F2-9A9F-40C6B88897CF}"/>
    <cellStyle name="Output 2 2 6 3 2" xfId="7695" xr:uid="{9BB3AF04-C8F4-4942-99C8-1B02D12DC3B6}"/>
    <cellStyle name="Output 2 2 6 3 3" xfId="9383" xr:uid="{2AD66EDE-9B9E-4DB5-87EA-0CCF3FD86B30}"/>
    <cellStyle name="Output 2 2 6 3 4" xfId="12374" xr:uid="{691BDE5C-4963-4753-9A61-263B39EE931D}"/>
    <cellStyle name="Output 2 2 6 3 5" xfId="14026" xr:uid="{72F640AA-3523-4841-9D17-F0D150C63116}"/>
    <cellStyle name="Output 2 2 6 3 6" xfId="15714" xr:uid="{96286507-BA6C-41D3-A656-85309DFDBA96}"/>
    <cellStyle name="Output 2 2 6 4" xfId="8986" xr:uid="{B1C7C384-E852-4E41-8CCE-2FD44CD24EAE}"/>
    <cellStyle name="Output 2 2 7" xfId="3025" xr:uid="{D1E975FF-39F1-4F46-85DC-FA08609326DF}"/>
    <cellStyle name="Output 2 2 7 10" xfId="5831" xr:uid="{029A0F32-C480-49D9-99D0-B455F4EB5C3A}"/>
    <cellStyle name="Output 2 2 7 2" xfId="3905" xr:uid="{F8B8FB6F-6F29-49EE-A6B1-7945DF960209}"/>
    <cellStyle name="Output 2 2 7 2 2" xfId="7833" xr:uid="{11A38BAA-33A9-4682-819F-8BC47F1D0A2F}"/>
    <cellStyle name="Output 2 2 7 2 3" xfId="9524" xr:uid="{08904E62-D956-474D-83E4-4504B6C5C1B1}"/>
    <cellStyle name="Output 2 2 7 2 4" xfId="12512" xr:uid="{5ACCC5B3-D371-4445-8A53-1CCADDC6EDC4}"/>
    <cellStyle name="Output 2 2 7 2 5" xfId="14167" xr:uid="{7420A771-0FE3-41CE-8CD6-0CB1F6A41AFD}"/>
    <cellStyle name="Output 2 2 7 2 6" xfId="15852" xr:uid="{AAE3D8DD-5432-443E-A8B5-85D5231780E8}"/>
    <cellStyle name="Output 2 2 7 3" xfId="3467" xr:uid="{2CBA1D5C-27EA-4DA6-BA83-23FFB1C26FB3}"/>
    <cellStyle name="Output 2 2 7 3 2" xfId="5179" xr:uid="{52315CA3-B8B4-4475-A1B8-79A641BD7DEF}"/>
    <cellStyle name="Output 2 2 7 3 3" xfId="9086" xr:uid="{9F2ECDF7-9CFC-4E3B-80DD-E650EDD71AED}"/>
    <cellStyle name="Output 2 2 7 3 4" xfId="5759" xr:uid="{77A4922B-CE32-4941-A3DA-25A38766411A}"/>
    <cellStyle name="Output 2 2 7 3 5" xfId="13729" xr:uid="{05955071-4D06-4AF9-8BFE-8CF489C21002}"/>
    <cellStyle name="Output 2 2 7 3 6" xfId="15420" xr:uid="{C0DA0C89-9F3D-4AEC-8A0E-BABD90D002F8}"/>
    <cellStyle name="Output 2 2 7 4" xfId="4278" xr:uid="{637F04D4-C674-4EEB-8F25-1914DA9FB8A9}"/>
    <cellStyle name="Output 2 2 7 4 2" xfId="8200" xr:uid="{62A23BC5-E7E1-4F3C-A752-FA03ECEB1565}"/>
    <cellStyle name="Output 2 2 7 4 3" xfId="9895" xr:uid="{987965E7-F3B8-49E8-9B04-FC108290D4D9}"/>
    <cellStyle name="Output 2 2 7 4 4" xfId="12877" xr:uid="{09B41C4B-4A9B-4A08-ABF4-088679DA7957}"/>
    <cellStyle name="Output 2 2 7 4 5" xfId="14538" xr:uid="{75EA24C3-33F5-4331-81C3-13B41A498054}"/>
    <cellStyle name="Output 2 2 7 4 6" xfId="16217" xr:uid="{35D4D010-F5D4-488E-AC57-2A4C33D534C9}"/>
    <cellStyle name="Output 2 2 7 5" xfId="5912" xr:uid="{EE7065AD-9557-4889-B6BC-2A651D4BC327}"/>
    <cellStyle name="Output 2 2 7 6" xfId="5741" xr:uid="{2B9E6C79-350F-4A45-B93A-80C9CC0D13BA}"/>
    <cellStyle name="Output 2 2 7 7" xfId="5561" xr:uid="{171E79FE-9E8F-4C8B-954D-0107B265343D}"/>
    <cellStyle name="Output 2 2 7 8" xfId="5405" xr:uid="{063C17E1-A8A9-4807-8ABF-A8AB855AF6F4}"/>
    <cellStyle name="Output 2 2 7 9" xfId="6264" xr:uid="{D21BA1C2-89B4-4E68-8EE2-BE138DC1742E}"/>
    <cellStyle name="Output 2 2 8" xfId="3165" xr:uid="{8BC0D5A7-D338-4841-8D2D-A37A8B28968D}"/>
    <cellStyle name="Output 2 2 8 10" xfId="5827" xr:uid="{7F93A814-84A1-4B28-8505-8B5EDD927DD9}"/>
    <cellStyle name="Output 2 2 8 2" xfId="4045" xr:uid="{5CF8E0A9-8B32-4CCF-A8A2-F6A459599495}"/>
    <cellStyle name="Output 2 2 8 2 2" xfId="7971" xr:uid="{53BA01AB-C53C-4AE3-8393-88AA1BC038FA}"/>
    <cellStyle name="Output 2 2 8 2 3" xfId="9664" xr:uid="{E1CB82C5-2545-4E93-B55F-B802ED5BC70C}"/>
    <cellStyle name="Output 2 2 8 2 4" xfId="12650" xr:uid="{CEBD895A-FB9B-471B-8A8E-53076875CE5B}"/>
    <cellStyle name="Output 2 2 8 2 5" xfId="14307" xr:uid="{815E8B64-ED13-4686-BAAB-B681D050286D}"/>
    <cellStyle name="Output 2 2 8 2 6" xfId="15990" xr:uid="{3CC64BB1-C5A8-4C4C-BC2F-3A078FF7911A}"/>
    <cellStyle name="Output 2 2 8 3" xfId="3607" xr:uid="{868A2453-F74E-4273-910B-705C3C078A77}"/>
    <cellStyle name="Output 2 2 8 3 2" xfId="7539" xr:uid="{A973EFEE-618E-4840-9B18-1BE82C989655}"/>
    <cellStyle name="Output 2 2 8 3 3" xfId="9226" xr:uid="{8749C81B-E316-4483-8732-9E08FC4F1B29}"/>
    <cellStyle name="Output 2 2 8 3 4" xfId="12218" xr:uid="{095ACDDC-68F1-4DE3-B773-E70B0BAC3D02}"/>
    <cellStyle name="Output 2 2 8 3 5" xfId="13869" xr:uid="{9FBD4840-2345-4FBD-890F-62AED8B50108}"/>
    <cellStyle name="Output 2 2 8 3 6" xfId="15558" xr:uid="{CE8C1839-2057-49A3-87D4-22A0B6A963B7}"/>
    <cellStyle name="Output 2 2 8 4" xfId="4336" xr:uid="{8F9CFC15-3943-4A76-B489-6A089D83A27D}"/>
    <cellStyle name="Output 2 2 8 4 2" xfId="8256" xr:uid="{EBC5D47C-D691-416F-AA9F-1039DA7D6828}"/>
    <cellStyle name="Output 2 2 8 4 3" xfId="9953" xr:uid="{5A290B46-BA1C-4C52-AFF6-4A1379C059A1}"/>
    <cellStyle name="Output 2 2 8 4 4" xfId="12933" xr:uid="{975F87B8-C60D-4CD8-A369-9BA0AD2DB434}"/>
    <cellStyle name="Output 2 2 8 4 5" xfId="14596" xr:uid="{16B91B38-A31B-41AA-8D05-642464B617FE}"/>
    <cellStyle name="Output 2 2 8 4 6" xfId="16273" xr:uid="{9409086E-CD98-4EF5-A8DD-5941AE94E3ED}"/>
    <cellStyle name="Output 2 2 8 5" xfId="5999" xr:uid="{B6F3338E-D1E4-4E80-9822-20ADB94F67CA}"/>
    <cellStyle name="Output 2 2 8 6" xfId="5237" xr:uid="{7C91CB26-234D-47FF-938C-25BADD294CAC}"/>
    <cellStyle name="Output 2 2 8 7" xfId="10646" xr:uid="{DF1381A0-19FE-491A-B600-8334A5C6D971}"/>
    <cellStyle name="Output 2 2 8 8" xfId="5428" xr:uid="{D66F2D5A-84C9-4656-A661-CCF3A64208AA}"/>
    <cellStyle name="Output 2 2 8 9" xfId="11479" xr:uid="{5187F74F-0B72-4B2E-BCDD-5C7A32BB4780}"/>
    <cellStyle name="Output 2 2 9" xfId="3384" xr:uid="{E29B0A07-808A-47D6-BAE2-69C0DDC43E98}"/>
    <cellStyle name="Output 2 2 9 10" xfId="15341" xr:uid="{05A43E79-FFF5-4EF1-BE28-529AA47F5DA4}"/>
    <cellStyle name="Output 2 2 9 2" xfId="4264" xr:uid="{EDBB4110-A60B-458A-946D-1CD0D55BDEAD}"/>
    <cellStyle name="Output 2 2 9 2 2" xfId="8187" xr:uid="{428416A0-C507-434B-8729-BE3CE89F81E9}"/>
    <cellStyle name="Output 2 2 9 2 3" xfId="9883" xr:uid="{DF818BE6-D110-4359-81CC-19B4243745D3}"/>
    <cellStyle name="Output 2 2 9 2 4" xfId="12866" xr:uid="{FB2E0B9D-8CC4-4DED-A1F8-695EB57654FF}"/>
    <cellStyle name="Output 2 2 9 2 5" xfId="14526" xr:uid="{3A8187E8-556D-49DA-800C-EE258899E0E8}"/>
    <cellStyle name="Output 2 2 9 2 6" xfId="16206" xr:uid="{EE549110-FB1B-4B5C-8152-9E7727141BF2}"/>
    <cellStyle name="Output 2 2 9 3" xfId="3824" xr:uid="{3E271948-6F4D-485C-AE64-EB568ADC8040}"/>
    <cellStyle name="Output 2 2 9 3 2" xfId="7755" xr:uid="{35971337-8EEF-4A10-8518-E8271384C6DE}"/>
    <cellStyle name="Output 2 2 9 3 3" xfId="9443" xr:uid="{D5ADCE15-6096-4833-855D-CE9FE9768A22}"/>
    <cellStyle name="Output 2 2 9 3 4" xfId="12434" xr:uid="{5B8F4EFD-4F16-4439-B985-DC896822666E}"/>
    <cellStyle name="Output 2 2 9 3 5" xfId="14086" xr:uid="{E2865F87-1C4F-48B5-A499-A5C85D1BB982}"/>
    <cellStyle name="Output 2 2 9 3 6" xfId="15774" xr:uid="{B296302A-19C2-4364-AFC7-080E0CCFF02B}"/>
    <cellStyle name="Output 2 2 9 4" xfId="4440" xr:uid="{C7A0027E-025F-4BBF-99C7-E15859BD925E}"/>
    <cellStyle name="Output 2 2 9 4 2" xfId="8357" xr:uid="{DB4FA95D-8951-45D9-9994-21EF52C6E82C}"/>
    <cellStyle name="Output 2 2 9 4 3" xfId="10057" xr:uid="{4CE5FE9F-1467-4B9E-B2D5-060586788698}"/>
    <cellStyle name="Output 2 2 9 4 4" xfId="13034" xr:uid="{EDF905C4-FD2D-468F-BF8E-2BBCCF56EF34}"/>
    <cellStyle name="Output 2 2 9 4 5" xfId="14700" xr:uid="{2D667DE6-BFBA-44C9-8D2B-AB713FB85C92}"/>
    <cellStyle name="Output 2 2 9 4 6" xfId="16374" xr:uid="{ADA13284-A71A-44D5-B982-C4C9214306F5}"/>
    <cellStyle name="Output 2 2 9 5" xfId="6142" xr:uid="{CF8B878B-E97E-4A34-A4CD-6C6D71493056}"/>
    <cellStyle name="Output 2 2 9 6" xfId="5666" xr:uid="{4546B5F7-0716-46D0-96EC-D557CC442032}"/>
    <cellStyle name="Output 2 2 9 7" xfId="10774" xr:uid="{1F9780F3-9AF3-4DE0-99E7-2FB61F3D4F8E}"/>
    <cellStyle name="Output 2 2 9 8" xfId="5779" xr:uid="{05989612-C0C8-4552-B912-0E01694494C5}"/>
    <cellStyle name="Output 2 2 9 9" xfId="13650" xr:uid="{A9E62343-85AD-4555-BF19-5091DADF40BF}"/>
    <cellStyle name="Output 2 3" xfId="2979" xr:uid="{E5FA3B95-492E-4E90-8991-589CF84A5188}"/>
    <cellStyle name="Output 2 3 10" xfId="3863" xr:uid="{81A1A2E1-BA20-4EC5-9F68-F45F2198C779}"/>
    <cellStyle name="Output 2 3 10 2" xfId="7792" xr:uid="{79C640AD-4531-420A-8132-17F58FB4B50F}"/>
    <cellStyle name="Output 2 3 10 3" xfId="9482" xr:uid="{FC1953FC-E906-4EAE-AD74-EC9B87D047E2}"/>
    <cellStyle name="Output 2 3 10 4" xfId="12471" xr:uid="{20F44838-FA42-4BB9-87F6-01EEF412BC6B}"/>
    <cellStyle name="Output 2 3 10 5" xfId="14125" xr:uid="{CD622D08-09D9-42F5-A4E7-CF3AB0B63F87}"/>
    <cellStyle name="Output 2 3 10 6" xfId="15811" xr:uid="{15A08B55-3023-41DE-8CD5-70FFCB867730}"/>
    <cellStyle name="Output 2 3 11" xfId="3426" xr:uid="{80591465-8835-4218-B373-2921327C7514}"/>
    <cellStyle name="Output 2 3 11 2" xfId="5990" xr:uid="{E4CD1CB7-1BE1-4E00-AE1B-E0B8EB605A4B}"/>
    <cellStyle name="Output 2 3 11 3" xfId="9045" xr:uid="{26517B45-6E70-47B5-BE81-3EE0517B8A09}"/>
    <cellStyle name="Output 2 3 11 4" xfId="5321" xr:uid="{F5CD93F5-375F-40C1-B169-7DC8858F3F1F}"/>
    <cellStyle name="Output 2 3 11 5" xfId="13688" xr:uid="{FE52F939-91F4-46FA-AB4E-08E4F9CE0E92}"/>
    <cellStyle name="Output 2 3 11 6" xfId="15379" xr:uid="{B906A05D-0C6B-4E04-9CFC-7D1E011802C5}"/>
    <cellStyle name="Output 2 3 12" xfId="5562" xr:uid="{079A0D1B-11CE-4175-A589-BDEE53F4237D}"/>
    <cellStyle name="Output 2 3 13" xfId="5879" xr:uid="{5B5697A1-C6CD-4B4C-9203-832F547FB884}"/>
    <cellStyle name="Output 2 3 2" xfId="3007" xr:uid="{E780FCB8-D870-41DB-92F7-EEA6C04818BF}"/>
    <cellStyle name="Output 2 3 2 10" xfId="3887" xr:uid="{B56AB6A6-0720-4308-A267-2D8DC1DB52C3}"/>
    <cellStyle name="Output 2 3 2 10 2" xfId="7815" xr:uid="{0A9BE8C4-0B59-4B8A-821E-8F77EBFC6DAF}"/>
    <cellStyle name="Output 2 3 2 10 3" xfId="9506" xr:uid="{02BD5E19-1E9D-4604-82DC-7A5E1427C852}"/>
    <cellStyle name="Output 2 3 2 10 4" xfId="12494" xr:uid="{77217971-2FC4-45BB-B2FC-407EBA6F032D}"/>
    <cellStyle name="Output 2 3 2 10 5" xfId="14149" xr:uid="{2A926835-419D-46A0-8845-889D629A1455}"/>
    <cellStyle name="Output 2 3 2 10 6" xfId="15834" xr:uid="{444338D3-5794-4A84-8E25-70074D07F9D1}"/>
    <cellStyle name="Output 2 3 2 11" xfId="3449" xr:uid="{4957B8CB-7FA1-4A33-8A67-C5767FFE5FAD}"/>
    <cellStyle name="Output 2 3 2 11 2" xfId="5191" xr:uid="{D7141C14-820D-43B7-BA1A-95499B1FCAFE}"/>
    <cellStyle name="Output 2 3 2 11 3" xfId="9068" xr:uid="{27CD161E-A051-4DD9-88F4-545C2F43987D}"/>
    <cellStyle name="Output 2 3 2 11 4" xfId="5867" xr:uid="{D04C1E3E-1982-4B12-9DB0-CC5E47D835B7}"/>
    <cellStyle name="Output 2 3 2 11 5" xfId="13711" xr:uid="{20903329-B510-485F-9AB9-4C2164A3EA38}"/>
    <cellStyle name="Output 2 3 2 11 6" xfId="15402" xr:uid="{8DF63013-C29D-4D58-9380-524F9C8E3C78}"/>
    <cellStyle name="Output 2 3 2 12" xfId="5872" xr:uid="{91B80C1D-8D7D-4262-BBA1-88428D8525C7}"/>
    <cellStyle name="Output 2 3 2 13" xfId="6181" xr:uid="{8213EE25-B369-4EE1-91CB-AA1023AC4A93}"/>
    <cellStyle name="Output 2 3 2 2" xfId="3163" xr:uid="{FAA18652-1BA4-4ABD-8FC2-2E2434DBBDA8}"/>
    <cellStyle name="Output 2 3 2 2 2" xfId="4043" xr:uid="{D09D7431-EAA7-41FD-ACFF-3F8D32E725E6}"/>
    <cellStyle name="Output 2 3 2 2 2 2" xfId="7969" xr:uid="{F6E86B6B-9228-4320-8298-F7010F71352D}"/>
    <cellStyle name="Output 2 3 2 2 2 3" xfId="9662" xr:uid="{BC442858-89D0-4523-AABB-0846091B0AA3}"/>
    <cellStyle name="Output 2 3 2 2 2 4" xfId="12648" xr:uid="{1736ACB9-DF22-4FDC-9778-04B2BF21E1C6}"/>
    <cellStyle name="Output 2 3 2 2 2 5" xfId="14305" xr:uid="{06F05E1B-BD6A-41A1-8DDD-1B459FA12FCB}"/>
    <cellStyle name="Output 2 3 2 2 2 6" xfId="15988" xr:uid="{FF4E6380-B528-40C8-8C99-E1BE3204D838}"/>
    <cellStyle name="Output 2 3 2 2 3" xfId="3605" xr:uid="{35AC395D-CC00-4D8C-B7C3-006D6BC65054}"/>
    <cellStyle name="Output 2 3 2 2 3 2" xfId="7537" xr:uid="{1D8ADB27-D4DF-4828-A444-9D9648BE7FCE}"/>
    <cellStyle name="Output 2 3 2 2 3 3" xfId="9224" xr:uid="{7979E021-7805-4914-9664-8D7175C5D864}"/>
    <cellStyle name="Output 2 3 2 2 3 4" xfId="12216" xr:uid="{79598D09-32CC-4A72-B0FA-CAF4AD464702}"/>
    <cellStyle name="Output 2 3 2 2 3 5" xfId="13867" xr:uid="{CFF6E12C-1096-42A3-82D3-4460BDC88A70}"/>
    <cellStyle name="Output 2 3 2 2 3 6" xfId="15556" xr:uid="{091BCFFF-84A7-42DC-B189-4B37690DE584}"/>
    <cellStyle name="Output 2 3 2 2 4" xfId="6444" xr:uid="{AF7D1066-D13E-49AD-A002-73A00A1111EF}"/>
    <cellStyle name="Output 2 3 2 3" xfId="3184" xr:uid="{5867D202-D492-4F12-9E2F-DF5C7429CB7C}"/>
    <cellStyle name="Output 2 3 2 3 2" xfId="4064" xr:uid="{46CFDEA1-09C6-4C29-8EEB-7A5893FAEC02}"/>
    <cellStyle name="Output 2 3 2 3 2 2" xfId="7989" xr:uid="{1AF6BE86-0946-4458-9893-79880D53D48D}"/>
    <cellStyle name="Output 2 3 2 3 2 3" xfId="9683" xr:uid="{80009CB7-3F4D-4378-A5E4-6F18086E93F2}"/>
    <cellStyle name="Output 2 3 2 3 2 4" xfId="12668" xr:uid="{4DC3AF8C-988C-4A4F-83F0-7335F37376E5}"/>
    <cellStyle name="Output 2 3 2 3 2 5" xfId="14326" xr:uid="{5030E0CA-9340-482D-B771-F45E4C4FFEE2}"/>
    <cellStyle name="Output 2 3 2 3 2 6" xfId="16008" xr:uid="{45B1B766-E07E-4AA4-8B0B-E5E160D106CB}"/>
    <cellStyle name="Output 2 3 2 3 3" xfId="3626" xr:uid="{C8F208C2-1DBC-49F2-8DEE-B17338FB091E}"/>
    <cellStyle name="Output 2 3 2 3 3 2" xfId="7557" xr:uid="{BCED4311-6943-47E4-A962-D1C1BD8AC9BD}"/>
    <cellStyle name="Output 2 3 2 3 3 3" xfId="9245" xr:uid="{B094EA61-483F-4188-9827-986D0AC700AE}"/>
    <cellStyle name="Output 2 3 2 3 3 4" xfId="12236" xr:uid="{BE7F4B54-1ABB-4CB4-A951-882070E73CF3}"/>
    <cellStyle name="Output 2 3 2 3 3 5" xfId="13888" xr:uid="{801A9732-C1A2-49E5-92A6-D7635E7A4746}"/>
    <cellStyle name="Output 2 3 2 3 3 6" xfId="15576" xr:uid="{CFAE36BD-3F36-424E-813E-D06502C41781}"/>
    <cellStyle name="Output 2 3 2 3 4" xfId="5976" xr:uid="{C776084B-294F-4F43-B852-0AE565A7404F}"/>
    <cellStyle name="Output 2 3 2 4" xfId="3328" xr:uid="{917D9EF8-CCA6-4658-8F7B-530B76B48E6C}"/>
    <cellStyle name="Output 2 3 2 4 2" xfId="4208" xr:uid="{71A731B0-F757-498D-B6A1-31D7B7A719A8}"/>
    <cellStyle name="Output 2 3 2 4 2 2" xfId="8132" xr:uid="{070F61F4-B684-4632-864F-A5F210A26DCC}"/>
    <cellStyle name="Output 2 3 2 4 2 3" xfId="9827" xr:uid="{75AD8A96-1D23-45C8-AA26-DBD867C3AC0C}"/>
    <cellStyle name="Output 2 3 2 4 2 4" xfId="12811" xr:uid="{5017E7CF-6B00-4674-8E30-B6FFC422373A}"/>
    <cellStyle name="Output 2 3 2 4 2 5" xfId="14470" xr:uid="{91706ABC-39A7-4F0C-8805-9B0383A78AFC}"/>
    <cellStyle name="Output 2 3 2 4 2 6" xfId="16151" xr:uid="{6B741AAD-7007-4484-9DB7-05C80D9E980F}"/>
    <cellStyle name="Output 2 3 2 4 3" xfId="3769" xr:uid="{3950A0FC-830F-4D7E-AC3A-2C618A3E0050}"/>
    <cellStyle name="Output 2 3 2 4 3 2" xfId="7700" xr:uid="{B5E007E5-3405-4A9B-BA35-7B9377B44950}"/>
    <cellStyle name="Output 2 3 2 4 3 3" xfId="9388" xr:uid="{761A552D-493E-42E0-9F15-F648EF59F15F}"/>
    <cellStyle name="Output 2 3 2 4 3 4" xfId="12379" xr:uid="{87856DF3-E583-43C8-A26A-C77CFB796D8F}"/>
    <cellStyle name="Output 2 3 2 4 3 5" xfId="14031" xr:uid="{7693D2B3-1B77-4565-B01C-E705C433AD23}"/>
    <cellStyle name="Output 2 3 2 4 3 6" xfId="15719" xr:uid="{1EA58DE8-1F61-4F7E-9A56-099D824D5FA2}"/>
    <cellStyle name="Output 2 3 2 4 4" xfId="8991" xr:uid="{658B6004-52BF-4660-977C-AF22B4CA3776}"/>
    <cellStyle name="Output 2 3 2 5" xfId="3339" xr:uid="{6DAC1D33-41F9-484D-BAB5-13ED535F7112}"/>
    <cellStyle name="Output 2 3 2 5 2" xfId="4219" xr:uid="{4CE673E5-0804-4D0A-80DB-4746FCC27C1C}"/>
    <cellStyle name="Output 2 3 2 5 2 2" xfId="8142" xr:uid="{90873220-2B20-439F-BBE3-FD0B07A85724}"/>
    <cellStyle name="Output 2 3 2 5 2 3" xfId="9838" xr:uid="{DBD3D8F6-7D00-4A79-91EB-0053DD8831EC}"/>
    <cellStyle name="Output 2 3 2 5 2 4" xfId="12821" xr:uid="{AD96B397-0F38-49ED-A68E-345BCD8302F7}"/>
    <cellStyle name="Output 2 3 2 5 2 5" xfId="14481" xr:uid="{EA00FCB2-3351-45E4-96F3-B24DF9FAD35F}"/>
    <cellStyle name="Output 2 3 2 5 2 6" xfId="16161" xr:uid="{F0D8A0F1-51B4-4457-AAD9-0D9B3828DC08}"/>
    <cellStyle name="Output 2 3 2 5 3" xfId="3779" xr:uid="{B76F2997-77E6-4DAA-8D7F-14A9B775F8FB}"/>
    <cellStyle name="Output 2 3 2 5 3 2" xfId="7710" xr:uid="{FE4E2268-8C4A-45BC-ADFF-46514893A8C8}"/>
    <cellStyle name="Output 2 3 2 5 3 3" xfId="9398" xr:uid="{583A10B2-7090-4724-8A4D-D77DA7F38360}"/>
    <cellStyle name="Output 2 3 2 5 3 4" xfId="12389" xr:uid="{50FAEFC2-5F84-4A37-A2C1-E4EF346C0205}"/>
    <cellStyle name="Output 2 3 2 5 3 5" xfId="14041" xr:uid="{DE842859-0755-4E6A-B476-C84E5869CF4C}"/>
    <cellStyle name="Output 2 3 2 5 3 6" xfId="15729" xr:uid="{04D67326-6821-40DD-A71E-FC155FB7FEA5}"/>
    <cellStyle name="Output 2 3 2 5 4" xfId="9000" xr:uid="{FFD05C74-4654-4C1C-8587-008E8DC0842D}"/>
    <cellStyle name="Output 2 3 2 6" xfId="3348" xr:uid="{5FDD7FD0-D5EB-44AB-BD50-5CDC87080109}"/>
    <cellStyle name="Output 2 3 2 6 10" xfId="15305" xr:uid="{C12E9D35-6A78-44F6-ACD7-36272DE14B54}"/>
    <cellStyle name="Output 2 3 2 6 2" xfId="4228" xr:uid="{0FB50053-AFEF-49F1-A326-C48B87611E5C}"/>
    <cellStyle name="Output 2 3 2 6 2 2" xfId="8151" xr:uid="{E6486AD4-499C-4218-BCD7-E71B549FCCDA}"/>
    <cellStyle name="Output 2 3 2 6 2 3" xfId="9847" xr:uid="{ADE1724D-69A1-4140-8914-B0D6115D4F77}"/>
    <cellStyle name="Output 2 3 2 6 2 4" xfId="12830" xr:uid="{1328FB00-4C30-428F-8CEB-18007B20FFFD}"/>
    <cellStyle name="Output 2 3 2 6 2 5" xfId="14490" xr:uid="{237D31F4-8AA4-4A56-88CC-7D6447FED2EF}"/>
    <cellStyle name="Output 2 3 2 6 2 6" xfId="16170" xr:uid="{DE358099-2754-4A43-A7FA-C69E91C19215}"/>
    <cellStyle name="Output 2 3 2 6 3" xfId="3788" xr:uid="{E868E248-8459-45D5-9AF5-28B51EC9F241}"/>
    <cellStyle name="Output 2 3 2 6 3 2" xfId="7719" xr:uid="{95431077-1F3D-4BF9-9CDA-5270051477C3}"/>
    <cellStyle name="Output 2 3 2 6 3 3" xfId="9407" xr:uid="{4FE85CD3-51E0-44EA-8D6A-24684F048F1B}"/>
    <cellStyle name="Output 2 3 2 6 3 4" xfId="12398" xr:uid="{017D4B87-67F1-48CF-B761-1C6F9B098D0E}"/>
    <cellStyle name="Output 2 3 2 6 3 5" xfId="14050" xr:uid="{3D42820A-FE38-4759-B66B-8EFC5CFB26A0}"/>
    <cellStyle name="Output 2 3 2 6 3 6" xfId="15738" xr:uid="{C649932D-920F-4B06-8AE1-B0DDBF129E6C}"/>
    <cellStyle name="Output 2 3 2 6 4" xfId="4404" xr:uid="{A7844E53-6F0A-4DEC-9843-BC0AED48293A}"/>
    <cellStyle name="Output 2 3 2 6 4 2" xfId="8321" xr:uid="{2CE78B84-3DBF-4097-B3FD-6BC3E8A3F026}"/>
    <cellStyle name="Output 2 3 2 6 4 3" xfId="10021" xr:uid="{478276A6-2B17-424E-9611-5D942F78218B}"/>
    <cellStyle name="Output 2 3 2 6 4 4" xfId="12998" xr:uid="{238ACEB3-BFB6-4997-B0A9-EA56D99C6C3B}"/>
    <cellStyle name="Output 2 3 2 6 4 5" xfId="14664" xr:uid="{2FABF68E-2784-4CBB-B101-8B56DF9D8EE9}"/>
    <cellStyle name="Output 2 3 2 6 4 6" xfId="16338" xr:uid="{754A935B-9EC6-43BF-AD01-E7C9C73A50DB}"/>
    <cellStyle name="Output 2 3 2 6 5" xfId="6106" xr:uid="{B134CC4F-6525-40BA-A209-1A9184E93446}"/>
    <cellStyle name="Output 2 3 2 6 6" xfId="5660" xr:uid="{38AD6D87-1DA6-447D-B8B7-AA6075F5BD8A}"/>
    <cellStyle name="Output 2 3 2 6 7" xfId="10738" xr:uid="{BB4730E2-D24F-4545-BC8B-35740D506986}"/>
    <cellStyle name="Output 2 3 2 6 8" xfId="10641" xr:uid="{548C7697-3E2C-496B-B0EE-88078A5A56B9}"/>
    <cellStyle name="Output 2 3 2 6 9" xfId="13614" xr:uid="{C1EC88D0-0869-4556-823F-E8088CC6DCA8}"/>
    <cellStyle name="Output 2 3 2 7" xfId="3236" xr:uid="{F108633B-15F7-4126-8998-CD0835535465}"/>
    <cellStyle name="Output 2 3 2 7 2" xfId="4116" xr:uid="{10293D13-AF7D-4BF5-B94F-B7FE508399DE}"/>
    <cellStyle name="Output 2 3 2 7 2 2" xfId="8041" xr:uid="{73FD1E75-7998-44D9-92E5-17A7C1C89B89}"/>
    <cellStyle name="Output 2 3 2 7 2 3" xfId="9735" xr:uid="{CFCAD021-C5A2-4A58-BC8A-7E046D19387C}"/>
    <cellStyle name="Output 2 3 2 7 2 4" xfId="12720" xr:uid="{4B67D8D3-44FB-45E7-8C0B-81F2F94A3037}"/>
    <cellStyle name="Output 2 3 2 7 2 5" xfId="14378" xr:uid="{2CE71CD2-D483-448D-9469-11F835E054FA}"/>
    <cellStyle name="Output 2 3 2 7 2 6" xfId="16060" xr:uid="{F450A1C7-62BA-4061-B0EA-F145287FA508}"/>
    <cellStyle name="Output 2 3 2 7 3" xfId="3678" xr:uid="{48418FA6-E9B3-454C-B3C5-B00258372F38}"/>
    <cellStyle name="Output 2 3 2 7 3 2" xfId="7609" xr:uid="{BA8C620D-C703-461A-81F9-47EFAD10E680}"/>
    <cellStyle name="Output 2 3 2 7 3 3" xfId="9297" xr:uid="{82F699FD-03D3-4DDD-B511-FDFD90FF1652}"/>
    <cellStyle name="Output 2 3 2 7 3 4" xfId="12288" xr:uid="{9A7EF708-14EF-438A-90E1-8FBDFE54F8DE}"/>
    <cellStyle name="Output 2 3 2 7 3 5" xfId="13940" xr:uid="{2F10F265-262E-492F-915C-8CE1F32D03E8}"/>
    <cellStyle name="Output 2 3 2 7 3 6" xfId="15628" xr:uid="{E473B48F-68BD-45DE-AA2A-CA824A545229}"/>
    <cellStyle name="Output 2 3 2 7 4" xfId="6775" xr:uid="{C2EF182F-355C-4E44-AC57-CCC9B819D66F}"/>
    <cellStyle name="Output 2 3 2 8" xfId="3185" xr:uid="{BA6DE761-579E-47BB-BAF6-98A85D259CA5}"/>
    <cellStyle name="Output 2 3 2 8 10" xfId="10726" xr:uid="{815B5853-704F-4216-8BC7-48260E89BB5C}"/>
    <cellStyle name="Output 2 3 2 8 2" xfId="4065" xr:uid="{411DFB0C-D343-4092-B032-D24EA8D3038B}"/>
    <cellStyle name="Output 2 3 2 8 2 2" xfId="7990" xr:uid="{DBD533DB-F746-408B-8C8F-407CE2A2CBA7}"/>
    <cellStyle name="Output 2 3 2 8 2 3" xfId="9684" xr:uid="{CB714E7B-595A-4E2C-90A7-7C72E40DE360}"/>
    <cellStyle name="Output 2 3 2 8 2 4" xfId="12669" xr:uid="{6497A9A5-7C1E-4993-A50A-EBE135342723}"/>
    <cellStyle name="Output 2 3 2 8 2 5" xfId="14327" xr:uid="{5A5EDD1D-66DE-4AEF-A582-04A5BD54CAF7}"/>
    <cellStyle name="Output 2 3 2 8 2 6" xfId="16009" xr:uid="{F7B1B4D4-204C-4264-94AC-1F3F315CB5B7}"/>
    <cellStyle name="Output 2 3 2 8 3" xfId="3627" xr:uid="{F4EE7395-C952-4E5C-AB7D-F97B8DCA0A60}"/>
    <cellStyle name="Output 2 3 2 8 3 2" xfId="7558" xr:uid="{DB65C7C3-0AA7-4C24-9951-2D778DCADE40}"/>
    <cellStyle name="Output 2 3 2 8 3 3" xfId="9246" xr:uid="{1A10C8EF-127B-4CC7-886F-85CA19F1EDD9}"/>
    <cellStyle name="Output 2 3 2 8 3 4" xfId="12237" xr:uid="{5F9284CE-E6F1-4E80-B206-E7242FF7F5C0}"/>
    <cellStyle name="Output 2 3 2 8 3 5" xfId="13889" xr:uid="{90219E97-6B2C-412F-B97E-5F37E417D53E}"/>
    <cellStyle name="Output 2 3 2 8 3 6" xfId="15577" xr:uid="{6590ED32-14AA-493E-88DD-337792586CB7}"/>
    <cellStyle name="Output 2 3 2 8 4" xfId="4347" xr:uid="{6BEE2FD1-0A60-4E3A-8E31-6AD42B5C3F68}"/>
    <cellStyle name="Output 2 3 2 8 4 2" xfId="8266" xr:uid="{F1C63B2C-BE88-450C-BBD0-CC25305C860C}"/>
    <cellStyle name="Output 2 3 2 8 4 3" xfId="9964" xr:uid="{2A000BBA-683F-4010-867A-C35473950BC1}"/>
    <cellStyle name="Output 2 3 2 8 4 4" xfId="12943" xr:uid="{DCA4E22E-5B6E-4CE7-960F-EEFB9DBE2421}"/>
    <cellStyle name="Output 2 3 2 8 4 5" xfId="14607" xr:uid="{236A9BA0-E0E9-4244-86A9-199F9904C77B}"/>
    <cellStyle name="Output 2 3 2 8 4 6" xfId="16283" xr:uid="{3A70692C-C247-4436-BDFD-EF8F67376730}"/>
    <cellStyle name="Output 2 3 2 8 5" xfId="6013" xr:uid="{A6E2AD51-B398-4B86-B1B1-F9616122B308}"/>
    <cellStyle name="Output 2 3 2 8 6" xfId="5627" xr:uid="{3FA4DF9A-53A2-41B9-A59C-63162FC0E75F}"/>
    <cellStyle name="Output 2 3 2 8 7" xfId="10659" xr:uid="{63D3FBA0-E04B-41F3-A44A-FEED9BCDDE8F}"/>
    <cellStyle name="Output 2 3 2 8 8" xfId="5858" xr:uid="{298988A1-F1AA-46F8-AD79-4BA74B8AC5BC}"/>
    <cellStyle name="Output 2 3 2 8 9" xfId="5636" xr:uid="{A34CB5EB-6A50-4BFC-8DC6-29A8F7F81B5A}"/>
    <cellStyle name="Output 2 3 2 9" xfId="3087" xr:uid="{A7DC6F0D-C6DA-4CB8-943A-E4D908474CFD}"/>
    <cellStyle name="Output 2 3 2 9 10" xfId="11067" xr:uid="{06F2F94B-F018-4F8A-8699-674FCC9B76B9}"/>
    <cellStyle name="Output 2 3 2 9 2" xfId="3967" xr:uid="{4DE0DED4-823E-4F5E-BE54-CE85A361E5FC}"/>
    <cellStyle name="Output 2 3 2 9 2 2" xfId="7893" xr:uid="{E1D8224A-E6BF-4497-BC9B-A00BA64A54F0}"/>
    <cellStyle name="Output 2 3 2 9 2 3" xfId="9586" xr:uid="{DA6CBC3C-FE24-424D-AA1F-CEFFE0B32594}"/>
    <cellStyle name="Output 2 3 2 9 2 4" xfId="12572" xr:uid="{7CF33303-8C6B-447F-8109-BE81E8C2FDDA}"/>
    <cellStyle name="Output 2 3 2 9 2 5" xfId="14229" xr:uid="{571CB9D3-EF3C-4FB2-A8EE-3C6B5E390F8D}"/>
    <cellStyle name="Output 2 3 2 9 2 6" xfId="15912" xr:uid="{C6CB80E9-5ADC-4A72-8B6F-45D2D8BA9E5D}"/>
    <cellStyle name="Output 2 3 2 9 3" xfId="3529" xr:uid="{18BE3857-18AE-4043-A145-DD4831B18DF2}"/>
    <cellStyle name="Output 2 3 2 9 3 2" xfId="5139" xr:uid="{1E0DDA3A-4DAA-4753-8342-193978F5B3CF}"/>
    <cellStyle name="Output 2 3 2 9 3 3" xfId="9148" xr:uid="{8B621569-7B24-4C1B-817D-3F362B2F3B58}"/>
    <cellStyle name="Output 2 3 2 9 3 4" xfId="12140" xr:uid="{5233551F-7996-45B4-BA24-106FD2FCEEB4}"/>
    <cellStyle name="Output 2 3 2 9 3 5" xfId="13791" xr:uid="{D2201490-DCD8-455B-8A53-0DC00E578457}"/>
    <cellStyle name="Output 2 3 2 9 3 6" xfId="15480" xr:uid="{2959A6AF-C1AB-4B43-98A4-EE2CFBAD6E95}"/>
    <cellStyle name="Output 2 3 2 9 4" xfId="4319" xr:uid="{61A66E5F-AE04-4357-B52D-B5B81DE1D8B5}"/>
    <cellStyle name="Output 2 3 2 9 4 2" xfId="8239" xr:uid="{8E8F2C60-01F0-4780-B0DB-77F399548F3B}"/>
    <cellStyle name="Output 2 3 2 9 4 3" xfId="9936" xr:uid="{993706DF-4456-4B2A-B4D6-91B28C787B15}"/>
    <cellStyle name="Output 2 3 2 9 4 4" xfId="12916" xr:uid="{2D60E5B6-CDB2-430B-9595-D8ACA0C25D92}"/>
    <cellStyle name="Output 2 3 2 9 4 5" xfId="14579" xr:uid="{FF95C983-19B0-41DA-A818-DBD2AF028835}"/>
    <cellStyle name="Output 2 3 2 9 4 6" xfId="16256" xr:uid="{1A3956B1-73B4-4DCA-945F-B7E98A2A73FD}"/>
    <cellStyle name="Output 2 3 2 9 5" xfId="5961" xr:uid="{4FC7F314-57AD-4C5C-B5FC-031258D6707C}"/>
    <cellStyle name="Output 2 3 2 9 6" xfId="5634" xr:uid="{06622322-2E10-4ED7-A3BC-93609C9E652A}"/>
    <cellStyle name="Output 2 3 2 9 7" xfId="5687" xr:uid="{F10F362F-0FBA-4EEF-AC20-A22A3F2C0A52}"/>
    <cellStyle name="Output 2 3 2 9 8" xfId="5021" xr:uid="{04F1609A-8395-4010-B7F0-810B98EAAEAC}"/>
    <cellStyle name="Output 2 3 2 9 9" xfId="5041" xr:uid="{BCAA092A-4754-4779-8321-74F1FFCF1ABE}"/>
    <cellStyle name="Output 2 3 3" xfId="3267" xr:uid="{12C18389-E4D5-4F47-ADFD-F8C596A1996A}"/>
    <cellStyle name="Output 2 3 3 2" xfId="4147" xr:uid="{852D7483-7F62-404C-85F5-E8EDC820491A}"/>
    <cellStyle name="Output 2 3 3 2 2" xfId="8072" xr:uid="{A8664987-9C83-4127-B462-1DA438623B5C}"/>
    <cellStyle name="Output 2 3 3 2 3" xfId="9766" xr:uid="{3D71C821-2DAC-44C4-A940-9237974C81A6}"/>
    <cellStyle name="Output 2 3 3 2 4" xfId="12751" xr:uid="{69E7D9CC-3822-4CA0-AAE2-BF08ABAE6E1D}"/>
    <cellStyle name="Output 2 3 3 2 5" xfId="14409" xr:uid="{1FC1C7C8-5769-43D9-834B-F67D9C3810B0}"/>
    <cellStyle name="Output 2 3 3 2 6" xfId="16091" xr:uid="{BAF8346E-DB6D-4744-9575-4F5D81D09E0A}"/>
    <cellStyle name="Output 2 3 3 3" xfId="3709" xr:uid="{3AC5DF46-73B0-4BA2-84F4-7B25E5C9E8DB}"/>
    <cellStyle name="Output 2 3 3 3 2" xfId="7640" xr:uid="{A82C8477-2322-476C-ABB2-51B403D764C0}"/>
    <cellStyle name="Output 2 3 3 3 3" xfId="9328" xr:uid="{990C78FF-08E4-4550-B95E-7581905B7431}"/>
    <cellStyle name="Output 2 3 3 3 4" xfId="12319" xr:uid="{10099DEF-AC04-4EAA-BD75-14CA1ECF4657}"/>
    <cellStyle name="Output 2 3 3 3 5" xfId="13971" xr:uid="{BE629FD7-945D-4976-BB1C-2A0C20B5447D}"/>
    <cellStyle name="Output 2 3 3 3 6" xfId="15659" xr:uid="{4087C96E-780E-4D6F-8DF8-5F20B54BFED1}"/>
    <cellStyle name="Output 2 3 3 4" xfId="8934" xr:uid="{9CDA7B3B-F306-479C-A51E-C7442769D4D0}"/>
    <cellStyle name="Output 2 3 4" xfId="3137" xr:uid="{9283E98B-A442-4F37-ACA7-7B7BBD81AA3F}"/>
    <cellStyle name="Output 2 3 4 2" xfId="4017" xr:uid="{D0DA7AB1-2788-4F37-93ED-A33107E60CE3}"/>
    <cellStyle name="Output 2 3 4 2 2" xfId="7943" xr:uid="{F47E3650-1BD6-4FDA-8891-7DBE97BE6D72}"/>
    <cellStyle name="Output 2 3 4 2 3" xfId="9636" xr:uid="{150C4E7C-A933-4E2B-8D1B-ACC3DCD5BE7D}"/>
    <cellStyle name="Output 2 3 4 2 4" xfId="12622" xr:uid="{6D9CA633-6CE1-4F3D-A817-CEDF415083CB}"/>
    <cellStyle name="Output 2 3 4 2 5" xfId="14279" xr:uid="{70B8A0B3-8254-4AD8-84D5-01FF41EBF8F0}"/>
    <cellStyle name="Output 2 3 4 2 6" xfId="15962" xr:uid="{92FC5A50-B56C-4F7F-8AEE-B7B3A0AA265F}"/>
    <cellStyle name="Output 2 3 4 3" xfId="3579" xr:uid="{B822ED3C-5C3C-490F-80E3-CAC6B01FA1D4}"/>
    <cellStyle name="Output 2 3 4 3 2" xfId="5101" xr:uid="{B6630F9E-50D7-4107-932F-00A9D44A4574}"/>
    <cellStyle name="Output 2 3 4 3 3" xfId="9198" xr:uid="{9D7FBC3C-999F-46BC-A7E2-D4996CA8B482}"/>
    <cellStyle name="Output 2 3 4 3 4" xfId="12190" xr:uid="{BBB87395-7E54-47C2-8951-178E8CCE287F}"/>
    <cellStyle name="Output 2 3 4 3 5" xfId="13841" xr:uid="{5BA02F9B-FC28-4D89-8B86-DE527434460A}"/>
    <cellStyle name="Output 2 3 4 3 6" xfId="15530" xr:uid="{5DE0EC85-DAD4-4544-8051-19D4EE593A91}"/>
    <cellStyle name="Output 2 3 4 4" xfId="5512" xr:uid="{E22507CF-2953-40DF-9364-72C69FF7B79A}"/>
    <cellStyle name="Output 2 3 5" xfId="3244" xr:uid="{EDAA95B8-4A14-44A5-B2BA-736AF5C72002}"/>
    <cellStyle name="Output 2 3 5 2" xfId="4124" xr:uid="{8F7331C6-C709-4DD8-93DA-23C5CADEA873}"/>
    <cellStyle name="Output 2 3 5 2 2" xfId="8049" xr:uid="{099DA3BB-9851-4514-9A69-EC3B3C3AD00E}"/>
    <cellStyle name="Output 2 3 5 2 3" xfId="9743" xr:uid="{F04CBD57-E674-409D-9600-9578CE78B12A}"/>
    <cellStyle name="Output 2 3 5 2 4" xfId="12728" xr:uid="{66A22130-7EF2-4D03-AD85-14EE8E9A26C5}"/>
    <cellStyle name="Output 2 3 5 2 5" xfId="14386" xr:uid="{2DA6776F-DB5A-4AD7-9710-970D1ED61900}"/>
    <cellStyle name="Output 2 3 5 2 6" xfId="16068" xr:uid="{48F72ADC-2873-41DF-8B30-A57D0BA6C788}"/>
    <cellStyle name="Output 2 3 5 3" xfId="3686" xr:uid="{6CCCF29A-7537-4418-A563-FA30B22C6DB2}"/>
    <cellStyle name="Output 2 3 5 3 2" xfId="7617" xr:uid="{DB229AA0-1D20-4AB4-B35B-DB1F8A47BD93}"/>
    <cellStyle name="Output 2 3 5 3 3" xfId="9305" xr:uid="{4B8E277C-43CF-4002-BD65-D90D5B6AB350}"/>
    <cellStyle name="Output 2 3 5 3 4" xfId="12296" xr:uid="{C76AF0D7-19D9-424D-9AA8-86C892AF94EA}"/>
    <cellStyle name="Output 2 3 5 3 5" xfId="13948" xr:uid="{A2A83EC8-8F3F-4C36-9281-D25BF5A33E9A}"/>
    <cellStyle name="Output 2 3 5 3 6" xfId="15636" xr:uid="{DBF9F8AC-37B6-4D9C-A6C7-B5B609902C5B}"/>
    <cellStyle name="Output 2 3 5 4" xfId="6858" xr:uid="{C3ADBD7A-6AFE-400E-B323-B383E0687819}"/>
    <cellStyle name="Output 2 3 6" xfId="3305" xr:uid="{19CAC23A-9A64-4357-A2EE-A5D1A4DFF56C}"/>
    <cellStyle name="Output 2 3 6 2" xfId="4185" xr:uid="{FA226378-E25B-407F-BC40-16C77BFC9C2F}"/>
    <cellStyle name="Output 2 3 6 2 2" xfId="8109" xr:uid="{BC014AD6-839C-46E3-9375-CFB32A766A54}"/>
    <cellStyle name="Output 2 3 6 2 3" xfId="9804" xr:uid="{959AE9EC-19F2-4BB8-8441-607AE912C46D}"/>
    <cellStyle name="Output 2 3 6 2 4" xfId="12788" xr:uid="{DEEBD9D8-0A60-4486-9DFB-E063556839F6}"/>
    <cellStyle name="Output 2 3 6 2 5" xfId="14447" xr:uid="{504F96C0-9A8F-410E-A93C-218CCC0C6B1F}"/>
    <cellStyle name="Output 2 3 6 2 6" xfId="16128" xr:uid="{B1E01E0F-9551-4B2D-8C30-205A7CEF553C}"/>
    <cellStyle name="Output 2 3 6 3" xfId="3746" xr:uid="{1CF44F53-522F-4F93-9CC5-557323F675DA}"/>
    <cellStyle name="Output 2 3 6 3 2" xfId="7677" xr:uid="{878D6671-E46A-4837-A806-13FA909EA656}"/>
    <cellStyle name="Output 2 3 6 3 3" xfId="9365" xr:uid="{A3FF8632-D6C5-425A-A4BD-E4476A931729}"/>
    <cellStyle name="Output 2 3 6 3 4" xfId="12356" xr:uid="{881D17A7-A79A-493E-BE79-42B5EFFBF86E}"/>
    <cellStyle name="Output 2 3 6 3 5" xfId="14008" xr:uid="{3405FAC2-38A2-4CA1-BD15-318161360A48}"/>
    <cellStyle name="Output 2 3 6 3 6" xfId="15696" xr:uid="{5CD23C4E-6449-43BF-A107-6F8A96B69BEF}"/>
    <cellStyle name="Output 2 3 6 4" xfId="8968" xr:uid="{1FF39B00-B433-459B-8D43-4131C529CC39}"/>
    <cellStyle name="Output 2 3 7" xfId="3120" xr:uid="{810D669F-1F4A-4338-8ED0-20818787DF18}"/>
    <cellStyle name="Output 2 3 7 10" xfId="5431" xr:uid="{9FF0C101-E8C2-40EE-BB9B-274D88183FC1}"/>
    <cellStyle name="Output 2 3 7 2" xfId="4000" xr:uid="{6F2EFC09-5AE4-48DA-BB71-52FDFDE287C9}"/>
    <cellStyle name="Output 2 3 7 2 2" xfId="7926" xr:uid="{E5067855-D2DC-484E-B27A-929A2D339303}"/>
    <cellStyle name="Output 2 3 7 2 3" xfId="9619" xr:uid="{6BFEDB26-3AB4-498D-A598-6E2B5A99B168}"/>
    <cellStyle name="Output 2 3 7 2 4" xfId="12605" xr:uid="{FA35D83C-FF0A-42D9-93EA-48CC227BC5A1}"/>
    <cellStyle name="Output 2 3 7 2 5" xfId="14262" xr:uid="{52EDCAAB-FA5F-47B6-9A44-C7D3A32865F7}"/>
    <cellStyle name="Output 2 3 7 2 6" xfId="15945" xr:uid="{AD907EDA-6DF7-472E-937E-46428E5E8D6E}"/>
    <cellStyle name="Output 2 3 7 3" xfId="3562" xr:uid="{1E439B2A-1AE7-47E5-8139-A65AA20C4EB1}"/>
    <cellStyle name="Output 2 3 7 3 2" xfId="5114" xr:uid="{59939423-F868-40EC-9C5E-0BD98A6EFEB0}"/>
    <cellStyle name="Output 2 3 7 3 3" xfId="9181" xr:uid="{E97E0C3C-1E80-4608-9367-3F5170C43413}"/>
    <cellStyle name="Output 2 3 7 3 4" xfId="12173" xr:uid="{237FBE7B-B2FB-4700-8EE9-6B6E0129492F}"/>
    <cellStyle name="Output 2 3 7 3 5" xfId="13824" xr:uid="{9E0A437D-C971-4911-ABDC-90423C69890B}"/>
    <cellStyle name="Output 2 3 7 3 6" xfId="15513" xr:uid="{BB586C8B-10D2-465B-B28B-4EBE4A2F7E06}"/>
    <cellStyle name="Output 2 3 7 4" xfId="4331" xr:uid="{41604D42-D2B0-49A9-9963-BFA608F12E24}"/>
    <cellStyle name="Output 2 3 7 4 2" xfId="8251" xr:uid="{32A05200-FDDB-4BDB-AC42-F0D56D6E1854}"/>
    <cellStyle name="Output 2 3 7 4 3" xfId="9948" xr:uid="{3ECB6BFF-B123-46D6-AFA2-307356AC6A04}"/>
    <cellStyle name="Output 2 3 7 4 4" xfId="12928" xr:uid="{9B1AA016-EBC5-4B61-A2F3-685DBFCC168D}"/>
    <cellStyle name="Output 2 3 7 4 5" xfId="14591" xr:uid="{30381CE0-347E-4E68-AC1A-63A9FA9803AA}"/>
    <cellStyle name="Output 2 3 7 4 6" xfId="16268" xr:uid="{1A6CF429-FBF9-4AF3-9E60-DF21058DAE43}"/>
    <cellStyle name="Output 2 3 7 5" xfId="5981" xr:uid="{68606A27-AF5E-4FFA-8280-A5593BC66B76}"/>
    <cellStyle name="Output 2 3 7 6" xfId="5684" xr:uid="{0C8D7F87-F7F0-46C4-B656-A751C0DFAD0A}"/>
    <cellStyle name="Output 2 3 7 7" xfId="6043" xr:uid="{3024F998-1B4E-4B6B-ABDD-6150B0E97245}"/>
    <cellStyle name="Output 2 3 7 8" xfId="5284" xr:uid="{324076DB-4CBC-43EC-91B3-85F809E5A8C0}"/>
    <cellStyle name="Output 2 3 7 9" xfId="11494" xr:uid="{DC57BE6F-9ECB-4881-B491-E7EC4EAC7424}"/>
    <cellStyle name="Output 2 3 8" xfId="3113" xr:uid="{5784E0F4-F8C4-44CA-8526-E16DAC2009D0}"/>
    <cellStyle name="Output 2 3 8 10" xfId="5027" xr:uid="{2EA29701-27F0-44FD-8EC6-954E91D6BE64}"/>
    <cellStyle name="Output 2 3 8 2" xfId="3993" xr:uid="{557949A3-3A0D-46B0-8FE4-D565B4A25CAB}"/>
    <cellStyle name="Output 2 3 8 2 2" xfId="7919" xr:uid="{26C46CCE-8CCF-40D1-B561-8EBD8DA2B4EE}"/>
    <cellStyle name="Output 2 3 8 2 3" xfId="9612" xr:uid="{33706A1D-E004-4ACE-9F7A-9F6B7C20AD4B}"/>
    <cellStyle name="Output 2 3 8 2 4" xfId="12598" xr:uid="{2DE19642-7526-4D47-8C08-4E818334FFB9}"/>
    <cellStyle name="Output 2 3 8 2 5" xfId="14255" xr:uid="{FB5102D6-BC2C-4D40-A095-5E2AADE60F58}"/>
    <cellStyle name="Output 2 3 8 2 6" xfId="15938" xr:uid="{36245BDB-CF0B-426B-B0B2-7E879163985C}"/>
    <cellStyle name="Output 2 3 8 3" xfId="3555" xr:uid="{DD6E21C5-B9AC-4EFE-B5E2-609BF544A143}"/>
    <cellStyle name="Output 2 3 8 3 2" xfId="5121" xr:uid="{F727A494-D6AC-4094-9542-AEF8313FA9BD}"/>
    <cellStyle name="Output 2 3 8 3 3" xfId="9174" xr:uid="{D9D09A27-FC60-4E5B-8B8D-B9A8F88DA44E}"/>
    <cellStyle name="Output 2 3 8 3 4" xfId="12166" xr:uid="{DE52CB15-71FC-43F1-B680-C53906A0C90A}"/>
    <cellStyle name="Output 2 3 8 3 5" xfId="13817" xr:uid="{8B8E3863-E824-469A-AE5C-2C7C0449C986}"/>
    <cellStyle name="Output 2 3 8 3 6" xfId="15506" xr:uid="{735F5093-B9CC-4F18-B43B-D8A960738683}"/>
    <cellStyle name="Output 2 3 8 4" xfId="4329" xr:uid="{ADF2E201-7824-4927-9907-5C1005A38EDA}"/>
    <cellStyle name="Output 2 3 8 4 2" xfId="8249" xr:uid="{A44151AF-7DF7-4157-A9FB-AEDBA100C81D}"/>
    <cellStyle name="Output 2 3 8 4 3" xfId="9946" xr:uid="{C2F64ED5-762E-476C-B0D7-C1248B4EB1B6}"/>
    <cellStyle name="Output 2 3 8 4 4" xfId="12926" xr:uid="{711CAFB7-F3A6-4C04-9D09-A7B53D01CCBD}"/>
    <cellStyle name="Output 2 3 8 4 5" xfId="14589" xr:uid="{A88B343E-41C9-41A7-A511-62989CCE3544}"/>
    <cellStyle name="Output 2 3 8 4 6" xfId="16266" xr:uid="{B7686E81-E64D-462E-B25A-60DE4B77C320}"/>
    <cellStyle name="Output 2 3 8 5" xfId="5977" xr:uid="{B11B33F2-9922-4373-A3FE-6C4AE7121FB8}"/>
    <cellStyle name="Output 2 3 8 6" xfId="5241" xr:uid="{1DD0D6A5-0447-437C-BD70-C147314969CF}"/>
    <cellStyle name="Output 2 3 8 7" xfId="6256" xr:uid="{C0303D2A-6698-43D5-B01A-62168F53608A}"/>
    <cellStyle name="Output 2 3 8 8" xfId="5600" xr:uid="{26ED523A-1E03-403C-971B-D85528E13112}"/>
    <cellStyle name="Output 2 3 8 9" xfId="11075" xr:uid="{4FFF9B32-526D-4363-868F-1180B9333B85}"/>
    <cellStyle name="Output 2 3 9" xfId="3366" xr:uid="{85DF9C54-DD43-4311-B88A-F281BB3E9D4F}"/>
    <cellStyle name="Output 2 3 9 10" xfId="15323" xr:uid="{C23DC7A4-3298-4405-B316-0AB50A7D57A0}"/>
    <cellStyle name="Output 2 3 9 2" xfId="4246" xr:uid="{2CF92DFA-5F75-42C1-BE1A-CC1185EADAA5}"/>
    <cellStyle name="Output 2 3 9 2 2" xfId="8169" xr:uid="{FA99EF95-AB3C-4EC7-A5AA-C76736B20B9A}"/>
    <cellStyle name="Output 2 3 9 2 3" xfId="9865" xr:uid="{113B835B-C8F0-452E-9C8B-57DB280F66DF}"/>
    <cellStyle name="Output 2 3 9 2 4" xfId="12848" xr:uid="{79BB2900-3A21-4AE5-B85E-07308E5F4CBB}"/>
    <cellStyle name="Output 2 3 9 2 5" xfId="14508" xr:uid="{EDF4D6EE-6D9F-4DC9-BA5D-131417B568C2}"/>
    <cellStyle name="Output 2 3 9 2 6" xfId="16188" xr:uid="{6D0A5874-527C-48B1-84E2-1E4D32BB6118}"/>
    <cellStyle name="Output 2 3 9 3" xfId="3806" xr:uid="{F61D9267-C07B-4EB4-B6B7-ADFCEF8D9365}"/>
    <cellStyle name="Output 2 3 9 3 2" xfId="7737" xr:uid="{42DF1E13-2BEB-4611-AE66-A744A24A2A1F}"/>
    <cellStyle name="Output 2 3 9 3 3" xfId="9425" xr:uid="{414DAE42-BDC0-482D-B9EC-1F5202AB5DEC}"/>
    <cellStyle name="Output 2 3 9 3 4" xfId="12416" xr:uid="{57BE0441-F9A8-442B-A32A-E23D9D470B9B}"/>
    <cellStyle name="Output 2 3 9 3 5" xfId="14068" xr:uid="{CF5B28D6-9CEA-49EE-A896-BC7593B06540}"/>
    <cellStyle name="Output 2 3 9 3 6" xfId="15756" xr:uid="{AC168E88-4DAC-4445-A17E-D888A2093679}"/>
    <cellStyle name="Output 2 3 9 4" xfId="4422" xr:uid="{547E078F-FDA9-4C2E-8E85-9688FB59A6E1}"/>
    <cellStyle name="Output 2 3 9 4 2" xfId="8339" xr:uid="{8886E194-B6D5-4162-B501-696E4981697C}"/>
    <cellStyle name="Output 2 3 9 4 3" xfId="10039" xr:uid="{270149A9-E1EA-4012-97F4-68177CBDF44E}"/>
    <cellStyle name="Output 2 3 9 4 4" xfId="13016" xr:uid="{16F0373B-CFBF-4ED1-9727-CFF8D9453AEB}"/>
    <cellStyle name="Output 2 3 9 4 5" xfId="14682" xr:uid="{04063409-62EA-47ED-A539-0D001B2A2447}"/>
    <cellStyle name="Output 2 3 9 4 6" xfId="16356" xr:uid="{78EC2933-2001-41A2-B716-E00805A60008}"/>
    <cellStyle name="Output 2 3 9 5" xfId="6124" xr:uid="{F04F1BBE-E971-4455-9EA0-9424FF5D086B}"/>
    <cellStyle name="Output 2 3 9 6" xfId="5750" xr:uid="{56115AEF-7299-4A74-B938-3F0226CD486B}"/>
    <cellStyle name="Output 2 3 9 7" xfId="10756" xr:uid="{5DCB816F-0A74-4C5B-9948-4A51B5F085CE}"/>
    <cellStyle name="Output 2 3 9 8" xfId="10639" xr:uid="{12D653FB-FC37-4ABA-ADB4-D21D0AF6A476}"/>
    <cellStyle name="Output 2 3 9 9" xfId="13632" xr:uid="{6B245772-CEB5-4444-B2D6-C64726545BE9}"/>
    <cellStyle name="Output 2 4" xfId="3080" xr:uid="{8B15EB9A-F730-445A-8B8C-5389A9196924}"/>
    <cellStyle name="Output 2 4 2" xfId="3960" xr:uid="{89DD0872-D78D-4BFD-8389-AC4D0ED571A0}"/>
    <cellStyle name="Output 2 4 2 2" xfId="7887" xr:uid="{2F5DEF88-6EBD-4F49-A4B6-843F21685F89}"/>
    <cellStyle name="Output 2 4 2 3" xfId="9579" xr:uid="{1A313F5F-1A9C-4DB5-88FB-F730F3FEF56A}"/>
    <cellStyle name="Output 2 4 2 4" xfId="12566" xr:uid="{50A490C8-0825-4A1F-8331-F08B648C8AE7}"/>
    <cellStyle name="Output 2 4 2 5" xfId="14222" xr:uid="{A52356D4-0A36-4065-B9C1-7C2D5E2CE09E}"/>
    <cellStyle name="Output 2 4 2 6" xfId="15906" xr:uid="{3B008871-00C5-4A95-B188-5CED745B359C}"/>
    <cellStyle name="Output 2 4 3" xfId="3522" xr:uid="{3595B19C-FD73-493B-B857-180F9F108444}"/>
    <cellStyle name="Output 2 4 3 2" xfId="5143" xr:uid="{D752EF25-B144-498B-BB08-B51FF73D162A}"/>
    <cellStyle name="Output 2 4 3 3" xfId="9141" xr:uid="{9E2D0475-63E6-47D3-8CB2-76031A0DEB35}"/>
    <cellStyle name="Output 2 4 3 4" xfId="12134" xr:uid="{F770C5D1-7245-49A5-99E3-9F048C252BC0}"/>
    <cellStyle name="Output 2 4 3 5" xfId="13784" xr:uid="{F02638A1-6403-429A-862A-9364D8394429}"/>
    <cellStyle name="Output 2 4 3 6" xfId="15474" xr:uid="{A600F77E-2592-46A2-980F-2190D097021E}"/>
    <cellStyle name="Output 2 4 4" xfId="5729" xr:uid="{F8AB9C3D-1E0C-440A-B9AC-609A04E0FF8B}"/>
    <cellStyle name="Output 2 5" xfId="3230" xr:uid="{3E629E39-96C8-47DF-BED7-ADB9F601540A}"/>
    <cellStyle name="Output 2 5 10" xfId="15282" xr:uid="{323F6E86-64DA-4E83-8675-701D6A67E345}"/>
    <cellStyle name="Output 2 5 2" xfId="4110" xr:uid="{128F42C7-80B9-41F7-BE4D-A6143963F00C}"/>
    <cellStyle name="Output 2 5 2 2" xfId="8035" xr:uid="{ED19E9A2-715A-4567-B3E3-19AE04A3CB8F}"/>
    <cellStyle name="Output 2 5 2 3" xfId="9729" xr:uid="{0DAD4CA7-B815-42CF-97F5-E69F6B83AEE5}"/>
    <cellStyle name="Output 2 5 2 4" xfId="12714" xr:uid="{BC72123F-13EE-4084-9C32-47866A504653}"/>
    <cellStyle name="Output 2 5 2 5" xfId="14372" xr:uid="{6C3187F1-EC89-40BF-9946-20C4674ADABD}"/>
    <cellStyle name="Output 2 5 2 6" xfId="16054" xr:uid="{C2F12A65-CB0A-4E7C-9C34-6431C096208E}"/>
    <cellStyle name="Output 2 5 3" xfId="3672" xr:uid="{C9D0AF27-3864-4F4D-A186-5BB62B40CD08}"/>
    <cellStyle name="Output 2 5 3 2" xfId="7603" xr:uid="{72DDAA01-5BB6-44D6-9954-24437D2CB813}"/>
    <cellStyle name="Output 2 5 3 3" xfId="9291" xr:uid="{13A29B80-8B4E-4DC1-A0A9-E88E0BCF05E1}"/>
    <cellStyle name="Output 2 5 3 4" xfId="12282" xr:uid="{8A53E3CE-19A9-46CF-BAAC-35ED355DD319}"/>
    <cellStyle name="Output 2 5 3 5" xfId="13934" xr:uid="{F29C83B0-CBF2-47CA-99B1-5C336F68D021}"/>
    <cellStyle name="Output 2 5 3 6" xfId="15622" xr:uid="{BBCECAB5-F136-41DA-9F8C-989B306F62B5}"/>
    <cellStyle name="Output 2 5 4" xfId="4379" xr:uid="{C77693B9-4F24-4A21-82AE-4D461E3B16A9}"/>
    <cellStyle name="Output 2 5 4 2" xfId="8298" xr:uid="{E0C07C32-3506-44F8-9A00-59BC3FAB079A}"/>
    <cellStyle name="Output 2 5 4 3" xfId="9996" xr:uid="{34C6A6F0-BE5F-4A79-A877-F127C33FCF4D}"/>
    <cellStyle name="Output 2 5 4 4" xfId="12975" xr:uid="{CB0FEE28-4055-46D8-AF8E-399F08B328CA}"/>
    <cellStyle name="Output 2 5 4 5" xfId="14639" xr:uid="{D5F54648-1C56-4CBE-8ADE-A90C8C5A20AA}"/>
    <cellStyle name="Output 2 5 4 6" xfId="16315" xr:uid="{AF7DEE0A-B6FD-420A-9DC7-B1AF724BD9CF}"/>
    <cellStyle name="Output 2 5 5" xfId="6052" xr:uid="{25245E26-170C-414E-980F-E981479A5512}"/>
    <cellStyle name="Output 2 5 6" xfId="5722" xr:uid="{043619DE-08DD-4721-8EF9-6F83220FDCD0}"/>
    <cellStyle name="Output 2 5 7" xfId="10694" xr:uid="{2CA1C902-7FF3-4C27-9333-19673AC4F6AD}"/>
    <cellStyle name="Output 2 5 8" xfId="5481" xr:uid="{CCE9B84A-7864-400C-B42F-4B3C5A0E7FF7}"/>
    <cellStyle name="Output 2 5 9" xfId="11065" xr:uid="{E6CA9209-9523-4C22-AA84-06B0E34C1D01}"/>
    <cellStyle name="Output 2 6" xfId="3033" xr:uid="{77DE3E37-F481-4B62-9567-7FAF970052B9}"/>
    <cellStyle name="Output 2 6 10" xfId="11441" xr:uid="{B03A09D9-EAED-4BCD-9A05-9F8E596B3FAA}"/>
    <cellStyle name="Output 2 6 2" xfId="3913" xr:uid="{50F1F7D0-F079-4531-87E7-4CA3D8BB90DC}"/>
    <cellStyle name="Output 2 6 2 2" xfId="7841" xr:uid="{D11EB073-EDC5-429C-8425-601E1E749345}"/>
    <cellStyle name="Output 2 6 2 3" xfId="9532" xr:uid="{C88456ED-6B5C-41EB-8764-C51098C9EE3F}"/>
    <cellStyle name="Output 2 6 2 4" xfId="12520" xr:uid="{C437E64A-06A7-4A52-818F-E45664F33316}"/>
    <cellStyle name="Output 2 6 2 5" xfId="14175" xr:uid="{BF4D00A8-7975-43E4-AC7D-28809FEEFC00}"/>
    <cellStyle name="Output 2 6 2 6" xfId="15860" xr:uid="{C97FC82D-7967-4A88-9CD6-1DDD40AEE6F0}"/>
    <cellStyle name="Output 2 6 3" xfId="3475" xr:uid="{45BF1C6A-6482-484D-A86B-292BE6B51C88}"/>
    <cellStyle name="Output 2 6 3 2" xfId="5088" xr:uid="{739CE598-C83C-4442-83BC-52DEA0C56D48}"/>
    <cellStyle name="Output 2 6 3 3" xfId="9094" xr:uid="{42D06F1B-ED82-4DC9-96F3-B7D4D6143BDE}"/>
    <cellStyle name="Output 2 6 3 4" xfId="5339" xr:uid="{61B0B4B9-0EC3-4C69-BA92-5C0DDA2C6D71}"/>
    <cellStyle name="Output 2 6 3 5" xfId="13737" xr:uid="{9F7A3A26-EFC6-47B6-9399-94E0D83422DD}"/>
    <cellStyle name="Output 2 6 3 6" xfId="15428" xr:uid="{B6DA16BA-D056-4A04-82ED-9E2A60CEEDDC}"/>
    <cellStyle name="Output 2 6 4" xfId="4285" xr:uid="{EBBFDA89-9525-47C2-9B38-2F987C8FDB9C}"/>
    <cellStyle name="Output 2 6 4 2" xfId="8207" xr:uid="{EB3D987E-EC93-4756-AC66-7FAC557EE5A8}"/>
    <cellStyle name="Output 2 6 4 3" xfId="9902" xr:uid="{D1ABB30C-AFF9-4A94-BF26-4AB3E3F84B1C}"/>
    <cellStyle name="Output 2 6 4 4" xfId="12884" xr:uid="{238909CD-BB19-4F43-830F-324B01E47CD1}"/>
    <cellStyle name="Output 2 6 4 5" xfId="14545" xr:uid="{322657DE-12AD-46CC-B23A-1BB6392712FE}"/>
    <cellStyle name="Output 2 6 4 6" xfId="16224" xr:uid="{1FBFDBCA-092F-4839-A720-DD2D9354A2BE}"/>
    <cellStyle name="Output 2 6 5" xfId="5919" xr:uid="{6A6DC79C-FBE2-4126-984B-AFE98D3D8FF9}"/>
    <cellStyle name="Output 2 6 6" xfId="5533" xr:uid="{8100E07B-2ED2-4C5D-A1AE-F3860473C216}"/>
    <cellStyle name="Output 2 6 7" xfId="5244" xr:uid="{45485998-E5C0-438D-A544-9BB9FFD87AA1}"/>
    <cellStyle name="Output 2 6 8" xfId="5605" xr:uid="{F11F5228-E896-4CB7-AB7B-683B893A2135}"/>
    <cellStyle name="Output 2 6 9" xfId="5448" xr:uid="{7422716D-8531-40C0-8C48-E417B8B3AD75}"/>
    <cellStyle name="Output 2 7" xfId="3845" xr:uid="{EEF2FB6D-6E69-49FF-8A9F-0614B62CE504}"/>
    <cellStyle name="Output 2 7 2" xfId="7774" xr:uid="{31083077-9077-4FFA-8EF8-DF71898D9ECE}"/>
    <cellStyle name="Output 2 7 3" xfId="9464" xr:uid="{4BDDEF6F-5E50-46F9-8F3F-3D19425A7C46}"/>
    <cellStyle name="Output 2 7 4" xfId="12453" xr:uid="{520FFF20-A62E-4CC2-BF56-D2040F44E4B5}"/>
    <cellStyle name="Output 2 7 5" xfId="14107" xr:uid="{3A731C79-BEA9-484D-AE8B-924A776D2E6D}"/>
    <cellStyle name="Output 2 7 6" xfId="15793" xr:uid="{AF62E6A5-10C3-4EB4-96F3-96C8A4F15B71}"/>
    <cellStyle name="Output 2 8" xfId="3408" xr:uid="{718979C4-AEDC-48CC-9890-AA520F2B051C}"/>
    <cellStyle name="Output 2 8 2" xfId="5968" xr:uid="{873CD606-1FD6-4B86-82A1-BD50ABB63107}"/>
    <cellStyle name="Output 2 8 3" xfId="9027" xr:uid="{EB5D12F3-6E11-46F0-83D0-1F3650083678}"/>
    <cellStyle name="Output 2 8 4" xfId="5314" xr:uid="{6D6DA8E7-0AC2-41EA-9F1E-EE724EFF20C9}"/>
    <cellStyle name="Output 2 8 5" xfId="13670" xr:uid="{44458D05-2592-42CF-B760-B5B22ED8F5FB}"/>
    <cellStyle name="Output 2 8 6" xfId="15361" xr:uid="{B4A5CA94-A5F6-4ED0-8785-EFA16A385427}"/>
    <cellStyle name="Output 2 9" xfId="5356" xr:uid="{896447C6-ECEE-4F6C-8417-460EE728AD6F}"/>
    <cellStyle name="Output 3" xfId="1722" xr:uid="{2E1854CE-E02F-4397-8DCB-6EEEF1558D84}"/>
    <cellStyle name="Output 3 10" xfId="6938" xr:uid="{14147BF1-8CBE-48E2-B040-3DB27292B78A}"/>
    <cellStyle name="Output 3 2" xfId="3000" xr:uid="{C5130398-8341-48DE-90CE-B62101ECF121}"/>
    <cellStyle name="Output 3 2 10" xfId="3883" xr:uid="{E4D94513-D14B-4B39-BB02-E987E7C207D9}"/>
    <cellStyle name="Output 3 2 10 2" xfId="7811" xr:uid="{3C175E20-A35D-4E74-9FDD-78056D6686A9}"/>
    <cellStyle name="Output 3 2 10 3" xfId="9502" xr:uid="{3AEE98CA-A5F5-4450-8B60-F15C3B1CEA56}"/>
    <cellStyle name="Output 3 2 10 4" xfId="12490" xr:uid="{D2E0D09E-876C-4EBA-B1C1-1886D1601D78}"/>
    <cellStyle name="Output 3 2 10 5" xfId="14145" xr:uid="{C40B7639-3AA9-4898-8386-CFFE589DDB06}"/>
    <cellStyle name="Output 3 2 10 6" xfId="15830" xr:uid="{9973566E-9BE3-4723-93B0-749DF79FF858}"/>
    <cellStyle name="Output 3 2 11" xfId="3445" xr:uid="{10F7A460-60B6-40B7-AC90-7A8F52050545}"/>
    <cellStyle name="Output 3 2 11 2" xfId="5195" xr:uid="{0E2356EA-C2D7-4179-8009-08BCD37A821B}"/>
    <cellStyle name="Output 3 2 11 3" xfId="9064" xr:uid="{2DBDB72D-9E2B-45FC-8850-762246B75D90}"/>
    <cellStyle name="Output 3 2 11 4" xfId="5334" xr:uid="{EE02FFC8-7655-4AFF-9590-EE5036B1BD4E}"/>
    <cellStyle name="Output 3 2 11 5" xfId="13707" xr:uid="{EBE7620B-7D4C-4C47-B345-A971BABD845D}"/>
    <cellStyle name="Output 3 2 11 6" xfId="15398" xr:uid="{B8BC73DF-53D7-40F9-ADAA-0C39EBDC8061}"/>
    <cellStyle name="Output 3 2 12" xfId="5545" xr:uid="{8FEB2253-A5B5-4382-BC1A-55CB138DB3E9}"/>
    <cellStyle name="Output 3 2 13" xfId="5401" xr:uid="{D2D25AFF-0E4C-4A50-B02E-BB004F20D4DF}"/>
    <cellStyle name="Output 3 2 2" xfId="3012" xr:uid="{5FAEB5D4-C211-4946-8F63-D80B80583257}"/>
    <cellStyle name="Output 3 2 2 10" xfId="3892" xr:uid="{E62B061C-B808-4B2D-B0DC-335B914BA326}"/>
    <cellStyle name="Output 3 2 2 10 2" xfId="7820" xr:uid="{5851D857-BAE9-4E5F-B545-938595A9F163}"/>
    <cellStyle name="Output 3 2 2 10 3" xfId="9511" xr:uid="{F58F9556-8C81-4C80-968A-825B27BD65AF}"/>
    <cellStyle name="Output 3 2 2 10 4" xfId="12499" xr:uid="{2FAF373A-4190-427E-B7DC-5D2C58F25CDF}"/>
    <cellStyle name="Output 3 2 2 10 5" xfId="14154" xr:uid="{84AC7CFC-16AB-4119-9733-4A7214D20F5E}"/>
    <cellStyle name="Output 3 2 2 10 6" xfId="15839" xr:uid="{56CC6A88-C119-4B33-9E7A-23851B76B1DE}"/>
    <cellStyle name="Output 3 2 2 11" xfId="3454" xr:uid="{483A6CEE-763B-4FD9-8FDC-BF81DDEDBC45}"/>
    <cellStyle name="Output 3 2 2 11 2" xfId="5071" xr:uid="{A7447429-E722-4B67-A3E2-7DCBEE0995BD}"/>
    <cellStyle name="Output 3 2 2 11 3" xfId="9073" xr:uid="{1264CE39-B45E-45FE-9A2E-C087DA66C662}"/>
    <cellStyle name="Output 3 2 2 11 4" xfId="5705" xr:uid="{1A0D669D-C424-484E-9DB6-24D115B86A72}"/>
    <cellStyle name="Output 3 2 2 11 5" xfId="13716" xr:uid="{6093ABA1-433C-4E44-ACAD-D392516FDE2E}"/>
    <cellStyle name="Output 3 2 2 11 6" xfId="15407" xr:uid="{E1001998-E115-4C9D-8D4C-0FB9FBBF795C}"/>
    <cellStyle name="Output 3 2 2 12" xfId="5559" xr:uid="{66A71C7F-B3D7-4DB8-BF08-AD02F3BB9792}"/>
    <cellStyle name="Output 3 2 2 13" xfId="5547" xr:uid="{465A957C-F5B1-4933-B801-2D97657ABE12}"/>
    <cellStyle name="Output 3 2 2 2" xfId="3162" xr:uid="{B0B8AE06-673E-4E97-8BAA-EC45663D86D1}"/>
    <cellStyle name="Output 3 2 2 2 2" xfId="4042" xr:uid="{CF1BB70E-F2B0-4259-92E6-27560A6A9334}"/>
    <cellStyle name="Output 3 2 2 2 2 2" xfId="7968" xr:uid="{7A06C2D4-F060-49AB-A405-DA8FACC1C454}"/>
    <cellStyle name="Output 3 2 2 2 2 3" xfId="9661" xr:uid="{A30D888E-9BE4-46C5-90C0-17EE92B9FF6E}"/>
    <cellStyle name="Output 3 2 2 2 2 4" xfId="12647" xr:uid="{36EE2D5D-C896-49C3-B6C8-F17FFC0B0004}"/>
    <cellStyle name="Output 3 2 2 2 2 5" xfId="14304" xr:uid="{AB2AB015-05D1-4C5C-8E0C-24E758D51E75}"/>
    <cellStyle name="Output 3 2 2 2 2 6" xfId="15987" xr:uid="{A97F9DB9-FDF9-461E-9D12-C897CDD94C99}"/>
    <cellStyle name="Output 3 2 2 2 3" xfId="3604" xr:uid="{DED4E8F6-4F13-40C7-A984-C75480F64C67}"/>
    <cellStyle name="Output 3 2 2 2 3 2" xfId="7536" xr:uid="{028D50AC-8EF0-45AB-8A25-448BC0C80DB3}"/>
    <cellStyle name="Output 3 2 2 2 3 3" xfId="9223" xr:uid="{BB66530A-1EB8-47B1-A446-E57A53A9FECD}"/>
    <cellStyle name="Output 3 2 2 2 3 4" xfId="12215" xr:uid="{9A2B6A98-1A9C-4BB5-8350-6A84AE2E82D5}"/>
    <cellStyle name="Output 3 2 2 2 3 5" xfId="13866" xr:uid="{EA93DA6F-EE29-422F-9276-763153095788}"/>
    <cellStyle name="Output 3 2 2 2 3 6" xfId="15555" xr:uid="{F678CBFF-63D0-48A0-AE98-807B377F7481}"/>
    <cellStyle name="Output 3 2 2 2 4" xfId="6771" xr:uid="{DAFAB8A2-B68F-434F-AF8D-BE733D3794F0}"/>
    <cellStyle name="Output 3 2 2 3" xfId="3021" xr:uid="{A0D31856-CBB9-42D2-AA96-0FAFC58E1B63}"/>
    <cellStyle name="Output 3 2 2 3 2" xfId="3901" xr:uid="{080DC901-5A31-4C53-8419-FD9940D827EE}"/>
    <cellStyle name="Output 3 2 2 3 2 2" xfId="7829" xr:uid="{21C1ADE6-18FE-44B6-A8BB-B3F8A8D87757}"/>
    <cellStyle name="Output 3 2 2 3 2 3" xfId="9520" xr:uid="{9FA66E24-D2E1-4026-A353-909EEF798486}"/>
    <cellStyle name="Output 3 2 2 3 2 4" xfId="12508" xr:uid="{ED1C9E8E-0514-400C-B00B-17C3024A9E5B}"/>
    <cellStyle name="Output 3 2 2 3 2 5" xfId="14163" xr:uid="{17370509-55B5-4FC3-B170-382D97E8A8A1}"/>
    <cellStyle name="Output 3 2 2 3 2 6" xfId="15848" xr:uid="{9158E000-B8EF-4CAE-8762-552C56562771}"/>
    <cellStyle name="Output 3 2 2 3 3" xfId="3463" xr:uid="{CBEEB8D7-EC21-4C3F-9202-67D583F436B4}"/>
    <cellStyle name="Output 3 2 2 3 3 2" xfId="5183" xr:uid="{6767A533-630B-4125-8706-D351B66E7A8C}"/>
    <cellStyle name="Output 3 2 2 3 3 3" xfId="9082" xr:uid="{CE42C992-96E1-41E2-9E59-C9D505EB070B}"/>
    <cellStyle name="Output 3 2 2 3 3 4" xfId="5472" xr:uid="{722C465E-6A2D-4B9B-AC0C-5CCA9C5325B6}"/>
    <cellStyle name="Output 3 2 2 3 3 5" xfId="13725" xr:uid="{53F03D27-8AB6-4FFC-864F-49A5B78D672B}"/>
    <cellStyle name="Output 3 2 2 3 3 6" xfId="15416" xr:uid="{D97192D9-6A84-441E-AB29-20A20AB44CF4}"/>
    <cellStyle name="Output 3 2 2 3 4" xfId="6356" xr:uid="{224B5EF1-09A6-4004-900D-CAF674E9E45A}"/>
    <cellStyle name="Output 3 2 2 4" xfId="3333" xr:uid="{BF46B6F3-2609-4671-84CB-BE80215CD7EB}"/>
    <cellStyle name="Output 3 2 2 4 2" xfId="4213" xr:uid="{0FCB807B-3802-41A0-9AD4-8421D3B5D133}"/>
    <cellStyle name="Output 3 2 2 4 2 2" xfId="8137" xr:uid="{81229B72-2A9D-4E05-8A89-50572C87A0C1}"/>
    <cellStyle name="Output 3 2 2 4 2 3" xfId="9832" xr:uid="{77BB1FB4-DC4D-4EDA-815B-8D9E2964036C}"/>
    <cellStyle name="Output 3 2 2 4 2 4" xfId="12816" xr:uid="{DAFBC0D1-D80D-4A54-8E88-B560A04BA921}"/>
    <cellStyle name="Output 3 2 2 4 2 5" xfId="14475" xr:uid="{EC446C07-0354-4998-BFE3-7BBE34F63406}"/>
    <cellStyle name="Output 3 2 2 4 2 6" xfId="16156" xr:uid="{8D00ABA9-1D77-4F0E-A7E3-EB6D0E35A4AF}"/>
    <cellStyle name="Output 3 2 2 4 3" xfId="3774" xr:uid="{53A0EE59-88D3-4ECC-A058-0779B2D2771C}"/>
    <cellStyle name="Output 3 2 2 4 3 2" xfId="7705" xr:uid="{E26B1007-CF88-456E-BFAB-736D8F4AC649}"/>
    <cellStyle name="Output 3 2 2 4 3 3" xfId="9393" xr:uid="{CCF3F41B-53BA-4089-96DA-ABFA865A0609}"/>
    <cellStyle name="Output 3 2 2 4 3 4" xfId="12384" xr:uid="{433E6FD9-8EB3-4D08-9F79-23985F35C2D6}"/>
    <cellStyle name="Output 3 2 2 4 3 5" xfId="14036" xr:uid="{C717DD12-A577-456A-AA05-49C739608195}"/>
    <cellStyle name="Output 3 2 2 4 3 6" xfId="15724" xr:uid="{DED0D502-2AE7-4446-A171-2D6053A57559}"/>
    <cellStyle name="Output 3 2 2 4 4" xfId="8996" xr:uid="{EDCB3BCB-63AB-40FE-B119-ECC6036965CC}"/>
    <cellStyle name="Output 3 2 2 5" xfId="3344" xr:uid="{3D112E1C-06DB-4726-AE88-F1CE0C83A2AF}"/>
    <cellStyle name="Output 3 2 2 5 2" xfId="4224" xr:uid="{4FE3E67C-C45C-4D03-8C7B-B0DA11DB5B79}"/>
    <cellStyle name="Output 3 2 2 5 2 2" xfId="8147" xr:uid="{1E5741C3-3A23-4232-8166-11F8CE3ADF3B}"/>
    <cellStyle name="Output 3 2 2 5 2 3" xfId="9843" xr:uid="{44D5C5FA-A897-4866-9D33-7492AE15CFCE}"/>
    <cellStyle name="Output 3 2 2 5 2 4" xfId="12826" xr:uid="{2DA8ACD3-9CA2-4916-96F3-A1ED1F022CF3}"/>
    <cellStyle name="Output 3 2 2 5 2 5" xfId="14486" xr:uid="{E5A8B4CA-8525-462A-A1BB-A55D4BA7E3FD}"/>
    <cellStyle name="Output 3 2 2 5 2 6" xfId="16166" xr:uid="{9783D4FF-0455-4D94-8834-0E1771F84357}"/>
    <cellStyle name="Output 3 2 2 5 3" xfId="3784" xr:uid="{9DD2E722-0405-47C1-AA06-5C7888001A8C}"/>
    <cellStyle name="Output 3 2 2 5 3 2" xfId="7715" xr:uid="{CCBB7131-81C8-4C30-9495-0CD38AFE99AB}"/>
    <cellStyle name="Output 3 2 2 5 3 3" xfId="9403" xr:uid="{2B4747A8-8C61-4E39-BB78-B9E14049953C}"/>
    <cellStyle name="Output 3 2 2 5 3 4" xfId="12394" xr:uid="{AEF59E94-2E27-4AC7-B1B7-6DEFC3DE6A22}"/>
    <cellStyle name="Output 3 2 2 5 3 5" xfId="14046" xr:uid="{F41C5BEE-586C-48FD-BAE0-B80052452D3D}"/>
    <cellStyle name="Output 3 2 2 5 3 6" xfId="15734" xr:uid="{25491362-64EE-4168-8A6A-6F3CD18E629E}"/>
    <cellStyle name="Output 3 2 2 5 4" xfId="9005" xr:uid="{D6BFEE47-F039-472F-AD8B-6C3A9B1137E0}"/>
    <cellStyle name="Output 3 2 2 6" xfId="3353" xr:uid="{1D727679-B93C-4343-BD16-02FA45A43EA6}"/>
    <cellStyle name="Output 3 2 2 6 10" xfId="15310" xr:uid="{0F2F1E3B-FB54-4437-8FC6-303820D4A41F}"/>
    <cellStyle name="Output 3 2 2 6 2" xfId="4233" xr:uid="{D5C7C370-1CDE-4C7A-B805-7CAAAE55E0DA}"/>
    <cellStyle name="Output 3 2 2 6 2 2" xfId="8156" xr:uid="{F600EF5B-D5DE-4967-9DAE-DC63679695EC}"/>
    <cellStyle name="Output 3 2 2 6 2 3" xfId="9852" xr:uid="{AEBABEC4-FB88-4CA9-B515-6CAF79D4805A}"/>
    <cellStyle name="Output 3 2 2 6 2 4" xfId="12835" xr:uid="{E53E19B5-6E20-4129-925A-09E97DD79A31}"/>
    <cellStyle name="Output 3 2 2 6 2 5" xfId="14495" xr:uid="{A7DA5A7B-FE04-4E44-8200-CEAEC5F7896D}"/>
    <cellStyle name="Output 3 2 2 6 2 6" xfId="16175" xr:uid="{9575F8D6-B354-4C09-9E8A-ED9FF116EEF1}"/>
    <cellStyle name="Output 3 2 2 6 3" xfId="3793" xr:uid="{BD4E6914-8C0E-43D4-BB7B-DD7EA039AFC2}"/>
    <cellStyle name="Output 3 2 2 6 3 2" xfId="7724" xr:uid="{B16685B1-536E-42FB-AEC5-C2169146183A}"/>
    <cellStyle name="Output 3 2 2 6 3 3" xfId="9412" xr:uid="{0ECD46AA-D25D-4085-8748-86A719353A45}"/>
    <cellStyle name="Output 3 2 2 6 3 4" xfId="12403" xr:uid="{B5CFDA82-6B9C-4604-AFD2-8A4335B54435}"/>
    <cellStyle name="Output 3 2 2 6 3 5" xfId="14055" xr:uid="{3B8A6E3F-A2D7-483F-AEC6-94C602C346A5}"/>
    <cellStyle name="Output 3 2 2 6 3 6" xfId="15743" xr:uid="{DA2496D8-DE44-457E-94DD-328503411FD1}"/>
    <cellStyle name="Output 3 2 2 6 4" xfId="4409" xr:uid="{B096B39B-6794-4BF8-AC68-28131962A7FF}"/>
    <cellStyle name="Output 3 2 2 6 4 2" xfId="8326" xr:uid="{6347B17C-659A-4EB2-968E-5C20763D5C44}"/>
    <cellStyle name="Output 3 2 2 6 4 3" xfId="10026" xr:uid="{0C1CFA55-57C4-44F8-9F62-31CD45CD64D6}"/>
    <cellStyle name="Output 3 2 2 6 4 4" xfId="13003" xr:uid="{D8076D77-7F69-4EAF-91C5-B6828F52498A}"/>
    <cellStyle name="Output 3 2 2 6 4 5" xfId="14669" xr:uid="{8BD6F018-8947-49C9-B116-3574CC33B618}"/>
    <cellStyle name="Output 3 2 2 6 4 6" xfId="16343" xr:uid="{1E9D1F9E-042F-4B8F-B70B-1661204796EA}"/>
    <cellStyle name="Output 3 2 2 6 5" xfId="6111" xr:uid="{630C2A53-F863-4DA0-B4F0-370C96E3A0B8}"/>
    <cellStyle name="Output 3 2 2 6 6" xfId="5649" xr:uid="{8CB472A5-C897-41C3-98A3-A9C04A844347}"/>
    <cellStyle name="Output 3 2 2 6 7" xfId="10743" xr:uid="{AD5E34BC-34A5-4AB9-A392-8F1B72029CF1}"/>
    <cellStyle name="Output 3 2 2 6 8" xfId="10638" xr:uid="{E2ACE1A2-0BF5-4292-A599-FA8F32D7AD17}"/>
    <cellStyle name="Output 3 2 2 6 9" xfId="13619" xr:uid="{00BE4DF8-32E1-413A-9A5B-7F5E94294B11}"/>
    <cellStyle name="Output 3 2 2 7" xfId="3078" xr:uid="{4939190B-82E5-4192-B314-43DB974700F8}"/>
    <cellStyle name="Output 3 2 2 7 2" xfId="3958" xr:uid="{08B6E7D4-0AC2-44E9-BF6A-4244D154D600}"/>
    <cellStyle name="Output 3 2 2 7 2 2" xfId="7885" xr:uid="{7165341B-1A5F-41C3-A5E7-472CA0F4CE24}"/>
    <cellStyle name="Output 3 2 2 7 2 3" xfId="9577" xr:uid="{96CEA7BA-F1AD-40DC-8DF7-1C78B2DA0E19}"/>
    <cellStyle name="Output 3 2 2 7 2 4" xfId="12564" xr:uid="{4AC28F5F-5D85-4079-989A-4C5099949EB4}"/>
    <cellStyle name="Output 3 2 2 7 2 5" xfId="14220" xr:uid="{C23EF5D8-16EF-44CA-BF54-0E6717401540}"/>
    <cellStyle name="Output 3 2 2 7 2 6" xfId="15904" xr:uid="{C22E80B6-5203-4219-AF28-2C490D718FB1}"/>
    <cellStyle name="Output 3 2 2 7 3" xfId="3520" xr:uid="{6727B8E0-9876-413D-9735-6DA5B44AD75B}"/>
    <cellStyle name="Output 3 2 2 7 3 2" xfId="5145" xr:uid="{B5CFA138-7398-4E44-95E1-363F7B8BA014}"/>
    <cellStyle name="Output 3 2 2 7 3 3" xfId="9139" xr:uid="{4A9F1E9E-C0AE-4411-A02F-9911DF4437FA}"/>
    <cellStyle name="Output 3 2 2 7 3 4" xfId="12132" xr:uid="{C8D2E715-19BF-4E0C-A4EE-D947F866E879}"/>
    <cellStyle name="Output 3 2 2 7 3 5" xfId="13782" xr:uid="{0F68F8B5-9BA1-4EAD-B5A3-E9AFCE6E3815}"/>
    <cellStyle name="Output 3 2 2 7 3 6" xfId="15472" xr:uid="{7157ECEF-5132-43F8-BF0D-97E1505F1C07}"/>
    <cellStyle name="Output 3 2 2 7 4" xfId="5267" xr:uid="{9A033398-3E07-4F71-A41C-804F3C924D83}"/>
    <cellStyle name="Output 3 2 2 8" xfId="3198" xr:uid="{4E3E273A-C309-497A-BB64-110EE979491B}"/>
    <cellStyle name="Output 3 2 2 8 10" xfId="6776" xr:uid="{F7AB5A9C-5083-498F-94EF-A8F2CF11462F}"/>
    <cellStyle name="Output 3 2 2 8 2" xfId="4078" xr:uid="{56BF627B-B5BE-4135-B3E4-583E9F87A336}"/>
    <cellStyle name="Output 3 2 2 8 2 2" xfId="8003" xr:uid="{09681CF1-C3DE-486D-9C58-07E81A510F34}"/>
    <cellStyle name="Output 3 2 2 8 2 3" xfId="9697" xr:uid="{1FD52116-F94A-489E-BD59-E57183341256}"/>
    <cellStyle name="Output 3 2 2 8 2 4" xfId="12682" xr:uid="{85DB7FFD-2FC0-4994-8E22-B90F039958A5}"/>
    <cellStyle name="Output 3 2 2 8 2 5" xfId="14340" xr:uid="{23B8536D-77F5-49B1-85C6-0BC0EAD05A80}"/>
    <cellStyle name="Output 3 2 2 8 2 6" xfId="16022" xr:uid="{76D323D3-90CC-40B0-98C2-AE8AFE8D495F}"/>
    <cellStyle name="Output 3 2 2 8 3" xfId="3640" xr:uid="{195F3C81-411E-466B-845A-5EC623362DD1}"/>
    <cellStyle name="Output 3 2 2 8 3 2" xfId="7571" xr:uid="{4CF6F7D1-8293-496E-B833-FD61997ADBC4}"/>
    <cellStyle name="Output 3 2 2 8 3 3" xfId="9259" xr:uid="{18A8DD10-C2F9-40A6-A7ED-75D5746959E6}"/>
    <cellStyle name="Output 3 2 2 8 3 4" xfId="12250" xr:uid="{7B621324-CA7B-4883-8566-1661BD85BA3A}"/>
    <cellStyle name="Output 3 2 2 8 3 5" xfId="13902" xr:uid="{202F0695-A494-4BDD-923F-C7972D8EFBC5}"/>
    <cellStyle name="Output 3 2 2 8 3 6" xfId="15590" xr:uid="{62B48D92-DE08-4C35-ACC0-EB50DCDB234C}"/>
    <cellStyle name="Output 3 2 2 8 4" xfId="4357" xr:uid="{132653FE-DB56-4232-A3F7-F7AB4A33003C}"/>
    <cellStyle name="Output 3 2 2 8 4 2" xfId="8276" xr:uid="{E0754233-696C-41B1-9400-3BBE27195A89}"/>
    <cellStyle name="Output 3 2 2 8 4 3" xfId="9974" xr:uid="{E61C6E1D-029B-479D-95E3-C995013E041D}"/>
    <cellStyle name="Output 3 2 2 8 4 4" xfId="12953" xr:uid="{900CBA78-D7C3-48C8-B337-85251D602FCF}"/>
    <cellStyle name="Output 3 2 2 8 4 5" xfId="14617" xr:uid="{63BD8235-2C9B-4E78-8234-715F67FB7712}"/>
    <cellStyle name="Output 3 2 2 8 4 6" xfId="16293" xr:uid="{E643379B-1815-4990-9721-7DBF55856B64}"/>
    <cellStyle name="Output 3 2 2 8 5" xfId="6024" xr:uid="{706518CF-7F4A-4C1B-B000-60A339F0193F}"/>
    <cellStyle name="Output 3 2 2 8 6" xfId="5587" xr:uid="{95EADDCE-AE6F-4142-8153-39ED63A99A91}"/>
    <cellStyle name="Output 3 2 2 8 7" xfId="10669" xr:uid="{B477F562-9030-4FD3-A4DB-FCEB23AFD0AD}"/>
    <cellStyle name="Output 3 2 2 8 8" xfId="5289" xr:uid="{40E1E364-E0B7-4BD0-9BE9-98C5D0A76AEB}"/>
    <cellStyle name="Output 3 2 2 8 9" xfId="11076" xr:uid="{8F87C1EB-A946-4324-A2F9-59E13F213B0B}"/>
    <cellStyle name="Output 3 2 2 9" xfId="3072" xr:uid="{6E6010E3-30F2-427F-959B-277D38A2A7E7}"/>
    <cellStyle name="Output 3 2 2 9 10" xfId="11078" xr:uid="{33E84128-E377-4187-8FE7-C5E08CC91F77}"/>
    <cellStyle name="Output 3 2 2 9 2" xfId="3952" xr:uid="{6375E82A-073D-43E1-B36B-71A33D5FA0E7}"/>
    <cellStyle name="Output 3 2 2 9 2 2" xfId="7879" xr:uid="{DEDD202E-60F0-4D7D-B02E-62D9DA66870B}"/>
    <cellStyle name="Output 3 2 2 9 2 3" xfId="9571" xr:uid="{D26766D0-371D-4D95-B61E-4DC04E92282E}"/>
    <cellStyle name="Output 3 2 2 9 2 4" xfId="12558" xr:uid="{0FA00779-602D-448C-9AF4-8F12ECBBB1A5}"/>
    <cellStyle name="Output 3 2 2 9 2 5" xfId="14214" xr:uid="{EAD693CB-30D4-4316-A731-0F78511D7C94}"/>
    <cellStyle name="Output 3 2 2 9 2 6" xfId="15898" xr:uid="{46B581F1-8C60-4C6C-AB63-7EB09D284176}"/>
    <cellStyle name="Output 3 2 2 9 3" xfId="3514" xr:uid="{24F4B4EB-83FF-4663-AE71-C834A5229008}"/>
    <cellStyle name="Output 3 2 2 9 3 2" xfId="5090" xr:uid="{0243E273-81B2-44F8-91A8-7A82835922F7}"/>
    <cellStyle name="Output 3 2 2 9 3 3" xfId="9133" xr:uid="{9178E983-3552-41BF-816F-20451F37B7E0}"/>
    <cellStyle name="Output 3 2 2 9 3 4" xfId="6583" xr:uid="{06878F26-779D-4D6F-95D1-042514D7C71A}"/>
    <cellStyle name="Output 3 2 2 9 3 5" xfId="13776" xr:uid="{B6C46AEC-D40B-4156-B700-1EB990F3A2E9}"/>
    <cellStyle name="Output 3 2 2 9 3 6" xfId="15466" xr:uid="{FDAF31B4-3AB1-41C1-9AC9-8905C3D9A558}"/>
    <cellStyle name="Output 3 2 2 9 4" xfId="4311" xr:uid="{1DFC2B8E-ACD2-47CF-B7DC-DB7DE6A2D475}"/>
    <cellStyle name="Output 3 2 2 9 4 2" xfId="8232" xr:uid="{EEFABF56-E636-4E8C-BD2C-CA5F3025B746}"/>
    <cellStyle name="Output 3 2 2 9 4 3" xfId="9928" xr:uid="{D426368B-5678-4621-8E88-4D85726AA2EC}"/>
    <cellStyle name="Output 3 2 2 9 4 4" xfId="12909" xr:uid="{569604FF-4E12-4357-A820-487DEDC3E5AD}"/>
    <cellStyle name="Output 3 2 2 9 4 5" xfId="14571" xr:uid="{E93CD500-859D-4840-869D-A73672A07C33}"/>
    <cellStyle name="Output 3 2 2 9 4 6" xfId="16249" xr:uid="{047BF87B-9CE9-4F6D-B34F-1F594C0077C1}"/>
    <cellStyle name="Output 3 2 2 9 5" xfId="5950" xr:uid="{AB37C881-B8BB-49BE-B29A-7A7AF72A91F1}"/>
    <cellStyle name="Output 3 2 2 9 6" xfId="5691" xr:uid="{58C7555D-7CCD-46CE-89A2-9A02C0D1DA99}"/>
    <cellStyle name="Output 3 2 2 9 7" xfId="5082" xr:uid="{27DB7198-4692-4EFD-96C8-233807BD4772}"/>
    <cellStyle name="Output 3 2 2 9 8" xfId="5024" xr:uid="{7165FE47-5065-49EC-BB2B-312DB457C3B2}"/>
    <cellStyle name="Output 3 2 2 9 9" xfId="5434" xr:uid="{F068E99B-517A-4F26-BE5B-B405FB5DB19C}"/>
    <cellStyle name="Output 3 2 3" xfId="3286" xr:uid="{CEDA1153-D609-4C35-988E-45CE95135E39}"/>
    <cellStyle name="Output 3 2 3 2" xfId="4166" xr:uid="{F10AB851-175A-4FA8-94D0-9313E00542D4}"/>
    <cellStyle name="Output 3 2 3 2 2" xfId="8091" xr:uid="{05DAF764-08E4-44E5-9CE5-753E832F97A1}"/>
    <cellStyle name="Output 3 2 3 2 3" xfId="9785" xr:uid="{7FCAAB41-A41F-4819-AF6E-2D39474D2D42}"/>
    <cellStyle name="Output 3 2 3 2 4" xfId="12770" xr:uid="{31924DF0-8C7F-4C45-A908-242785A3AC27}"/>
    <cellStyle name="Output 3 2 3 2 5" xfId="14428" xr:uid="{79B80AC1-C4F6-4706-9968-447DB123642C}"/>
    <cellStyle name="Output 3 2 3 2 6" xfId="16110" xr:uid="{4DA58300-83FC-4F49-AC64-B9B5F68462EA}"/>
    <cellStyle name="Output 3 2 3 3" xfId="3728" xr:uid="{59278847-9FEC-451E-88E9-C2A61570E54E}"/>
    <cellStyle name="Output 3 2 3 3 2" xfId="7659" xr:uid="{C2838524-5436-4563-A619-ACBE9F5AC5E2}"/>
    <cellStyle name="Output 3 2 3 3 3" xfId="9347" xr:uid="{A9F0F444-18CB-4E9C-A816-C003EEF951CF}"/>
    <cellStyle name="Output 3 2 3 3 4" xfId="12338" xr:uid="{88C050FF-8DFB-4838-97E3-B98005B41037}"/>
    <cellStyle name="Output 3 2 3 3 5" xfId="13990" xr:uid="{81EFD8E4-902C-44AE-8F9F-7E33DF046872}"/>
    <cellStyle name="Output 3 2 3 3 6" xfId="15678" xr:uid="{49736B11-A5F4-4344-85E5-479F6F42270C}"/>
    <cellStyle name="Output 3 2 3 4" xfId="8953" xr:uid="{ABAFFCE5-248F-42D4-A8A2-04DDD23314C5}"/>
    <cellStyle name="Output 3 2 4" xfId="3152" xr:uid="{3E328FB5-850D-43F6-A5B3-92809DAB7EA4}"/>
    <cellStyle name="Output 3 2 4 2" xfId="4032" xr:uid="{18E2E771-6532-4A43-ACA0-D9D6F2DAE2BB}"/>
    <cellStyle name="Output 3 2 4 2 2" xfId="7958" xr:uid="{C19AB438-D85C-4560-81DF-F9348C333771}"/>
    <cellStyle name="Output 3 2 4 2 3" xfId="9651" xr:uid="{246E59F1-2DFE-4DE0-8E90-A39F79581C72}"/>
    <cellStyle name="Output 3 2 4 2 4" xfId="12637" xr:uid="{72661F84-A008-4DEA-BA97-6A5D7B7B23FE}"/>
    <cellStyle name="Output 3 2 4 2 5" xfId="14294" xr:uid="{FDB3DD2A-40DB-433A-AA4C-CC997E46EE0B}"/>
    <cellStyle name="Output 3 2 4 2 6" xfId="15977" xr:uid="{7A894427-3F81-4AFD-B655-323E36A98116}"/>
    <cellStyle name="Output 3 2 4 3" xfId="3594" xr:uid="{601575B4-4263-4FF6-91A4-B44EC11F4D43}"/>
    <cellStyle name="Output 3 2 4 3 2" xfId="7526" xr:uid="{D07ABB65-D644-4562-8740-DEA095F4F005}"/>
    <cellStyle name="Output 3 2 4 3 3" xfId="9213" xr:uid="{9E79C50A-89B8-4340-94E0-0414416BD3D9}"/>
    <cellStyle name="Output 3 2 4 3 4" xfId="12205" xr:uid="{374D4174-3AD0-4946-8A4E-9E2EE957A8DD}"/>
    <cellStyle name="Output 3 2 4 3 5" xfId="13856" xr:uid="{5550144E-5D80-4D47-9D2C-F385B6F8DA84}"/>
    <cellStyle name="Output 3 2 4 3 6" xfId="15545" xr:uid="{056467D6-4B37-4D05-9602-A2BACA9E9A2B}"/>
    <cellStyle name="Output 3 2 4 4" xfId="5994" xr:uid="{62529529-B780-4E16-97EE-92AFD2937BB1}"/>
    <cellStyle name="Output 3 2 5" xfId="3116" xr:uid="{F1ED7E8A-3A8E-43A0-9614-5BEBEF6583F0}"/>
    <cellStyle name="Output 3 2 5 2" xfId="3996" xr:uid="{8FB999EE-82A5-4A0E-95CC-B55803FCFC81}"/>
    <cellStyle name="Output 3 2 5 2 2" xfId="7922" xr:uid="{49860C9F-35D5-4A4B-80F6-00DC0972D68D}"/>
    <cellStyle name="Output 3 2 5 2 3" xfId="9615" xr:uid="{BEC1621C-9265-4572-A445-31836EBABB0E}"/>
    <cellStyle name="Output 3 2 5 2 4" xfId="12601" xr:uid="{EB96B40F-9695-44A2-A35D-49CB6416B71D}"/>
    <cellStyle name="Output 3 2 5 2 5" xfId="14258" xr:uid="{334B0FFD-06BB-473C-8C49-F315F3839F40}"/>
    <cellStyle name="Output 3 2 5 2 6" xfId="15941" xr:uid="{4AC23E0C-576B-43CF-938D-CA10D28C58E4}"/>
    <cellStyle name="Output 3 2 5 3" xfId="3558" xr:uid="{457D7742-C24C-4161-8A10-D9E43C16EEDD}"/>
    <cellStyle name="Output 3 2 5 3 2" xfId="5118" xr:uid="{F6350058-0365-4A6F-AB92-8A41B3550475}"/>
    <cellStyle name="Output 3 2 5 3 3" xfId="9177" xr:uid="{2C2E2844-0F1D-44E5-82D6-AD5BEA27F1C1}"/>
    <cellStyle name="Output 3 2 5 3 4" xfId="12169" xr:uid="{F6470386-AC28-420C-9158-E2CF150E616E}"/>
    <cellStyle name="Output 3 2 5 3 5" xfId="13820" xr:uid="{67D7902D-ADE6-4A5E-86CA-EA9688E161CC}"/>
    <cellStyle name="Output 3 2 5 3 6" xfId="15509" xr:uid="{0B2A9D9E-5794-4E26-A26E-1C46A1C34FD7}"/>
    <cellStyle name="Output 3 2 5 4" xfId="6825" xr:uid="{43B70151-C9D4-42C2-A1C4-1F1D8C16C2E6}"/>
    <cellStyle name="Output 3 2 6" xfId="3324" xr:uid="{ED106C0D-1283-43C6-A6D8-B44458C286C0}"/>
    <cellStyle name="Output 3 2 6 2" xfId="4204" xr:uid="{4A845727-9EEA-4D06-80F0-49A796F3C497}"/>
    <cellStyle name="Output 3 2 6 2 2" xfId="8128" xr:uid="{028A581F-D268-4DAF-8F22-3EBE141123E4}"/>
    <cellStyle name="Output 3 2 6 2 3" xfId="9823" xr:uid="{A74385A5-4076-413F-836D-3F6FA9F97310}"/>
    <cellStyle name="Output 3 2 6 2 4" xfId="12807" xr:uid="{399E54EA-8C26-4098-8E05-FB4279746177}"/>
    <cellStyle name="Output 3 2 6 2 5" xfId="14466" xr:uid="{995D3576-F702-4749-BF14-EE68E5455CC3}"/>
    <cellStyle name="Output 3 2 6 2 6" xfId="16147" xr:uid="{81B84F26-7589-4821-84BC-170D4E7BCCD3}"/>
    <cellStyle name="Output 3 2 6 3" xfId="3765" xr:uid="{51A3F589-465B-4D17-A768-EA5E7B887CD9}"/>
    <cellStyle name="Output 3 2 6 3 2" xfId="7696" xr:uid="{F42727D3-B51C-4C0E-995F-52B07A8B4C29}"/>
    <cellStyle name="Output 3 2 6 3 3" xfId="9384" xr:uid="{AA5745FE-DA72-4C09-B28D-167AB5126F9A}"/>
    <cellStyle name="Output 3 2 6 3 4" xfId="12375" xr:uid="{27AF4121-B627-4505-A6CD-215DB3427CE8}"/>
    <cellStyle name="Output 3 2 6 3 5" xfId="14027" xr:uid="{02CA89F3-7511-4E0C-9D3F-961744457F11}"/>
    <cellStyle name="Output 3 2 6 3 6" xfId="15715" xr:uid="{B48E158A-C254-41FB-B9C2-B824D53DAFAA}"/>
    <cellStyle name="Output 3 2 6 4" xfId="8987" xr:uid="{57622A40-A9DD-4150-B90D-49EB5418C901}"/>
    <cellStyle name="Output 3 2 7" xfId="3233" xr:uid="{15A9A72E-1120-42E0-9A40-E97C881E9023}"/>
    <cellStyle name="Output 3 2 7 10" xfId="15285" xr:uid="{B42F1D67-9463-41CB-A0C7-F3A9B2D71595}"/>
    <cellStyle name="Output 3 2 7 2" xfId="4113" xr:uid="{5C304936-D243-4244-96D5-F3719A2DAD0A}"/>
    <cellStyle name="Output 3 2 7 2 2" xfId="8038" xr:uid="{F09BE42E-6B4A-4736-BDBA-5657AFDC5FD9}"/>
    <cellStyle name="Output 3 2 7 2 3" xfId="9732" xr:uid="{0F793F78-C999-4413-834B-542F0ACCC98E}"/>
    <cellStyle name="Output 3 2 7 2 4" xfId="12717" xr:uid="{9EA57293-046A-4BF8-928C-AE816B2D9685}"/>
    <cellStyle name="Output 3 2 7 2 5" xfId="14375" xr:uid="{66FAEA66-E6FE-470F-8D19-D9B378FB620B}"/>
    <cellStyle name="Output 3 2 7 2 6" xfId="16057" xr:uid="{8CF3CB7E-CD75-424D-A270-9975E182AA2E}"/>
    <cellStyle name="Output 3 2 7 3" xfId="3675" xr:uid="{F53F16E5-EF3E-4772-99D2-309288E4B1C0}"/>
    <cellStyle name="Output 3 2 7 3 2" xfId="7606" xr:uid="{6D613379-8B07-46AC-82A2-C6787D348C41}"/>
    <cellStyle name="Output 3 2 7 3 3" xfId="9294" xr:uid="{D4C5B262-8D5C-4B49-8007-EDF9AD951BC9}"/>
    <cellStyle name="Output 3 2 7 3 4" xfId="12285" xr:uid="{BCAB7FD5-9ED9-461A-9EB7-E8AA2D0BAE2F}"/>
    <cellStyle name="Output 3 2 7 3 5" xfId="13937" xr:uid="{2A658B2F-A9CF-4470-9C56-C2F03F18B75F}"/>
    <cellStyle name="Output 3 2 7 3 6" xfId="15625" xr:uid="{80C8EF69-C05B-4323-AEA4-39632C1F1502}"/>
    <cellStyle name="Output 3 2 7 4" xfId="4382" xr:uid="{82EC0215-C0B8-44F6-A968-2A7493263B97}"/>
    <cellStyle name="Output 3 2 7 4 2" xfId="8301" xr:uid="{1E8F290C-86E6-4360-9BFA-6E966587FD14}"/>
    <cellStyle name="Output 3 2 7 4 3" xfId="9999" xr:uid="{62BB4A75-AC61-4E87-AF55-571E5027D075}"/>
    <cellStyle name="Output 3 2 7 4 4" xfId="12978" xr:uid="{18042532-91D4-4432-A5BD-9494E10CC2E0}"/>
    <cellStyle name="Output 3 2 7 4 5" xfId="14642" xr:uid="{C263DD1E-D0B6-4B01-AD84-6FE4BF7237C6}"/>
    <cellStyle name="Output 3 2 7 4 6" xfId="16318" xr:uid="{4FF058E3-691C-420C-8414-8D00A8A85525}"/>
    <cellStyle name="Output 3 2 7 5" xfId="6055" xr:uid="{89AA4222-0CC4-49A1-BFC1-A46C53CF29EC}"/>
    <cellStyle name="Output 3 2 7 6" xfId="5031" xr:uid="{2E0AFFF3-2C2E-494A-B2AB-AC14407B4442}"/>
    <cellStyle name="Output 3 2 7 7" xfId="10697" xr:uid="{3307BC8A-50D0-43D0-A566-EAB7AFB3F26E}"/>
    <cellStyle name="Output 3 2 7 8" xfId="5484" xr:uid="{59E9A8B3-C32D-4A7D-B2E0-B467F194AABD}"/>
    <cellStyle name="Output 3 2 7 9" xfId="11513" xr:uid="{8AF06B3F-98F5-4DCF-AD01-2266C21F9B7D}"/>
    <cellStyle name="Output 3 2 8" xfId="3211" xr:uid="{15C8903A-B947-4F29-8605-014FFEC89647}"/>
    <cellStyle name="Output 3 2 8 10" xfId="11463" xr:uid="{5DFE3031-3DEC-4C24-87D8-2AEE13EDB2A5}"/>
    <cellStyle name="Output 3 2 8 2" xfId="4091" xr:uid="{E3A454C8-E1EB-491A-B475-018F80E79D12}"/>
    <cellStyle name="Output 3 2 8 2 2" xfId="8016" xr:uid="{4C886DB7-222A-4A4A-82B1-CDBBFDE51DFC}"/>
    <cellStyle name="Output 3 2 8 2 3" xfId="9710" xr:uid="{4BBC71D9-4F80-4811-91D8-3B30F66C8307}"/>
    <cellStyle name="Output 3 2 8 2 4" xfId="12695" xr:uid="{148D8A9D-472A-4B47-8760-C79E4A0DD8B1}"/>
    <cellStyle name="Output 3 2 8 2 5" xfId="14353" xr:uid="{55031ABE-EBC6-4FE9-907B-BB52511BF308}"/>
    <cellStyle name="Output 3 2 8 2 6" xfId="16035" xr:uid="{0F8AE474-43D6-44FA-92CB-0E9E0B2FBDBE}"/>
    <cellStyle name="Output 3 2 8 3" xfId="3653" xr:uid="{A1FE2B54-3E61-4740-9552-F16A98293B75}"/>
    <cellStyle name="Output 3 2 8 3 2" xfId="7584" xr:uid="{7265845E-6D38-4579-981A-1046632E9E8B}"/>
    <cellStyle name="Output 3 2 8 3 3" xfId="9272" xr:uid="{D95CD3A4-EC6A-4332-9F18-4B0BC4E8AA42}"/>
    <cellStyle name="Output 3 2 8 3 4" xfId="12263" xr:uid="{08784C6D-738A-428B-877A-6F70C8C08383}"/>
    <cellStyle name="Output 3 2 8 3 5" xfId="13915" xr:uid="{2D48CFF4-A85E-496B-8AED-6A7C638F72E0}"/>
    <cellStyle name="Output 3 2 8 3 6" xfId="15603" xr:uid="{F91A0768-AA47-4041-8009-56496E82817B}"/>
    <cellStyle name="Output 3 2 8 4" xfId="4369" xr:uid="{E2C1E899-4871-4781-AE15-04E781DC48AA}"/>
    <cellStyle name="Output 3 2 8 4 2" xfId="8288" xr:uid="{8EC9E01A-4B6E-48A5-AE4E-8F880D13ADE6}"/>
    <cellStyle name="Output 3 2 8 4 3" xfId="9986" xr:uid="{20DD732E-6EBF-43D3-87E2-5A19329E5942}"/>
    <cellStyle name="Output 3 2 8 4 4" xfId="12965" xr:uid="{A4BEE887-8DC6-4061-8CE3-09FA4065F390}"/>
    <cellStyle name="Output 3 2 8 4 5" xfId="14629" xr:uid="{814973F9-32D8-4377-AEEB-336481815C13}"/>
    <cellStyle name="Output 3 2 8 4 6" xfId="16305" xr:uid="{7A3DFFBE-E9E1-494A-9E5A-299036CFBEC5}"/>
    <cellStyle name="Output 3 2 8 5" xfId="6036" xr:uid="{4966462B-A8CF-4169-A591-712619742F39}"/>
    <cellStyle name="Output 3 2 8 6" xfId="5228" xr:uid="{1F946C16-0564-494A-B35F-831F224F346C}"/>
    <cellStyle name="Output 3 2 8 7" xfId="10681" xr:uid="{344056B7-D991-45E0-AA4D-D0BA7780C36B}"/>
    <cellStyle name="Output 3 2 8 8" xfId="5716" xr:uid="{EB1BD46D-5793-4A14-BE76-09F7A2CA5F73}"/>
    <cellStyle name="Output 3 2 8 9" xfId="11558" xr:uid="{08BF96F7-29CB-43C4-900D-E47497AB14FE}"/>
    <cellStyle name="Output 3 2 9" xfId="3385" xr:uid="{02334A2E-19E1-43EF-A5A6-527C7414AEE7}"/>
    <cellStyle name="Output 3 2 9 10" xfId="15342" xr:uid="{C10BA255-5419-4725-9BFB-36D5B2D7B538}"/>
    <cellStyle name="Output 3 2 9 2" xfId="4265" xr:uid="{8040D9E4-1EB7-4E5D-9219-CC766D639299}"/>
    <cellStyle name="Output 3 2 9 2 2" xfId="8188" xr:uid="{FB992F60-B6E6-418B-B95F-1DBB2399F341}"/>
    <cellStyle name="Output 3 2 9 2 3" xfId="9884" xr:uid="{27808DF2-A1E0-4FA7-8615-1DA64AD491CC}"/>
    <cellStyle name="Output 3 2 9 2 4" xfId="12867" xr:uid="{F0BB1523-B95B-4D65-B0FF-07368C23823C}"/>
    <cellStyle name="Output 3 2 9 2 5" xfId="14527" xr:uid="{AACB42AD-E962-40C1-8557-BBBEB5A72C5D}"/>
    <cellStyle name="Output 3 2 9 2 6" xfId="16207" xr:uid="{8EC37B6C-129E-4DE4-A4F1-CD6947750491}"/>
    <cellStyle name="Output 3 2 9 3" xfId="3825" xr:uid="{DBD99A5B-5779-4EFD-B416-0A06420FE5D4}"/>
    <cellStyle name="Output 3 2 9 3 2" xfId="7756" xr:uid="{C407634B-514B-442C-B591-0D0C2AE2E069}"/>
    <cellStyle name="Output 3 2 9 3 3" xfId="9444" xr:uid="{92D089C2-C5CE-49D0-A6A9-34B179D06525}"/>
    <cellStyle name="Output 3 2 9 3 4" xfId="12435" xr:uid="{41823F33-0E8F-4223-AD72-3EC0B205F424}"/>
    <cellStyle name="Output 3 2 9 3 5" xfId="14087" xr:uid="{C6E0AB96-6023-466A-B1D4-1BFD52AC8F77}"/>
    <cellStyle name="Output 3 2 9 3 6" xfId="15775" xr:uid="{39961588-4939-4ADE-BC8C-ABFFF1264207}"/>
    <cellStyle name="Output 3 2 9 4" xfId="4441" xr:uid="{991922D2-1966-47B4-8B2A-9A5BDFF9A72A}"/>
    <cellStyle name="Output 3 2 9 4 2" xfId="8358" xr:uid="{577EC7AD-F917-4D6F-B83A-1F698E3AAFE9}"/>
    <cellStyle name="Output 3 2 9 4 3" xfId="10058" xr:uid="{E54ED00F-0DB7-407C-AFC1-A73CDB051C07}"/>
    <cellStyle name="Output 3 2 9 4 4" xfId="13035" xr:uid="{980AA620-D166-404C-99B3-158310D70674}"/>
    <cellStyle name="Output 3 2 9 4 5" xfId="14701" xr:uid="{6CE9459D-3323-483E-8AEF-094E901E5258}"/>
    <cellStyle name="Output 3 2 9 4 6" xfId="16375" xr:uid="{B7C1ADE3-99C2-4D3A-A6D8-1F9BE4E7A96F}"/>
    <cellStyle name="Output 3 2 9 5" xfId="6143" xr:uid="{FBB25DCE-D517-49F4-85ED-766B40FE27F5}"/>
    <cellStyle name="Output 3 2 9 6" xfId="5665" xr:uid="{3841A84E-D81E-4800-B577-0B55CB07CDEA}"/>
    <cellStyle name="Output 3 2 9 7" xfId="10775" xr:uid="{827E2F17-B4CF-41C2-8AD3-3AC0FCFD0276}"/>
    <cellStyle name="Output 3 2 9 8" xfId="5269" xr:uid="{FDE7FBFF-8EE9-4499-8857-9F875120E916}"/>
    <cellStyle name="Output 3 2 9 9" xfId="13651" xr:uid="{5A7D719C-B604-43C7-92A6-A16A2E6B5BEB}"/>
    <cellStyle name="Output 3 3" xfId="2980" xr:uid="{EBC5DCBD-82AE-4BC3-81A8-F92B46CDC880}"/>
    <cellStyle name="Output 3 3 10" xfId="3864" xr:uid="{FF065DFF-547A-4ED1-A9E5-025944196FA4}"/>
    <cellStyle name="Output 3 3 10 2" xfId="7793" xr:uid="{2A921053-B672-460C-BB53-D97807A53F70}"/>
    <cellStyle name="Output 3 3 10 3" xfId="9483" xr:uid="{E285722A-1A2F-4876-8B49-66B89CEEE443}"/>
    <cellStyle name="Output 3 3 10 4" xfId="12472" xr:uid="{8F34F621-818A-409C-80B1-2F7C8338FFF2}"/>
    <cellStyle name="Output 3 3 10 5" xfId="14126" xr:uid="{A5AA041E-1F0B-442B-9578-CAE47EF8CC9D}"/>
    <cellStyle name="Output 3 3 10 6" xfId="15812" xr:uid="{5A2F176A-BFAF-40A0-B5D7-CED35FC32733}"/>
    <cellStyle name="Output 3 3 11" xfId="3427" xr:uid="{08030064-5AC2-4008-9D28-2189E1108EDF}"/>
    <cellStyle name="Output 3 3 11 2" xfId="6077" xr:uid="{7B1F1B6B-BA2E-46D6-BBFD-CE5E0B2282A0}"/>
    <cellStyle name="Output 3 3 11 3" xfId="9046" xr:uid="{86CD04BF-A19F-4F91-9982-8F9299DEFA14}"/>
    <cellStyle name="Output 3 3 11 4" xfId="5322" xr:uid="{0E8D4E52-EBC3-4300-98BA-D80EFD66E448}"/>
    <cellStyle name="Output 3 3 11 5" xfId="13689" xr:uid="{0783FCC7-B6ED-4023-AD9E-68F4658E922E}"/>
    <cellStyle name="Output 3 3 11 6" xfId="15380" xr:uid="{A8F7319D-ECB2-4CF5-9A51-B7332A913F3D}"/>
    <cellStyle name="Output 3 3 12" xfId="5603" xr:uid="{593B0387-D736-44BD-B4B1-8E9C925FC731}"/>
    <cellStyle name="Output 3 3 13" xfId="5878" xr:uid="{8BD6CB35-D8DE-43AD-843E-A600E80F60A9}"/>
    <cellStyle name="Output 3 3 2" xfId="3008" xr:uid="{C7F0FDEB-F487-4BAA-945A-A874C0A29156}"/>
    <cellStyle name="Output 3 3 2 10" xfId="3888" xr:uid="{17C874CD-443F-44DF-8255-E5048DCE1D9F}"/>
    <cellStyle name="Output 3 3 2 10 2" xfId="7816" xr:uid="{098D26CB-6A10-4812-9FEE-260853004DF8}"/>
    <cellStyle name="Output 3 3 2 10 3" xfId="9507" xr:uid="{88969B03-89C2-4B98-A5BD-9559D09452D2}"/>
    <cellStyle name="Output 3 3 2 10 4" xfId="12495" xr:uid="{7A54ED52-B99B-4FB1-B8F3-A465FE1E5DD1}"/>
    <cellStyle name="Output 3 3 2 10 5" xfId="14150" xr:uid="{E643B651-64E8-41FC-A272-0DB4CFE5B17F}"/>
    <cellStyle name="Output 3 3 2 10 6" xfId="15835" xr:uid="{F7EB75B5-0ECE-4537-B75A-F4F3DDDA47B5}"/>
    <cellStyle name="Output 3 3 2 11" xfId="3450" xr:uid="{52D05F12-5756-4436-9AF7-8DA914B19C04}"/>
    <cellStyle name="Output 3 3 2 11 2" xfId="5190" xr:uid="{0B7204D7-CF0B-42A8-9509-F87990410A88}"/>
    <cellStyle name="Output 3 3 2 11 3" xfId="9069" xr:uid="{3F66E6EA-DD04-40B5-B5AE-E292CC9BD934}"/>
    <cellStyle name="Output 3 3 2 11 4" xfId="5519" xr:uid="{6E5F82E3-5E95-486F-B99F-2FF2DF955DD9}"/>
    <cellStyle name="Output 3 3 2 11 5" xfId="13712" xr:uid="{BB21B064-53B9-411B-958C-4AD4A9D6474B}"/>
    <cellStyle name="Output 3 3 2 11 6" xfId="15403" xr:uid="{554F0403-C6FB-410C-B230-F68EB3D26475}"/>
    <cellStyle name="Output 3 3 2 12" xfId="5389" xr:uid="{38DBBF58-85A9-4229-B220-C9E6D6E39273}"/>
    <cellStyle name="Output 3 3 2 13" xfId="6513" xr:uid="{728344F8-0111-4398-B520-36274DCD6AD8}"/>
    <cellStyle name="Output 3 3 2 2" xfId="3156" xr:uid="{3AE3D404-87E5-4FB7-82A4-FF16D6268891}"/>
    <cellStyle name="Output 3 3 2 2 2" xfId="4036" xr:uid="{A51D07F5-4870-4269-8A66-7DA6453E5AEA}"/>
    <cellStyle name="Output 3 3 2 2 2 2" xfId="7962" xr:uid="{57205568-3298-4299-8E45-B79851977E42}"/>
    <cellStyle name="Output 3 3 2 2 2 3" xfId="9655" xr:uid="{C8D2BB10-D369-435F-95F3-79A48D191858}"/>
    <cellStyle name="Output 3 3 2 2 2 4" xfId="12641" xr:uid="{FBDEAED2-E5F8-40CD-B801-4D69E40F1A1E}"/>
    <cellStyle name="Output 3 3 2 2 2 5" xfId="14298" xr:uid="{F4271D07-19B3-4009-B17D-0C503D6B2FCC}"/>
    <cellStyle name="Output 3 3 2 2 2 6" xfId="15981" xr:uid="{650FDE3D-B937-4841-8875-A5446B8B3CED}"/>
    <cellStyle name="Output 3 3 2 2 3" xfId="3598" xr:uid="{1DD65A8B-2ECE-4152-A28D-BFA96B5976BC}"/>
    <cellStyle name="Output 3 3 2 2 3 2" xfId="7530" xr:uid="{69365E97-EE81-43C8-ADFC-6882B4D1556B}"/>
    <cellStyle name="Output 3 3 2 2 3 3" xfId="9217" xr:uid="{2A1FBAC9-F05C-4EB8-82F0-E59A5DABCF9A}"/>
    <cellStyle name="Output 3 3 2 2 3 4" xfId="12209" xr:uid="{A62DC924-6661-4623-BF6E-BA31D3E371D2}"/>
    <cellStyle name="Output 3 3 2 2 3 5" xfId="13860" xr:uid="{EF0A0D32-7032-4E07-9ACB-21457555BA3E}"/>
    <cellStyle name="Output 3 3 2 2 3 6" xfId="15549" xr:uid="{0A6DA049-9E88-40F0-993A-347CCBE5EAD4}"/>
    <cellStyle name="Output 3 3 2 2 4" xfId="6076" xr:uid="{45174C82-A17E-44DD-9DF2-E214E129486D}"/>
    <cellStyle name="Output 3 3 2 3" xfId="3097" xr:uid="{2C9A92CF-96EE-40EF-B6BA-0BC41F7649BC}"/>
    <cellStyle name="Output 3 3 2 3 2" xfId="3977" xr:uid="{92E11EA1-1864-42CD-A265-846230F3AA2E}"/>
    <cellStyle name="Output 3 3 2 3 2 2" xfId="7903" xr:uid="{C3D18D63-6C43-489B-9AD5-FBE8316601DA}"/>
    <cellStyle name="Output 3 3 2 3 2 3" xfId="9596" xr:uid="{AAE57C94-A7C2-4EF2-A020-7D525B8D2F6F}"/>
    <cellStyle name="Output 3 3 2 3 2 4" xfId="12582" xr:uid="{AEBF772D-ACDF-4CE4-A2F9-3B67CE8A255A}"/>
    <cellStyle name="Output 3 3 2 3 2 5" xfId="14239" xr:uid="{0876ECFB-816D-4560-B6FB-BEDDF6A1DD3F}"/>
    <cellStyle name="Output 3 3 2 3 2 6" xfId="15922" xr:uid="{8B82113D-4403-4C2C-85E4-71072CA46BDE}"/>
    <cellStyle name="Output 3 3 2 3 3" xfId="3539" xr:uid="{09741673-1F0E-43AE-B7A2-AA7427F224FF}"/>
    <cellStyle name="Output 3 3 2 3 3 2" xfId="5130" xr:uid="{0176BB02-7E26-412E-9F82-971B92418FF5}"/>
    <cellStyle name="Output 3 3 2 3 3 3" xfId="9158" xr:uid="{9964A8B5-0F8E-4764-ADF3-4A357F3603E8}"/>
    <cellStyle name="Output 3 3 2 3 3 4" xfId="12150" xr:uid="{B9F555C2-0B8D-4C60-985E-9D11B15AC472}"/>
    <cellStyle name="Output 3 3 2 3 3 5" xfId="13801" xr:uid="{968AC208-98C2-451A-B12F-15061249BE87}"/>
    <cellStyle name="Output 3 3 2 3 3 6" xfId="15490" xr:uid="{F9E49203-FA34-4B61-B995-81BBDF5575F1}"/>
    <cellStyle name="Output 3 3 2 3 4" xfId="5053" xr:uid="{CBCDE4A9-8B3F-42E2-828F-CE8A741E0D0E}"/>
    <cellStyle name="Output 3 3 2 4" xfId="3329" xr:uid="{1A9CB8E7-2919-4F0E-AF99-8A12036D0828}"/>
    <cellStyle name="Output 3 3 2 4 2" xfId="4209" xr:uid="{5668F602-9A11-4DE3-A813-B0D8574B755B}"/>
    <cellStyle name="Output 3 3 2 4 2 2" xfId="8133" xr:uid="{AFFA2AB2-9C62-4C3D-9BAD-5D7CCAABEC43}"/>
    <cellStyle name="Output 3 3 2 4 2 3" xfId="9828" xr:uid="{32B1E156-686F-4BA6-A06B-CAE650EE3E91}"/>
    <cellStyle name="Output 3 3 2 4 2 4" xfId="12812" xr:uid="{BAF0151A-1941-405C-A827-75E5F2795196}"/>
    <cellStyle name="Output 3 3 2 4 2 5" xfId="14471" xr:uid="{19C1B375-CBDB-4790-950F-5FACF2B180C5}"/>
    <cellStyle name="Output 3 3 2 4 2 6" xfId="16152" xr:uid="{C8AA7CA6-F115-461C-9EF5-29FDE109976E}"/>
    <cellStyle name="Output 3 3 2 4 3" xfId="3770" xr:uid="{AA08AC92-92C6-472B-803B-4850E861C594}"/>
    <cellStyle name="Output 3 3 2 4 3 2" xfId="7701" xr:uid="{0E155100-4980-4DC7-9178-EA121F3D7FD2}"/>
    <cellStyle name="Output 3 3 2 4 3 3" xfId="9389" xr:uid="{E878A98B-9E3E-4518-B834-4EA32A616D07}"/>
    <cellStyle name="Output 3 3 2 4 3 4" xfId="12380" xr:uid="{3692576E-6697-4952-AD62-36B187A9BA0E}"/>
    <cellStyle name="Output 3 3 2 4 3 5" xfId="14032" xr:uid="{0B418925-B3F5-40F7-8666-79BFFA2E3742}"/>
    <cellStyle name="Output 3 3 2 4 3 6" xfId="15720" xr:uid="{CF8E30AE-3A7B-40CD-A8BD-3889DD566184}"/>
    <cellStyle name="Output 3 3 2 4 4" xfId="8992" xr:uid="{59AC41E9-0C2B-41D9-94D6-5D448AC66B0D}"/>
    <cellStyle name="Output 3 3 2 5" xfId="3340" xr:uid="{AD372287-F583-414D-824A-76B0C54EE976}"/>
    <cellStyle name="Output 3 3 2 5 2" xfId="4220" xr:uid="{B77C58E4-2C91-44C6-90BA-F30C2BE9AD4D}"/>
    <cellStyle name="Output 3 3 2 5 2 2" xfId="8143" xr:uid="{750D90D1-B6AB-4DF0-9499-E69281FDB484}"/>
    <cellStyle name="Output 3 3 2 5 2 3" xfId="9839" xr:uid="{011138FC-939E-4BCD-8AB8-6D812843C29D}"/>
    <cellStyle name="Output 3 3 2 5 2 4" xfId="12822" xr:uid="{1667ADE2-4F9E-480A-84DF-72B50FD44656}"/>
    <cellStyle name="Output 3 3 2 5 2 5" xfId="14482" xr:uid="{8C10A3AA-D246-4991-B295-D99350DD3CB4}"/>
    <cellStyle name="Output 3 3 2 5 2 6" xfId="16162" xr:uid="{A069F1D6-4D7B-4C55-A0B4-E0FCA42E3D97}"/>
    <cellStyle name="Output 3 3 2 5 3" xfId="3780" xr:uid="{F52E6B7C-451A-464D-B299-8DF37ECE4314}"/>
    <cellStyle name="Output 3 3 2 5 3 2" xfId="7711" xr:uid="{ECD59E5B-0A82-4D46-A8B5-AFA1A044916D}"/>
    <cellStyle name="Output 3 3 2 5 3 3" xfId="9399" xr:uid="{1A615049-62DE-47C4-A2B2-D0D44B16E4AB}"/>
    <cellStyle name="Output 3 3 2 5 3 4" xfId="12390" xr:uid="{8633390F-A987-4AC2-9BA3-FED93F1C6F42}"/>
    <cellStyle name="Output 3 3 2 5 3 5" xfId="14042" xr:uid="{61AD7945-E220-450E-ABA4-D6DD7CB0F843}"/>
    <cellStyle name="Output 3 3 2 5 3 6" xfId="15730" xr:uid="{88855172-28CF-4BB0-B4E9-742AD2341094}"/>
    <cellStyle name="Output 3 3 2 5 4" xfId="9001" xr:uid="{8D182F8D-9A0D-43DA-8AD7-31637B17A1E9}"/>
    <cellStyle name="Output 3 3 2 6" xfId="3349" xr:uid="{F371D215-1929-456E-BEB1-5AAD67B33C78}"/>
    <cellStyle name="Output 3 3 2 6 10" xfId="15306" xr:uid="{CD63268F-CC72-4C2D-AFB3-8772A8771FC2}"/>
    <cellStyle name="Output 3 3 2 6 2" xfId="4229" xr:uid="{71546E16-096E-4E6C-A42F-B8B4AFFCE81C}"/>
    <cellStyle name="Output 3 3 2 6 2 2" xfId="8152" xr:uid="{D17E2800-A1DD-4CD7-A91F-F05E000774AD}"/>
    <cellStyle name="Output 3 3 2 6 2 3" xfId="9848" xr:uid="{6860A721-17CF-4F41-BD1E-D04744A94413}"/>
    <cellStyle name="Output 3 3 2 6 2 4" xfId="12831" xr:uid="{0159A390-A8D9-4CD1-A080-0B59D0F9A138}"/>
    <cellStyle name="Output 3 3 2 6 2 5" xfId="14491" xr:uid="{EA489E5C-934A-4E2E-AE04-18CB029BE27A}"/>
    <cellStyle name="Output 3 3 2 6 2 6" xfId="16171" xr:uid="{400EB182-31EF-4B2C-B068-EC22722CB548}"/>
    <cellStyle name="Output 3 3 2 6 3" xfId="3789" xr:uid="{52E2CE1C-DBAA-449A-8FD5-1A38C479BBD4}"/>
    <cellStyle name="Output 3 3 2 6 3 2" xfId="7720" xr:uid="{D8C3BCE2-5D2A-4CA5-9DCC-A56AF65A8BA9}"/>
    <cellStyle name="Output 3 3 2 6 3 3" xfId="9408" xr:uid="{E889E4A1-6A72-4B45-B1E5-B6636A4D87C7}"/>
    <cellStyle name="Output 3 3 2 6 3 4" xfId="12399" xr:uid="{E965E6D4-AC00-416B-B275-8ECCE289250A}"/>
    <cellStyle name="Output 3 3 2 6 3 5" xfId="14051" xr:uid="{DE7F9C1C-6BEB-4942-B677-9E8B10B808EF}"/>
    <cellStyle name="Output 3 3 2 6 3 6" xfId="15739" xr:uid="{026BFB19-E394-4BE4-93FC-4DAC6A4F4F40}"/>
    <cellStyle name="Output 3 3 2 6 4" xfId="4405" xr:uid="{C5E4AB4E-CD02-40FF-8454-FAE52BBF4BFA}"/>
    <cellStyle name="Output 3 3 2 6 4 2" xfId="8322" xr:uid="{2FF50159-3E4F-4DB7-A6DC-83A07739B6F4}"/>
    <cellStyle name="Output 3 3 2 6 4 3" xfId="10022" xr:uid="{F7E8DB72-68B2-43DB-AE69-1C1ED035DF00}"/>
    <cellStyle name="Output 3 3 2 6 4 4" xfId="12999" xr:uid="{E971D791-7145-43C7-B3D0-9FB074125FEA}"/>
    <cellStyle name="Output 3 3 2 6 4 5" xfId="14665" xr:uid="{645943F2-43EF-4559-80BF-7970CD0F8387}"/>
    <cellStyle name="Output 3 3 2 6 4 6" xfId="16339" xr:uid="{1402F936-8F6E-4B58-AEAB-F39A37D30BBF}"/>
    <cellStyle name="Output 3 3 2 6 5" xfId="6107" xr:uid="{ABA0D9BA-A8B9-42E4-9DDF-19A6866783DE}"/>
    <cellStyle name="Output 3 3 2 6 6" xfId="5656" xr:uid="{014589CE-0985-422B-9753-51BB727F86A1}"/>
    <cellStyle name="Output 3 3 2 6 7" xfId="10739" xr:uid="{058AE40D-1E2D-4D39-8648-CD154B0592BD}"/>
    <cellStyle name="Output 3 3 2 6 8" xfId="10718" xr:uid="{522B69F1-02D1-4183-A2F2-FC5B99B46390}"/>
    <cellStyle name="Output 3 3 2 6 9" xfId="13615" xr:uid="{92097652-9BA8-41F4-8713-248E3440FD6C}"/>
    <cellStyle name="Output 3 3 2 7" xfId="3224" xr:uid="{F113C7AB-99B5-426F-8712-9B64A2D143F1}"/>
    <cellStyle name="Output 3 3 2 7 2" xfId="4104" xr:uid="{14900E12-8788-42A4-9915-7ABBF07A510F}"/>
    <cellStyle name="Output 3 3 2 7 2 2" xfId="8029" xr:uid="{1DCF5B05-3233-4459-88B2-D5FE1DE473E5}"/>
    <cellStyle name="Output 3 3 2 7 2 3" xfId="9723" xr:uid="{10BD1512-FD15-4A63-A6CF-AF451FFE1092}"/>
    <cellStyle name="Output 3 3 2 7 2 4" xfId="12708" xr:uid="{BC8E9B22-61C0-47FC-AA59-A54C8CF4B2F1}"/>
    <cellStyle name="Output 3 3 2 7 2 5" xfId="14366" xr:uid="{6FB31D1F-8E93-444A-94DC-61EA67D3CD28}"/>
    <cellStyle name="Output 3 3 2 7 2 6" xfId="16048" xr:uid="{EAB8C716-501D-40E3-9291-0D16D0FD9919}"/>
    <cellStyle name="Output 3 3 2 7 3" xfId="3666" xr:uid="{34A2F989-1DB5-4F1B-B5AB-3A8E611B6669}"/>
    <cellStyle name="Output 3 3 2 7 3 2" xfId="7597" xr:uid="{9BDA09BD-7A6E-48C2-8A8B-A137CDF3712E}"/>
    <cellStyle name="Output 3 3 2 7 3 3" xfId="9285" xr:uid="{1A40A6A4-F57C-4F98-BAB8-083DE4794173}"/>
    <cellStyle name="Output 3 3 2 7 3 4" xfId="12276" xr:uid="{7A184C8F-8917-4474-B8EF-EBC5BF833424}"/>
    <cellStyle name="Output 3 3 2 7 3 5" xfId="13928" xr:uid="{6A58A39F-AF64-4E36-9556-DF3F66EEAAA5}"/>
    <cellStyle name="Output 3 3 2 7 3 6" xfId="15616" xr:uid="{7A477D9F-F2D0-4761-B01F-0A53DC3ABA17}"/>
    <cellStyle name="Output 3 3 2 7 4" xfId="6307" xr:uid="{FE6248C6-5F1A-4AD5-8C29-DA4C80AD3DA5}"/>
    <cellStyle name="Output 3 3 2 8" xfId="3201" xr:uid="{CBE82AB3-812A-4E20-AD28-0367EA65B01B}"/>
    <cellStyle name="Output 3 3 2 8 10" xfId="11126" xr:uid="{F82DF954-39E7-4AC9-B27D-089FB749BFC3}"/>
    <cellStyle name="Output 3 3 2 8 2" xfId="4081" xr:uid="{4356876C-27E9-4D10-9226-2A06F87AA0E3}"/>
    <cellStyle name="Output 3 3 2 8 2 2" xfId="8006" xr:uid="{030A17EC-52C4-4331-8C70-B888072DD438}"/>
    <cellStyle name="Output 3 3 2 8 2 3" xfId="9700" xr:uid="{F235B213-B544-4A5C-B4A2-2C4EBA2F6186}"/>
    <cellStyle name="Output 3 3 2 8 2 4" xfId="12685" xr:uid="{3E2532FA-1A4A-41ED-8CDB-753183439435}"/>
    <cellStyle name="Output 3 3 2 8 2 5" xfId="14343" xr:uid="{67BBD10B-A9D4-4824-BA23-C1EA2B1B2A7D}"/>
    <cellStyle name="Output 3 3 2 8 2 6" xfId="16025" xr:uid="{A941F75D-8EF7-40D6-A3F8-022B7F4B2F64}"/>
    <cellStyle name="Output 3 3 2 8 3" xfId="3643" xr:uid="{D1CBFEFD-C110-42FD-BEC7-F04D56AE5916}"/>
    <cellStyle name="Output 3 3 2 8 3 2" xfId="7574" xr:uid="{99F31FD7-D12A-4E29-81B7-04EA6E79B89B}"/>
    <cellStyle name="Output 3 3 2 8 3 3" xfId="9262" xr:uid="{E928B525-1267-46E5-9BD9-01FEF3DC3A61}"/>
    <cellStyle name="Output 3 3 2 8 3 4" xfId="12253" xr:uid="{7F28BE63-1C93-4174-BD71-B1A591C84CB9}"/>
    <cellStyle name="Output 3 3 2 8 3 5" xfId="13905" xr:uid="{A6091549-2FD2-4D96-A001-2955FE54437C}"/>
    <cellStyle name="Output 3 3 2 8 3 6" xfId="15593" xr:uid="{379FABC2-C05E-4DE0-A8CC-6CDF5EB826A5}"/>
    <cellStyle name="Output 3 3 2 8 4" xfId="4359" xr:uid="{5D02CB19-5FB3-4611-815D-CEDCDDF8BA08}"/>
    <cellStyle name="Output 3 3 2 8 4 2" xfId="8278" xr:uid="{413528F4-E320-4F6E-BC4F-EF9306FC4A8C}"/>
    <cellStyle name="Output 3 3 2 8 4 3" xfId="9976" xr:uid="{F046A97D-60B1-41C1-B133-591DDD16C5E3}"/>
    <cellStyle name="Output 3 3 2 8 4 4" xfId="12955" xr:uid="{A618B563-7074-4C81-AEF0-08AAAD461CD9}"/>
    <cellStyle name="Output 3 3 2 8 4 5" xfId="14619" xr:uid="{52A93DE4-5B22-4E97-9C45-49AC9EF7EB15}"/>
    <cellStyle name="Output 3 3 2 8 4 6" xfId="16295" xr:uid="{F027BD85-998A-4C2A-95E1-EF334BB7A949}"/>
    <cellStyle name="Output 3 3 2 8 5" xfId="6026" xr:uid="{2002E4AF-EEB7-4230-80CA-FE99DE907393}"/>
    <cellStyle name="Output 3 3 2 8 6" xfId="5586" xr:uid="{D492D6D3-7896-41BA-A47E-12928D684F12}"/>
    <cellStyle name="Output 3 3 2 8 7" xfId="10671" xr:uid="{E183E289-034A-47F7-AC05-0EFF43ED0C80}"/>
    <cellStyle name="Output 3 3 2 8 8" xfId="5290" xr:uid="{0995E969-AED4-4214-8D0C-68CEB1FA583F}"/>
    <cellStyle name="Output 3 3 2 8 9" xfId="10711" xr:uid="{C64B1535-9384-44A8-8785-07437FFEEA2D}"/>
    <cellStyle name="Output 3 3 2 9" xfId="3214" xr:uid="{5FF337DB-3805-4875-8B5E-207E7648B550}"/>
    <cellStyle name="Output 3 3 2 9 10" xfId="11055" xr:uid="{0A60B78B-176A-4937-8504-F2C2365B0C9C}"/>
    <cellStyle name="Output 3 3 2 9 2" xfId="4094" xr:uid="{B15A6FA0-B2A6-4DD3-BF20-AD5EAC756CAC}"/>
    <cellStyle name="Output 3 3 2 9 2 2" xfId="8019" xr:uid="{9044212F-D456-49D9-A661-F1E97B1B0002}"/>
    <cellStyle name="Output 3 3 2 9 2 3" xfId="9713" xr:uid="{7D7D05C6-4434-45AB-BA85-FE979B8A7BC5}"/>
    <cellStyle name="Output 3 3 2 9 2 4" xfId="12698" xr:uid="{9917B8E4-3F73-4565-BC74-E523A9F32F3A}"/>
    <cellStyle name="Output 3 3 2 9 2 5" xfId="14356" xr:uid="{EF50ED54-76C0-4148-8EE8-D18A15C34A51}"/>
    <cellStyle name="Output 3 3 2 9 2 6" xfId="16038" xr:uid="{B05EA39E-2B61-4FD3-A34D-222A962803D8}"/>
    <cellStyle name="Output 3 3 2 9 3" xfId="3656" xr:uid="{5FC13760-F842-4D58-A8C6-ADBB8D1802BF}"/>
    <cellStyle name="Output 3 3 2 9 3 2" xfId="7587" xr:uid="{C79590AC-8D8B-4C82-A31A-956D023942C4}"/>
    <cellStyle name="Output 3 3 2 9 3 3" xfId="9275" xr:uid="{E50A4922-B104-45C7-A9E5-8F2F94657715}"/>
    <cellStyle name="Output 3 3 2 9 3 4" xfId="12266" xr:uid="{F74C9EC9-9552-45D5-B485-7F4A8E3BF8D1}"/>
    <cellStyle name="Output 3 3 2 9 3 5" xfId="13918" xr:uid="{7573E443-0411-4563-9A69-3379E17C4772}"/>
    <cellStyle name="Output 3 3 2 9 3 6" xfId="15606" xr:uid="{EFB65B49-D859-4D8A-B4C7-5506C5333C79}"/>
    <cellStyle name="Output 3 3 2 9 4" xfId="4371" xr:uid="{99114360-3381-4353-90BB-3599331451EB}"/>
    <cellStyle name="Output 3 3 2 9 4 2" xfId="8290" xr:uid="{8586CC02-5AC4-4D1A-97B0-4C194FEDED0E}"/>
    <cellStyle name="Output 3 3 2 9 4 3" xfId="9988" xr:uid="{2BE0D4B6-D035-41B9-9BF5-FAA1802468AE}"/>
    <cellStyle name="Output 3 3 2 9 4 4" xfId="12967" xr:uid="{8519D09B-76DE-408A-8FCC-891A8AAD578C}"/>
    <cellStyle name="Output 3 3 2 9 4 5" xfId="14631" xr:uid="{69AEB5FF-ECEB-4C55-B58C-F69224606673}"/>
    <cellStyle name="Output 3 3 2 9 4 6" xfId="16307" xr:uid="{0805BF6E-F6FA-4BE2-9010-CE967319F3B5}"/>
    <cellStyle name="Output 3 3 2 9 5" xfId="6038" xr:uid="{E4B0D5B3-4AA5-4C89-B2EA-A54DCD3BF72D}"/>
    <cellStyle name="Output 3 3 2 9 6" xfId="5227" xr:uid="{428F83C6-8876-4BAE-B984-0CCFD9EDAA16}"/>
    <cellStyle name="Output 3 3 2 9 7" xfId="10683" xr:uid="{1FC5DEAF-2942-4D34-AD0C-FF41B9FC4B70}"/>
    <cellStyle name="Output 3 3 2 9 8" xfId="5427" xr:uid="{CCBB2519-222D-40BF-BEDA-59B0471FA45E}"/>
    <cellStyle name="Output 3 3 2 9 9" xfId="5030" xr:uid="{9A97438B-80B5-4864-98B0-BEA1109204F8}"/>
    <cellStyle name="Output 3 3 3" xfId="3268" xr:uid="{672C6139-46EC-4787-A81A-36B5EE31EC7B}"/>
    <cellStyle name="Output 3 3 3 2" xfId="4148" xr:uid="{83B12F29-9D4A-4779-9D86-B638A14E76E2}"/>
    <cellStyle name="Output 3 3 3 2 2" xfId="8073" xr:uid="{72F50500-656F-4F3D-8A00-0ABD626F22F8}"/>
    <cellStyle name="Output 3 3 3 2 3" xfId="9767" xr:uid="{E5332EDC-537E-4ADB-89E8-0BA68DCF6CA6}"/>
    <cellStyle name="Output 3 3 3 2 4" xfId="12752" xr:uid="{E2CF2DD0-21D0-47A1-930B-8227F147E3DA}"/>
    <cellStyle name="Output 3 3 3 2 5" xfId="14410" xr:uid="{2512096B-1478-46AB-AC11-EEDC1ABAAA1E}"/>
    <cellStyle name="Output 3 3 3 2 6" xfId="16092" xr:uid="{2D48E877-74AA-43E8-874C-4BDFA8B62CF7}"/>
    <cellStyle name="Output 3 3 3 3" xfId="3710" xr:uid="{54632E40-F3EC-43F4-88A7-C0FE3E752E45}"/>
    <cellStyle name="Output 3 3 3 3 2" xfId="7641" xr:uid="{D967593C-427C-414C-8779-E456846EA5B6}"/>
    <cellStyle name="Output 3 3 3 3 3" xfId="9329" xr:uid="{0A9056BE-A664-4576-AD61-3506E6C30551}"/>
    <cellStyle name="Output 3 3 3 3 4" xfId="12320" xr:uid="{0E5BFCA3-E690-4D08-A4E3-C9C2927F3966}"/>
    <cellStyle name="Output 3 3 3 3 5" xfId="13972" xr:uid="{81CC5329-C99E-488D-904B-C0D8A706E572}"/>
    <cellStyle name="Output 3 3 3 3 6" xfId="15660" xr:uid="{46CC0971-9215-4822-94EC-09B21EC8AC76}"/>
    <cellStyle name="Output 3 3 3 4" xfId="8935" xr:uid="{02C88BD7-DE30-4D15-A156-FAC307DAB2A8}"/>
    <cellStyle name="Output 3 3 4" xfId="3166" xr:uid="{BED10066-657C-47AD-960A-AEB0174CB0D2}"/>
    <cellStyle name="Output 3 3 4 2" xfId="4046" xr:uid="{0AB9106F-FCCE-4381-A109-FDA67658C65A}"/>
    <cellStyle name="Output 3 3 4 2 2" xfId="7972" xr:uid="{46E7CD96-7E35-4A72-9C73-18995DFDE9E1}"/>
    <cellStyle name="Output 3 3 4 2 3" xfId="9665" xr:uid="{52B4C42E-CFDB-4024-AA5D-222BFABDDEEF}"/>
    <cellStyle name="Output 3 3 4 2 4" xfId="12651" xr:uid="{49DA39D8-6FE9-44B4-87E8-BB65139E2510}"/>
    <cellStyle name="Output 3 3 4 2 5" xfId="14308" xr:uid="{158B4B0C-95E6-4673-8F3C-8B9B4B88C675}"/>
    <cellStyle name="Output 3 3 4 2 6" xfId="15991" xr:uid="{EC538190-A59A-4174-A63C-3CE12C4BEE98}"/>
    <cellStyle name="Output 3 3 4 3" xfId="3608" xr:uid="{A306EE8A-601A-41A5-927E-43426BD67A47}"/>
    <cellStyle name="Output 3 3 4 3 2" xfId="7540" xr:uid="{4323A0AD-C46C-4D40-AD8F-85B2B87D7C3A}"/>
    <cellStyle name="Output 3 3 4 3 3" xfId="9227" xr:uid="{73F54833-C19C-489B-96B1-EADE3D025900}"/>
    <cellStyle name="Output 3 3 4 3 4" xfId="12219" xr:uid="{037A54AC-B1B3-410E-AF47-F71E8096548E}"/>
    <cellStyle name="Output 3 3 4 3 5" xfId="13870" xr:uid="{AA37378D-C808-4BA6-A931-38C0F78F812A}"/>
    <cellStyle name="Output 3 3 4 3 6" xfId="15559" xr:uid="{2BA6831F-E4F0-496D-B447-60B78F91D1B3}"/>
    <cellStyle name="Output 3 3 4 4" xfId="6234" xr:uid="{BEBB705B-65CD-46BC-A1D6-84F42FEEF531}"/>
    <cellStyle name="Output 3 3 5" xfId="3243" xr:uid="{13803379-7DE4-4586-89C5-DC257A7DFB3C}"/>
    <cellStyle name="Output 3 3 5 2" xfId="4123" xr:uid="{AA665CE3-9780-4C1E-9E94-2FAD178701DF}"/>
    <cellStyle name="Output 3 3 5 2 2" xfId="8048" xr:uid="{B559E252-842C-49EB-B245-9D583B730070}"/>
    <cellStyle name="Output 3 3 5 2 3" xfId="9742" xr:uid="{AE1DBDFA-E4EF-4D5B-A865-3BD4C2DBAB9A}"/>
    <cellStyle name="Output 3 3 5 2 4" xfId="12727" xr:uid="{37B03161-B896-4FD1-8232-24AF7505BECA}"/>
    <cellStyle name="Output 3 3 5 2 5" xfId="14385" xr:uid="{7724A9B0-DB4F-4357-9AF3-A5A8321AA675}"/>
    <cellStyle name="Output 3 3 5 2 6" xfId="16067" xr:uid="{497F89FA-92A1-47A9-AE5F-372C997BF74B}"/>
    <cellStyle name="Output 3 3 5 3" xfId="3685" xr:uid="{1FB1DA1F-EFA7-4512-BCC6-3FCA733AC433}"/>
    <cellStyle name="Output 3 3 5 3 2" xfId="7616" xr:uid="{62C1B596-4F58-4573-923D-7CDF2CE35A2D}"/>
    <cellStyle name="Output 3 3 5 3 3" xfId="9304" xr:uid="{B8BEF281-3533-4DD5-A019-8C49E4CD131E}"/>
    <cellStyle name="Output 3 3 5 3 4" xfId="12295" xr:uid="{FA166116-DC63-41DF-83C1-F406F7EDEC2D}"/>
    <cellStyle name="Output 3 3 5 3 5" xfId="13947" xr:uid="{812D525B-0178-4377-BB5E-015167778D49}"/>
    <cellStyle name="Output 3 3 5 3 6" xfId="15635" xr:uid="{08FF5047-03AC-473B-9857-7CE906A9B477}"/>
    <cellStyle name="Output 3 3 5 4" xfId="6319" xr:uid="{29571CB5-EF90-4D51-9634-D4EF8D197B72}"/>
    <cellStyle name="Output 3 3 6" xfId="3306" xr:uid="{6E6C7196-F296-4840-B407-2F59D341F090}"/>
    <cellStyle name="Output 3 3 6 2" xfId="4186" xr:uid="{623FEE86-07E3-4CCD-8281-1252A4F06CA7}"/>
    <cellStyle name="Output 3 3 6 2 2" xfId="8110" xr:uid="{21748B9B-5CE3-4192-931D-A54FCA81DEF7}"/>
    <cellStyle name="Output 3 3 6 2 3" xfId="9805" xr:uid="{2E38328C-360B-4B88-BB43-774A1A71E3A6}"/>
    <cellStyle name="Output 3 3 6 2 4" xfId="12789" xr:uid="{D6767CBB-8BA9-4FEC-BE28-85CE97F09DBD}"/>
    <cellStyle name="Output 3 3 6 2 5" xfId="14448" xr:uid="{E7698245-2DFD-46C3-A1FE-523450BFED21}"/>
    <cellStyle name="Output 3 3 6 2 6" xfId="16129" xr:uid="{D839AC08-0185-4969-A731-B05CF3010FB2}"/>
    <cellStyle name="Output 3 3 6 3" xfId="3747" xr:uid="{58539985-675D-4A9B-885B-B4F861028510}"/>
    <cellStyle name="Output 3 3 6 3 2" xfId="7678" xr:uid="{5586E0FB-6A85-4297-8997-D67F2D249AFE}"/>
    <cellStyle name="Output 3 3 6 3 3" xfId="9366" xr:uid="{77A72D3E-CEC2-4376-BB5D-D18FB27EE114}"/>
    <cellStyle name="Output 3 3 6 3 4" xfId="12357" xr:uid="{636CCD26-7198-4006-9940-103E76345842}"/>
    <cellStyle name="Output 3 3 6 3 5" xfId="14009" xr:uid="{AA2FCF14-2724-4124-8A16-9F0945647A9D}"/>
    <cellStyle name="Output 3 3 6 3 6" xfId="15697" xr:uid="{0CE14760-4F0E-46CB-882D-46D03585FC9E}"/>
    <cellStyle name="Output 3 3 6 4" xfId="8969" xr:uid="{465116DD-01B8-4F87-BE1C-16C11C1826E1}"/>
    <cellStyle name="Output 3 3 7" xfId="3229" xr:uid="{4C260FEC-21EC-414A-9CC7-307B72D5F573}"/>
    <cellStyle name="Output 3 3 7 10" xfId="15281" xr:uid="{AE7A2EEA-DD13-4417-9755-98EBA3CCE2D9}"/>
    <cellStyle name="Output 3 3 7 2" xfId="4109" xr:uid="{BF393902-0281-4348-BC48-4918AD531B69}"/>
    <cellStyle name="Output 3 3 7 2 2" xfId="8034" xr:uid="{4F084BA8-8BC6-48A1-B43B-843A2B860E0F}"/>
    <cellStyle name="Output 3 3 7 2 3" xfId="9728" xr:uid="{CC3CD372-FB66-4F27-8D07-22534E7921DE}"/>
    <cellStyle name="Output 3 3 7 2 4" xfId="12713" xr:uid="{8496400F-167D-42BF-B65C-C7A896F218D2}"/>
    <cellStyle name="Output 3 3 7 2 5" xfId="14371" xr:uid="{C0193E33-3346-40E2-AAEA-7B71F5669898}"/>
    <cellStyle name="Output 3 3 7 2 6" xfId="16053" xr:uid="{8430A8F4-4642-4542-8AA9-AD1677557CCF}"/>
    <cellStyle name="Output 3 3 7 3" xfId="3671" xr:uid="{788137D9-CE34-40E3-B782-02D2C6C319F5}"/>
    <cellStyle name="Output 3 3 7 3 2" xfId="7602" xr:uid="{D98B56E1-811D-4535-8490-2EC35DD0DA46}"/>
    <cellStyle name="Output 3 3 7 3 3" xfId="9290" xr:uid="{ACE0A888-26E2-4A57-88FB-E8FC719BDC26}"/>
    <cellStyle name="Output 3 3 7 3 4" xfId="12281" xr:uid="{756CAA31-7822-4AC2-AE49-A64E8453FBC1}"/>
    <cellStyle name="Output 3 3 7 3 5" xfId="13933" xr:uid="{62B3988B-A2FD-47B7-B04E-52A349DB83D7}"/>
    <cellStyle name="Output 3 3 7 3 6" xfId="15621" xr:uid="{B47FA75F-6599-49AF-B134-745B4750CBBD}"/>
    <cellStyle name="Output 3 3 7 4" xfId="4378" xr:uid="{564F1168-8BC9-47A3-A650-17834CD11220}"/>
    <cellStyle name="Output 3 3 7 4 2" xfId="8297" xr:uid="{F8AE0AA4-ADF4-4849-B88A-EFFD9BF256C2}"/>
    <cellStyle name="Output 3 3 7 4 3" xfId="9995" xr:uid="{ADED1692-B976-4AB7-9BF6-B6E09E9785E8}"/>
    <cellStyle name="Output 3 3 7 4 4" xfId="12974" xr:uid="{5FC0190A-5931-4BF0-88D3-1C4B62594D7F}"/>
    <cellStyle name="Output 3 3 7 4 5" xfId="14638" xr:uid="{71478689-6C73-4C22-A59B-3D43BDEB8FC3}"/>
    <cellStyle name="Output 3 3 7 4 6" xfId="16314" xr:uid="{53A60414-1768-4FC5-88F1-970A1C0D5DD9}"/>
    <cellStyle name="Output 3 3 7 5" xfId="6051" xr:uid="{69C451C0-A763-4DFE-AC40-E96E339CC88C}"/>
    <cellStyle name="Output 3 3 7 6" xfId="5732" xr:uid="{8B3CD9EF-DA25-449E-845D-E6574691E474}"/>
    <cellStyle name="Output 3 3 7 7" xfId="10693" xr:uid="{195C983C-330C-4474-AA05-DB08AF253789}"/>
    <cellStyle name="Output 3 3 7 8" xfId="9009" xr:uid="{F6012039-81E6-40CF-A038-E524CA70EA90}"/>
    <cellStyle name="Output 3 3 7 9" xfId="11391" xr:uid="{8265E878-2F20-4A52-8CD6-6A4BC9E4BCE8}"/>
    <cellStyle name="Output 3 3 8" xfId="3056" xr:uid="{BBF1B2EE-7E55-41BD-BE91-1A59E0EBFCF6}"/>
    <cellStyle name="Output 3 3 8 10" xfId="10987" xr:uid="{765F5F12-9871-44C3-A5A9-8C3BAB2FBD23}"/>
    <cellStyle name="Output 3 3 8 2" xfId="3936" xr:uid="{7D59F0DB-49E9-482F-BC7E-259894BAD22C}"/>
    <cellStyle name="Output 3 3 8 2 2" xfId="7864" xr:uid="{BFE86C6B-259E-4416-9ADB-DA57847D22BF}"/>
    <cellStyle name="Output 3 3 8 2 3" xfId="9555" xr:uid="{97F7FB0A-EF8D-4BC9-93EC-9908DC9026B5}"/>
    <cellStyle name="Output 3 3 8 2 4" xfId="12543" xr:uid="{F9D05C25-59BF-4120-B584-987346C02BD4}"/>
    <cellStyle name="Output 3 3 8 2 5" xfId="14198" xr:uid="{445CA6F0-D9BD-4D40-BAE8-7AB3FC96C646}"/>
    <cellStyle name="Output 3 3 8 2 6" xfId="15883" xr:uid="{DE6CFF4A-27E7-4462-8AD1-C63C56CA9189}"/>
    <cellStyle name="Output 3 3 8 3" xfId="3498" xr:uid="{24BC031B-C325-4654-ADB0-F75C26FE7244}"/>
    <cellStyle name="Output 3 3 8 3 2" xfId="5158" xr:uid="{D2DD2BE1-33C2-4E26-8F3A-4B80872EA053}"/>
    <cellStyle name="Output 3 3 8 3 3" xfId="9117" xr:uid="{2299455E-2CC1-4CB2-98CC-82036B3F0B40}"/>
    <cellStyle name="Output 3 3 8 3 4" xfId="5523" xr:uid="{8550DB46-0BF8-4567-AAD6-76EA7BE8FC2D}"/>
    <cellStyle name="Output 3 3 8 3 5" xfId="13760" xr:uid="{1C7DBA85-8355-42F0-B75B-EBB314AC072F}"/>
    <cellStyle name="Output 3 3 8 3 6" xfId="15451" xr:uid="{45B707FC-6826-4EC4-99E7-13E071EADC7A}"/>
    <cellStyle name="Output 3 3 8 4" xfId="4298" xr:uid="{C8919B9B-004B-479B-86AE-91527B2A56AC}"/>
    <cellStyle name="Output 3 3 8 4 2" xfId="8220" xr:uid="{C129274E-3909-448F-8B84-BEE766418966}"/>
    <cellStyle name="Output 3 3 8 4 3" xfId="9915" xr:uid="{AD0A974F-389C-4241-BF57-5DAD526147B7}"/>
    <cellStyle name="Output 3 3 8 4 4" xfId="12897" xr:uid="{814BF4CE-B2E5-4799-A4FF-056D6F547351}"/>
    <cellStyle name="Output 3 3 8 4 5" xfId="14558" xr:uid="{9865EF1B-EB1A-4A9E-82FD-A0CAE55FFCBE}"/>
    <cellStyle name="Output 3 3 8 4 6" xfId="16237" xr:uid="{963D3950-9FFC-4D32-8FE3-BE3BC88C8910}"/>
    <cellStyle name="Output 3 3 8 5" xfId="5936" xr:uid="{8F1D2151-0756-4CC0-98FD-42C7CE4AC904}"/>
    <cellStyle name="Output 3 3 8 6" xfId="5679" xr:uid="{21FD6FF5-0E6C-412A-ACFF-6F1994596F7D}"/>
    <cellStyle name="Output 3 3 8 7" xfId="5363" xr:uid="{70B79E91-3668-422F-BF48-C7FAF54532FD}"/>
    <cellStyle name="Output 3 3 8 8" xfId="5032" xr:uid="{D1D5C2C8-592D-4C95-A08F-C4BCAD50E2F1}"/>
    <cellStyle name="Output 3 3 8 9" xfId="5511" xr:uid="{B946441F-C244-47C2-B023-41BFE04311CD}"/>
    <cellStyle name="Output 3 3 9" xfId="3367" xr:uid="{A78AA6AC-8996-4E78-95E6-73B9546D185E}"/>
    <cellStyle name="Output 3 3 9 10" xfId="15324" xr:uid="{EDABE6F3-30A8-48F4-8A3B-CD257B6A3C52}"/>
    <cellStyle name="Output 3 3 9 2" xfId="4247" xr:uid="{0FC730D0-293A-4B57-A9EA-AE436326DED8}"/>
    <cellStyle name="Output 3 3 9 2 2" xfId="8170" xr:uid="{8CDA045A-88CD-41F4-862D-2C2BE5905577}"/>
    <cellStyle name="Output 3 3 9 2 3" xfId="9866" xr:uid="{0FD2477D-737D-4763-AA7D-840C17180669}"/>
    <cellStyle name="Output 3 3 9 2 4" xfId="12849" xr:uid="{7E1C4F66-E3D3-4EF6-9DCE-48FBB4386C3D}"/>
    <cellStyle name="Output 3 3 9 2 5" xfId="14509" xr:uid="{C64CD904-5B95-4C6A-9EDE-FD03F715AA1C}"/>
    <cellStyle name="Output 3 3 9 2 6" xfId="16189" xr:uid="{0D100EF6-0443-4CDF-A437-76C973D456AD}"/>
    <cellStyle name="Output 3 3 9 3" xfId="3807" xr:uid="{7FD09590-C00E-4DD3-A3F5-5B77013E63BF}"/>
    <cellStyle name="Output 3 3 9 3 2" xfId="7738" xr:uid="{52492DB2-4529-4FC4-ACBE-3DFF616C1AB7}"/>
    <cellStyle name="Output 3 3 9 3 3" xfId="9426" xr:uid="{4C764082-E698-4C2A-B117-376DAEC675AA}"/>
    <cellStyle name="Output 3 3 9 3 4" xfId="12417" xr:uid="{DB3115E5-CB6A-4136-8089-50E3D1480A8B}"/>
    <cellStyle name="Output 3 3 9 3 5" xfId="14069" xr:uid="{E937F827-80F3-4A8E-913A-9A056CC07D15}"/>
    <cellStyle name="Output 3 3 9 3 6" xfId="15757" xr:uid="{B9AC70BE-8EA1-4DE0-A10B-5AAD4BC67B9B}"/>
    <cellStyle name="Output 3 3 9 4" xfId="4423" xr:uid="{4F48E602-B9E1-4AEB-9BB6-4B75A848A7CD}"/>
    <cellStyle name="Output 3 3 9 4 2" xfId="8340" xr:uid="{C307C7B7-977F-45EA-9FD8-49123A65BCC8}"/>
    <cellStyle name="Output 3 3 9 4 3" xfId="10040" xr:uid="{4ABF2133-6CFF-4524-9109-86744745548B}"/>
    <cellStyle name="Output 3 3 9 4 4" xfId="13017" xr:uid="{681828F5-6822-4C85-9366-46F6E96E0E26}"/>
    <cellStyle name="Output 3 3 9 4 5" xfId="14683" xr:uid="{A2811881-53CD-460B-BF8D-1EA3618B918F}"/>
    <cellStyle name="Output 3 3 9 4 6" xfId="16357" xr:uid="{95411C12-A5C9-4EC8-A118-8FF3CD2EF2F3}"/>
    <cellStyle name="Output 3 3 9 5" xfId="6125" xr:uid="{6C4EEB2B-73FE-4B28-BDA7-2D8F310EEF56}"/>
    <cellStyle name="Output 3 3 9 6" xfId="5740" xr:uid="{442D31EC-EFED-43BC-BAF3-45DDA0F4145B}"/>
    <cellStyle name="Output 3 3 9 7" xfId="10757" xr:uid="{F4A6EBCB-9DA8-401F-B5CD-326AA58ADBE0}"/>
    <cellStyle name="Output 3 3 9 8" xfId="10716" xr:uid="{D12206B7-4A12-4413-ABCC-132D074A9C0D}"/>
    <cellStyle name="Output 3 3 9 9" xfId="13633" xr:uid="{0FCEE5E7-66DE-40CF-A4DF-48E3F16E806E}"/>
    <cellStyle name="Output 3 4" xfId="3200" xr:uid="{DE5CC4CF-645E-4E3A-8CB5-3FB3F79C7C51}"/>
    <cellStyle name="Output 3 4 2" xfId="4080" xr:uid="{93360438-7312-4BE9-829E-C21BD0DD1C11}"/>
    <cellStyle name="Output 3 4 2 2" xfId="8005" xr:uid="{6BA19DFE-5161-4F3F-A1EC-3746215400FE}"/>
    <cellStyle name="Output 3 4 2 3" xfId="9699" xr:uid="{9784C4EB-83B7-417E-8A08-D2452E139886}"/>
    <cellStyle name="Output 3 4 2 4" xfId="12684" xr:uid="{8EC50A3C-A7AB-4EE0-BCE8-BDC66C637B20}"/>
    <cellStyle name="Output 3 4 2 5" xfId="14342" xr:uid="{795508EB-C1A4-474D-97B8-B6F5954F20DB}"/>
    <cellStyle name="Output 3 4 2 6" xfId="16024" xr:uid="{61AC4587-F9AA-4726-B7F7-669D03A72942}"/>
    <cellStyle name="Output 3 4 3" xfId="3642" xr:uid="{BC18C27C-CBF8-44A1-992C-267EBC85AB61}"/>
    <cellStyle name="Output 3 4 3 2" xfId="7573" xr:uid="{80C1E0C6-870C-472B-82BD-46E840A581AA}"/>
    <cellStyle name="Output 3 4 3 3" xfId="9261" xr:uid="{49597F59-FCF2-4853-BFC0-4F3C7C840D12}"/>
    <cellStyle name="Output 3 4 3 4" xfId="12252" xr:uid="{B461E539-7790-40B6-91D3-E3D546D976AA}"/>
    <cellStyle name="Output 3 4 3 5" xfId="13904" xr:uid="{DE874BA5-BCCC-4323-A1CE-790430F641B0}"/>
    <cellStyle name="Output 3 4 3 6" xfId="15592" xr:uid="{DDC433FE-988C-4986-A0EE-101CB19AB54E}"/>
    <cellStyle name="Output 3 4 4" xfId="6692" xr:uid="{E0CF481D-3DD0-44C3-895A-6B69A247862E}"/>
    <cellStyle name="Output 3 5" xfId="3175" xr:uid="{DEE45520-E4ED-4FCB-980B-9C11A6FF6387}"/>
    <cellStyle name="Output 3 5 10" xfId="5364" xr:uid="{9BD9A260-23E5-432A-87FD-5BAE4EC97A55}"/>
    <cellStyle name="Output 3 5 2" xfId="4055" xr:uid="{E93542C1-D975-45AF-A70A-67DB9FD67E31}"/>
    <cellStyle name="Output 3 5 2 2" xfId="7980" xr:uid="{B6E6AAB4-D515-4285-92C1-02700BEBB7B6}"/>
    <cellStyle name="Output 3 5 2 3" xfId="9674" xr:uid="{84E5B37F-251B-417A-AC25-4EB33327842C}"/>
    <cellStyle name="Output 3 5 2 4" xfId="12659" xr:uid="{1161DF98-1F46-4945-BAAD-FBBFC81C036B}"/>
    <cellStyle name="Output 3 5 2 5" xfId="14317" xr:uid="{D2555755-835B-44E8-BD49-42D375018BDB}"/>
    <cellStyle name="Output 3 5 2 6" xfId="15999" xr:uid="{5FDB7FAB-7014-449B-A059-A0028D10C586}"/>
    <cellStyle name="Output 3 5 3" xfId="3617" xr:uid="{60ADBDA4-AA05-4CC2-9EB7-CBD6D3479489}"/>
    <cellStyle name="Output 3 5 3 2" xfId="7548" xr:uid="{D7A96EF9-09C7-4C1D-89A8-C9882B13E32F}"/>
    <cellStyle name="Output 3 5 3 3" xfId="9236" xr:uid="{BB366878-EC25-45A6-BC8A-ADFFD70FF5AD}"/>
    <cellStyle name="Output 3 5 3 4" xfId="12227" xr:uid="{6599F1E0-B44B-4AFD-AD6B-B94C142E1036}"/>
    <cellStyle name="Output 3 5 3 5" xfId="13879" xr:uid="{B41C7C41-EF18-4188-9D53-E6F5DB3AF20D}"/>
    <cellStyle name="Output 3 5 3 6" xfId="15567" xr:uid="{43A9E77C-04ED-46A3-9CF0-F59B401B116F}"/>
    <cellStyle name="Output 3 5 4" xfId="4341" xr:uid="{D77A01A0-93DF-40CC-9B36-0F45F6DA069E}"/>
    <cellStyle name="Output 3 5 4 2" xfId="8260" xr:uid="{3E145FFE-2FB5-4E71-9BE0-D63BC7E6D9AC}"/>
    <cellStyle name="Output 3 5 4 3" xfId="9958" xr:uid="{E645566C-01E8-4551-84B9-3E6699DFEA89}"/>
    <cellStyle name="Output 3 5 4 4" xfId="12937" xr:uid="{B4D72264-A24D-474B-BC9B-C62DB014BB8C}"/>
    <cellStyle name="Output 3 5 4 5" xfId="14601" xr:uid="{AD887307-D4D7-43D8-AB10-4152E3A5E4C5}"/>
    <cellStyle name="Output 3 5 4 6" xfId="16277" xr:uid="{6A50CEA4-4167-49B4-90DA-2462AB201087}"/>
    <cellStyle name="Output 3 5 5" xfId="6005" xr:uid="{1149EA93-9A2B-4AAE-B5F9-066AB8DAA136}"/>
    <cellStyle name="Output 3 5 6" xfId="5775" xr:uid="{CBFDC8EA-38BF-4219-A5C6-FDA641ED950C}"/>
    <cellStyle name="Output 3 5 7" xfId="10652" xr:uid="{8614E21D-2376-4E51-9E45-18DAC918C91A}"/>
    <cellStyle name="Output 3 5 8" xfId="5891" xr:uid="{27C452BB-62B0-4D15-A934-029E07593775}"/>
    <cellStyle name="Output 3 5 9" xfId="10829" xr:uid="{A6548600-BCAE-4CE7-816B-3AB233EDD84D}"/>
    <cellStyle name="Output 3 6" xfId="3215" xr:uid="{30A15488-0A12-4020-B9CA-2248A20A83E2}"/>
    <cellStyle name="Output 3 6 10" xfId="5272" xr:uid="{66EBBE81-82A6-4C44-84DC-2F50AF7559DC}"/>
    <cellStyle name="Output 3 6 2" xfId="4095" xr:uid="{6189614E-3450-45FF-A5E1-D9C20BD5EBCA}"/>
    <cellStyle name="Output 3 6 2 2" xfId="8020" xr:uid="{94086B62-F66E-41C7-B77F-74EB1FC5F108}"/>
    <cellStyle name="Output 3 6 2 3" xfId="9714" xr:uid="{E075320F-C63E-4C7F-83B6-8DAA40E8B0CF}"/>
    <cellStyle name="Output 3 6 2 4" xfId="12699" xr:uid="{292F93E5-A4E4-4E74-9EC4-E42B83588598}"/>
    <cellStyle name="Output 3 6 2 5" xfId="14357" xr:uid="{4A2C4C17-2B0F-40AF-B357-1CC0535FE881}"/>
    <cellStyle name="Output 3 6 2 6" xfId="16039" xr:uid="{35CE96F2-4E9B-4398-B7AA-CEB89BCCAB30}"/>
    <cellStyle name="Output 3 6 3" xfId="3657" xr:uid="{C346D2F8-E75E-4204-911C-06848C51F584}"/>
    <cellStyle name="Output 3 6 3 2" xfId="7588" xr:uid="{25192AC6-1C05-4862-BF6B-DE5B1310C5E1}"/>
    <cellStyle name="Output 3 6 3 3" xfId="9276" xr:uid="{28897B7F-B212-4B7C-97B9-BB86D7655B62}"/>
    <cellStyle name="Output 3 6 3 4" xfId="12267" xr:uid="{4A4CEC99-820E-4A85-961B-2FA542F58DB6}"/>
    <cellStyle name="Output 3 6 3 5" xfId="13919" xr:uid="{C135CAD6-3886-43DC-B703-431ED3529EB3}"/>
    <cellStyle name="Output 3 6 3 6" xfId="15607" xr:uid="{CC4EA8F9-D329-4884-8A76-9B1A752A71B6}"/>
    <cellStyle name="Output 3 6 4" xfId="4372" xr:uid="{D330B1B6-5163-45F5-A01B-DF82DC6A2E58}"/>
    <cellStyle name="Output 3 6 4 2" xfId="8291" xr:uid="{848E51DB-A7E5-4C4B-9038-35410D11B4D7}"/>
    <cellStyle name="Output 3 6 4 3" xfId="9989" xr:uid="{A620B117-2583-4A79-82DD-6BFEAA6C9693}"/>
    <cellStyle name="Output 3 6 4 4" xfId="12968" xr:uid="{7D9288C2-0DAE-4E3D-A717-82B84956E022}"/>
    <cellStyle name="Output 3 6 4 5" xfId="14632" xr:uid="{11B25F1E-764B-4B64-B073-4C73E73E6477}"/>
    <cellStyle name="Output 3 6 4 6" xfId="16308" xr:uid="{ECD92AF1-1E0A-46AA-9155-9645F3C28FC9}"/>
    <cellStyle name="Output 3 6 5" xfId="6039" xr:uid="{7925E53A-671D-490C-B1CC-9D1233921975}"/>
    <cellStyle name="Output 3 6 6" xfId="5709" xr:uid="{34A3DBC3-158A-4765-9342-70226891C3E8}"/>
    <cellStyle name="Output 3 6 7" xfId="10684" xr:uid="{9E94770A-87EA-4DF9-9E7B-950F03C3E179}"/>
    <cellStyle name="Output 3 6 8" xfId="5425" xr:uid="{5FC10EC7-6F99-4638-BE65-EEAA98DF8CCF}"/>
    <cellStyle name="Output 3 6 9" xfId="11033" xr:uid="{4890785F-E379-43DB-ABB4-0D343502A2EE}"/>
    <cellStyle name="Output 3 7" xfId="3846" xr:uid="{ED0E232C-0FA7-4E52-961B-3E20E0B23DD8}"/>
    <cellStyle name="Output 3 7 2" xfId="7775" xr:uid="{B8741FA0-4408-4DED-ABDA-B69E9CEFB621}"/>
    <cellStyle name="Output 3 7 3" xfId="9465" xr:uid="{157A0BB3-60E9-45B9-A614-54F3402F5D2A}"/>
    <cellStyle name="Output 3 7 4" xfId="12454" xr:uid="{D5142116-FECF-4FBA-B8D7-8354FC06EA00}"/>
    <cellStyle name="Output 3 7 5" xfId="14108" xr:uid="{1DAC7AEA-3C70-427F-803D-1E59A147B2B8}"/>
    <cellStyle name="Output 3 7 6" xfId="15794" xr:uid="{E231E62F-6952-4E4D-97D4-C2A270E15491}"/>
    <cellStyle name="Output 3 8" xfId="3409" xr:uid="{3C180962-B333-40FE-B196-2E18EEC81C69}"/>
    <cellStyle name="Output 3 8 2" xfId="5987" xr:uid="{F3A51D5F-C7AD-4F9F-AA3B-EFD2F5FA8AF1}"/>
    <cellStyle name="Output 3 8 3" xfId="9028" xr:uid="{38F4ECE8-6A4A-4377-95D0-AB4B63D17D5D}"/>
    <cellStyle name="Output 3 8 4" xfId="5315" xr:uid="{5DA46487-82FC-4D62-863A-4452AE4FE9A5}"/>
    <cellStyle name="Output 3 8 5" xfId="13671" xr:uid="{3DFF30D0-A827-4484-86CC-D41C9D6B0B3C}"/>
    <cellStyle name="Output 3 8 6" xfId="15362" xr:uid="{11D3CAD0-8A16-4ED0-AF41-527C82FB40B9}"/>
    <cellStyle name="Output 3 9" xfId="5357" xr:uid="{20AABDA1-0DBA-43EF-B975-040329AC18FB}"/>
    <cellStyle name="Output 4" xfId="1723" xr:uid="{5B8BA9C1-2470-4818-B49A-DD217C7C29FC}"/>
    <cellStyle name="Output 4 10" xfId="6012" xr:uid="{8FDC3B19-25DD-4D19-B83A-FEC4C2D14A86}"/>
    <cellStyle name="Output 4 2" xfId="3001" xr:uid="{D135DB64-4B15-4AD9-AF11-041518063086}"/>
    <cellStyle name="Output 4 2 10" xfId="3884" xr:uid="{73BCD3A0-6A04-481E-ACCE-F52EF9F9D808}"/>
    <cellStyle name="Output 4 2 10 2" xfId="7812" xr:uid="{D8438C14-DF7F-44BE-9B03-B9D66EDE4A3F}"/>
    <cellStyle name="Output 4 2 10 3" xfId="9503" xr:uid="{60B4004A-6F69-4C9C-AEAE-3E75FFCD4235}"/>
    <cellStyle name="Output 4 2 10 4" xfId="12491" xr:uid="{A35544F7-4166-4CAD-9D5B-10CE3530EA97}"/>
    <cellStyle name="Output 4 2 10 5" xfId="14146" xr:uid="{164AA0D5-F9EA-4FE0-A013-4E4265E62C1B}"/>
    <cellStyle name="Output 4 2 10 6" xfId="15831" xr:uid="{1F987F9B-6921-4EED-B8C2-52768CE02AEB}"/>
    <cellStyle name="Output 4 2 11" xfId="3446" xr:uid="{AF823D84-90A2-40CD-AADB-7A4AB8156977}"/>
    <cellStyle name="Output 4 2 11 2" xfId="5194" xr:uid="{613C316F-EFD2-488C-BEA8-1B958CA7FD1A}"/>
    <cellStyle name="Output 4 2 11 3" xfId="9065" xr:uid="{E3C78107-F8EF-4455-9C2A-1AC7F1C1753F}"/>
    <cellStyle name="Output 4 2 11 4" xfId="5543" xr:uid="{285475FE-E6F7-4FD2-B512-3EDCD9A4B0F5}"/>
    <cellStyle name="Output 4 2 11 5" xfId="13708" xr:uid="{AFCB39CD-36CB-4059-B500-B413CFA9C807}"/>
    <cellStyle name="Output 4 2 11 6" xfId="15399" xr:uid="{74BBA920-0DFA-4FEF-84AC-5A003F7C4E2E}"/>
    <cellStyle name="Output 4 2 12" xfId="5382" xr:uid="{648315AC-F625-4376-885B-7DB160FAB034}"/>
    <cellStyle name="Output 4 2 13" xfId="5092" xr:uid="{18F2A946-C322-423E-9058-8B060C003FEC}"/>
    <cellStyle name="Output 4 2 2" xfId="3013" xr:uid="{ACC7ECFE-9EAF-483A-BD5D-0827DBBB91BD}"/>
    <cellStyle name="Output 4 2 2 10" xfId="3893" xr:uid="{2FDE8CD7-25C6-48F0-9EC8-1F42989EDC27}"/>
    <cellStyle name="Output 4 2 2 10 2" xfId="7821" xr:uid="{ED0E7F57-4C85-4DC4-8B59-0A6918E51363}"/>
    <cellStyle name="Output 4 2 2 10 3" xfId="9512" xr:uid="{47D1EAAD-10E7-499E-AAF2-B3F23555EC8D}"/>
    <cellStyle name="Output 4 2 2 10 4" xfId="12500" xr:uid="{F9D7581F-0ECA-47B0-99B2-B9C1367705FE}"/>
    <cellStyle name="Output 4 2 2 10 5" xfId="14155" xr:uid="{1863AC46-3686-4EA6-9C7E-D9B9EBA0E02B}"/>
    <cellStyle name="Output 4 2 2 10 6" xfId="15840" xr:uid="{8CB71F14-7063-43F4-A082-34DA08E8713A}"/>
    <cellStyle name="Output 4 2 2 11" xfId="3455" xr:uid="{5A0E9C19-372B-401C-8593-954CEE693979}"/>
    <cellStyle name="Output 4 2 2 11 2" xfId="5070" xr:uid="{5E3C6B8A-197F-49C6-93D3-9D2C3D5D165D}"/>
    <cellStyle name="Output 4 2 2 11 3" xfId="9074" xr:uid="{79EF716B-285F-418E-9F0D-05774FB7E9D6}"/>
    <cellStyle name="Output 4 2 2 11 4" xfId="6830" xr:uid="{FD4338FF-C19F-4DA3-9DBA-3387F5EAFE3D}"/>
    <cellStyle name="Output 4 2 2 11 5" xfId="13717" xr:uid="{517B8ED3-5DED-4FA3-97E2-4D25BD4DE572}"/>
    <cellStyle name="Output 4 2 2 11 6" xfId="15408" xr:uid="{9AEE5293-E7D6-4F87-85FD-12B5873A9198}"/>
    <cellStyle name="Output 4 2 2 12" xfId="5820" xr:uid="{DBACE4EA-6B41-40C1-A73D-C235ECF4C6AE}"/>
    <cellStyle name="Output 4 2 2 13" xfId="5548" xr:uid="{CC1B55B4-DF21-4D4A-B1CC-AB9F21F98F00}"/>
    <cellStyle name="Output 4 2 2 2" xfId="3159" xr:uid="{0767392B-1BE5-4FAB-9B01-3874F3645033}"/>
    <cellStyle name="Output 4 2 2 2 2" xfId="4039" xr:uid="{4D3358E2-3375-4FFF-9E9B-C8033BCB4011}"/>
    <cellStyle name="Output 4 2 2 2 2 2" xfId="7965" xr:uid="{35B1DAE8-DB14-49E5-AECF-53BA6048EC2D}"/>
    <cellStyle name="Output 4 2 2 2 2 3" xfId="9658" xr:uid="{4B7D485D-C953-431A-B699-CD28AD922103}"/>
    <cellStyle name="Output 4 2 2 2 2 4" xfId="12644" xr:uid="{225883BB-2626-49F2-ABE9-3959B544C10C}"/>
    <cellStyle name="Output 4 2 2 2 2 5" xfId="14301" xr:uid="{5302133E-D355-4E75-BA21-D59BD19E285B}"/>
    <cellStyle name="Output 4 2 2 2 2 6" xfId="15984" xr:uid="{0FFC13F9-8E2D-4204-BA79-E74AE48F9CC0}"/>
    <cellStyle name="Output 4 2 2 2 3" xfId="3601" xr:uid="{CF8D2BBE-A867-4678-9C56-B67E0F8CCD5F}"/>
    <cellStyle name="Output 4 2 2 2 3 2" xfId="7533" xr:uid="{8FCEE786-3EB3-4D33-8F97-7E536EAE1D57}"/>
    <cellStyle name="Output 4 2 2 2 3 3" xfId="9220" xr:uid="{FF00FBC4-9F10-4A84-B515-730F478B3FED}"/>
    <cellStyle name="Output 4 2 2 2 3 4" xfId="12212" xr:uid="{266A452A-EA20-4399-B959-38D4CF8AA11C}"/>
    <cellStyle name="Output 4 2 2 2 3 5" xfId="13863" xr:uid="{8BD72404-C5DB-43AD-BCFE-4D5870428194}"/>
    <cellStyle name="Output 4 2 2 2 3 6" xfId="15552" xr:uid="{C8CA52A6-5AC8-4A48-919C-F82707B3B78E}"/>
    <cellStyle name="Output 4 2 2 2 4" xfId="6767" xr:uid="{36469D6F-40AD-4E6B-A20B-A8781C4C5A49}"/>
    <cellStyle name="Output 4 2 2 3" xfId="3170" xr:uid="{9557094A-6AE3-4763-8F22-CA570E2E50A8}"/>
    <cellStyle name="Output 4 2 2 3 2" xfId="4050" xr:uid="{ECB7B181-4AC5-4237-8FBA-4D2CD98A83FE}"/>
    <cellStyle name="Output 4 2 2 3 2 2" xfId="7975" xr:uid="{DBB1E270-3547-4CEF-A2D2-7774373FE686}"/>
    <cellStyle name="Output 4 2 2 3 2 3" xfId="9669" xr:uid="{88C7AFED-D847-46F7-9CB2-F7278081BA7E}"/>
    <cellStyle name="Output 4 2 2 3 2 4" xfId="12654" xr:uid="{22834C0F-8A65-4B28-8CC7-B844D7E60761}"/>
    <cellStyle name="Output 4 2 2 3 2 5" xfId="14312" xr:uid="{F69BFD96-EA09-4700-B1F4-C2F71D39A71B}"/>
    <cellStyle name="Output 4 2 2 3 2 6" xfId="15994" xr:uid="{F1E94956-1F8D-4B97-A4EB-EDC3106AC4F7}"/>
    <cellStyle name="Output 4 2 2 3 3" xfId="3612" xr:uid="{FC5AE221-6DD0-4F90-AB06-0D3D0BD7842A}"/>
    <cellStyle name="Output 4 2 2 3 3 2" xfId="7543" xr:uid="{F63C6DDF-FA4A-4CEA-BDB7-F3B7FD5FD80E}"/>
    <cellStyle name="Output 4 2 2 3 3 3" xfId="9231" xr:uid="{8F45CA89-362E-407D-A56F-A561BEF440B5}"/>
    <cellStyle name="Output 4 2 2 3 3 4" xfId="12222" xr:uid="{62C2135A-E449-46AB-B0D4-43EF785CA91C}"/>
    <cellStyle name="Output 4 2 2 3 3 5" xfId="13874" xr:uid="{6CF1119E-6FEF-4253-86AA-6ABBAF38B80D}"/>
    <cellStyle name="Output 4 2 2 3 3 6" xfId="15562" xr:uid="{E3478051-DED0-4878-9AC9-4A9318B882CC}"/>
    <cellStyle name="Output 4 2 2 3 4" xfId="6703" xr:uid="{259375EC-16E6-421D-9B3A-CE289249F3E9}"/>
    <cellStyle name="Output 4 2 2 4" xfId="3334" xr:uid="{862BC451-E253-4186-9096-654C30340132}"/>
    <cellStyle name="Output 4 2 2 4 2" xfId="4214" xr:uid="{46F63871-30B7-43C9-88B1-AB56ECFBAD1F}"/>
    <cellStyle name="Output 4 2 2 4 2 2" xfId="8138" xr:uid="{80165128-9C5F-4C2F-AE9C-97FC69B3ACA8}"/>
    <cellStyle name="Output 4 2 2 4 2 3" xfId="9833" xr:uid="{8323CC14-D3DF-4304-BA06-D29CD9A02133}"/>
    <cellStyle name="Output 4 2 2 4 2 4" xfId="12817" xr:uid="{0828AE58-943F-4F53-9E13-9538894B5F4F}"/>
    <cellStyle name="Output 4 2 2 4 2 5" xfId="14476" xr:uid="{5F211C99-ABCA-4087-BF32-848FDE64A898}"/>
    <cellStyle name="Output 4 2 2 4 2 6" xfId="16157" xr:uid="{50A36B51-FC59-4D0E-8C43-FF36C2DA1080}"/>
    <cellStyle name="Output 4 2 2 4 3" xfId="3775" xr:uid="{12E4AB42-FDC8-4FEF-8675-1320F818262D}"/>
    <cellStyle name="Output 4 2 2 4 3 2" xfId="7706" xr:uid="{D37FD604-8162-4B1F-B17C-52300B8F1466}"/>
    <cellStyle name="Output 4 2 2 4 3 3" xfId="9394" xr:uid="{A2286FB1-770F-4F8F-8902-DF115DEC32BF}"/>
    <cellStyle name="Output 4 2 2 4 3 4" xfId="12385" xr:uid="{08BAA44D-4C00-477E-A15F-939C59E4E548}"/>
    <cellStyle name="Output 4 2 2 4 3 5" xfId="14037" xr:uid="{F98A15FA-4C6B-4C17-9400-08C05C7FACF7}"/>
    <cellStyle name="Output 4 2 2 4 3 6" xfId="15725" xr:uid="{069A86D5-FA85-4CC2-BE99-2863917A4065}"/>
    <cellStyle name="Output 4 2 2 4 4" xfId="8997" xr:uid="{1E4C426B-3576-4B3E-8617-FB0EE13F5F0B}"/>
    <cellStyle name="Output 4 2 2 5" xfId="3345" xr:uid="{3EAAF6AB-A59D-49B1-B81B-22D1E72D9172}"/>
    <cellStyle name="Output 4 2 2 5 2" xfId="4225" xr:uid="{6BFF8B5C-9A88-482C-88CB-4231A62E3592}"/>
    <cellStyle name="Output 4 2 2 5 2 2" xfId="8148" xr:uid="{2EEEE1A8-8D49-4DA3-B935-06B9AD495C13}"/>
    <cellStyle name="Output 4 2 2 5 2 3" xfId="9844" xr:uid="{3610E2D3-28B2-44B0-A45A-1272CAA31507}"/>
    <cellStyle name="Output 4 2 2 5 2 4" xfId="12827" xr:uid="{B59699BF-DFBA-4EC5-9710-6322E43573FB}"/>
    <cellStyle name="Output 4 2 2 5 2 5" xfId="14487" xr:uid="{85276E32-E02C-4970-B52C-E357B9B9AB5B}"/>
    <cellStyle name="Output 4 2 2 5 2 6" xfId="16167" xr:uid="{6156D4EF-1769-4A51-AA0E-A0D343A1AF18}"/>
    <cellStyle name="Output 4 2 2 5 3" xfId="3785" xr:uid="{69394283-BBD4-4F55-86D1-0E7CF56821CD}"/>
    <cellStyle name="Output 4 2 2 5 3 2" xfId="7716" xr:uid="{89CCE55B-23ED-44B2-B5DE-B41D53569817}"/>
    <cellStyle name="Output 4 2 2 5 3 3" xfId="9404" xr:uid="{5FB24DC9-9ED1-41AE-BB93-D023A6DFEFC6}"/>
    <cellStyle name="Output 4 2 2 5 3 4" xfId="12395" xr:uid="{247CC16C-73E9-4D2D-9246-CB9DE5EEB409}"/>
    <cellStyle name="Output 4 2 2 5 3 5" xfId="14047" xr:uid="{C758EE3A-3272-447A-BA7F-2190CFC25BA4}"/>
    <cellStyle name="Output 4 2 2 5 3 6" xfId="15735" xr:uid="{027C0981-6629-4A02-871C-9F35FB5AF942}"/>
    <cellStyle name="Output 4 2 2 5 4" xfId="9006" xr:uid="{94A3B832-D818-44A6-9278-3A5FB0027261}"/>
    <cellStyle name="Output 4 2 2 6" xfId="3354" xr:uid="{D5E5A482-5EC1-43DA-BCE6-32E745FC0B76}"/>
    <cellStyle name="Output 4 2 2 6 10" xfId="15311" xr:uid="{7DEADAD7-75F9-4A3B-B25A-A5A90EA53D98}"/>
    <cellStyle name="Output 4 2 2 6 2" xfId="4234" xr:uid="{0F32969E-4F64-4CF9-AB98-BCE0CE6F3402}"/>
    <cellStyle name="Output 4 2 2 6 2 2" xfId="8157" xr:uid="{AAFDFC18-33B9-49DC-A74B-B79C0B345D4B}"/>
    <cellStyle name="Output 4 2 2 6 2 3" xfId="9853" xr:uid="{0C9FB32C-496B-4A5C-AEF9-C0F8B8B1F363}"/>
    <cellStyle name="Output 4 2 2 6 2 4" xfId="12836" xr:uid="{D94B10C9-552A-4FEF-9339-E3A70BF8E02D}"/>
    <cellStyle name="Output 4 2 2 6 2 5" xfId="14496" xr:uid="{C8556E84-73AD-4FE4-AFB8-028DE80A2427}"/>
    <cellStyle name="Output 4 2 2 6 2 6" xfId="16176" xr:uid="{22339C73-BFDB-4D43-86FC-22CE9AFDCC01}"/>
    <cellStyle name="Output 4 2 2 6 3" xfId="3794" xr:uid="{04E2F778-E0FC-4655-A3EB-BF63F45D12C9}"/>
    <cellStyle name="Output 4 2 2 6 3 2" xfId="7725" xr:uid="{4B892D12-85AD-4DFA-AE8A-099C8F08BB5B}"/>
    <cellStyle name="Output 4 2 2 6 3 3" xfId="9413" xr:uid="{C110B644-6FE2-4797-A928-080A132FA130}"/>
    <cellStyle name="Output 4 2 2 6 3 4" xfId="12404" xr:uid="{7A67A8DE-2BBC-476E-A38F-9D9D329BD4F8}"/>
    <cellStyle name="Output 4 2 2 6 3 5" xfId="14056" xr:uid="{B17AA908-1C01-4F30-93EB-B15BBC58E4FB}"/>
    <cellStyle name="Output 4 2 2 6 3 6" xfId="15744" xr:uid="{02DFFD43-6611-409E-8864-6043427B2C05}"/>
    <cellStyle name="Output 4 2 2 6 4" xfId="4410" xr:uid="{40B1E938-4205-4F2A-A5D1-F46E601FCAA5}"/>
    <cellStyle name="Output 4 2 2 6 4 2" xfId="8327" xr:uid="{BD20E31A-BD77-4278-9D0A-41CE431AAF10}"/>
    <cellStyle name="Output 4 2 2 6 4 3" xfId="10027" xr:uid="{2E0E9571-841D-4669-A952-F41755216BF7}"/>
    <cellStyle name="Output 4 2 2 6 4 4" xfId="13004" xr:uid="{CDFD0D25-193D-45C1-83F5-346F52635920}"/>
    <cellStyle name="Output 4 2 2 6 4 5" xfId="14670" xr:uid="{901AC078-BD49-402E-B653-BD091CEC7942}"/>
    <cellStyle name="Output 4 2 2 6 4 6" xfId="16344" xr:uid="{891D215B-7792-4AAD-8469-FF04A47F8C39}"/>
    <cellStyle name="Output 4 2 2 6 5" xfId="6112" xr:uid="{5421BD14-A79E-43EE-A4B0-3A79F78A99F0}"/>
    <cellStyle name="Output 4 2 2 6 6" xfId="5646" xr:uid="{22086A73-0AC5-4055-A6EC-058DE4721C41}"/>
    <cellStyle name="Output 4 2 2 6 7" xfId="10744" xr:uid="{03BD0320-FCE9-4FE5-B025-84518B92DA59}"/>
    <cellStyle name="Output 4 2 2 6 8" xfId="10714" xr:uid="{BCD337F7-64C6-4D8A-B7D6-8A7209A9E71C}"/>
    <cellStyle name="Output 4 2 2 6 9" xfId="13620" xr:uid="{4DB65080-EDB9-4D43-9C2E-FCE3FCEF83E7}"/>
    <cellStyle name="Output 4 2 2 7" xfId="3251" xr:uid="{984DEC6B-4FFF-488F-928F-48C826E8D027}"/>
    <cellStyle name="Output 4 2 2 7 2" xfId="4131" xr:uid="{0DEAC4A5-57D1-4B73-B2B9-17D63A3190D5}"/>
    <cellStyle name="Output 4 2 2 7 2 2" xfId="8056" xr:uid="{88EB489B-C917-4DA0-9263-DF93A807D2FD}"/>
    <cellStyle name="Output 4 2 2 7 2 3" xfId="9750" xr:uid="{9B329AA9-F359-4431-AE3E-87C8962EFBF5}"/>
    <cellStyle name="Output 4 2 2 7 2 4" xfId="12735" xr:uid="{D55E952A-82BF-4EF4-89C5-DBF015ECDE57}"/>
    <cellStyle name="Output 4 2 2 7 2 5" xfId="14393" xr:uid="{9A71E518-9B5E-41C7-B549-30C3E8D74CA7}"/>
    <cellStyle name="Output 4 2 2 7 2 6" xfId="16075" xr:uid="{2C6E5959-826F-41DB-812B-6D7C1D3C4BAB}"/>
    <cellStyle name="Output 4 2 2 7 3" xfId="3693" xr:uid="{102A6CC0-9DB3-4845-98CC-218F18FC4C67}"/>
    <cellStyle name="Output 4 2 2 7 3 2" xfId="7624" xr:uid="{623C6BB6-5CE1-4CE3-AD6C-5FA09BB35BD2}"/>
    <cellStyle name="Output 4 2 2 7 3 3" xfId="9312" xr:uid="{B5F4F563-4116-4017-91B0-74A7952C39F1}"/>
    <cellStyle name="Output 4 2 2 7 3 4" xfId="12303" xr:uid="{4D78888D-25C0-48F1-99B8-474F7B35B338}"/>
    <cellStyle name="Output 4 2 2 7 3 5" xfId="13955" xr:uid="{6BBD72EA-71BB-4A16-9D96-8FAB4EE021B6}"/>
    <cellStyle name="Output 4 2 2 7 3 6" xfId="15643" xr:uid="{2EE9713F-5962-4C59-8767-ED0E4EF6573B}"/>
    <cellStyle name="Output 4 2 2 7 4" xfId="6075" xr:uid="{AE72CDA9-901D-456B-AA62-AE7FC591B558}"/>
    <cellStyle name="Output 4 2 2 8" xfId="3164" xr:uid="{B3D14CD9-CFF8-4E41-865B-893FD18DAE89}"/>
    <cellStyle name="Output 4 2 2 8 10" xfId="5513" xr:uid="{6AE43649-FF47-45AE-BE44-BAB1937D76BE}"/>
    <cellStyle name="Output 4 2 2 8 2" xfId="4044" xr:uid="{27A9C3B5-8D50-446F-A2F2-9484B6800A8A}"/>
    <cellStyle name="Output 4 2 2 8 2 2" xfId="7970" xr:uid="{7BEB3679-DC96-41B4-9F7D-1A80757D8586}"/>
    <cellStyle name="Output 4 2 2 8 2 3" xfId="9663" xr:uid="{611668A3-41E2-4615-9D6D-E5753516E3BF}"/>
    <cellStyle name="Output 4 2 2 8 2 4" xfId="12649" xr:uid="{14CC5022-92E3-462A-B280-FB40F387DBB4}"/>
    <cellStyle name="Output 4 2 2 8 2 5" xfId="14306" xr:uid="{2C698E8B-6FF6-45B3-843D-D52D97A22270}"/>
    <cellStyle name="Output 4 2 2 8 2 6" xfId="15989" xr:uid="{94B92147-C62D-48BC-8F79-BAD685E87279}"/>
    <cellStyle name="Output 4 2 2 8 3" xfId="3606" xr:uid="{225CD710-363E-496B-BD09-BB1CB5A0EA61}"/>
    <cellStyle name="Output 4 2 2 8 3 2" xfId="7538" xr:uid="{1C9B8D5F-323E-4850-AEE9-D081BE580AC8}"/>
    <cellStyle name="Output 4 2 2 8 3 3" xfId="9225" xr:uid="{8CEF7C4F-F508-49A7-ABB1-BEBB41E89738}"/>
    <cellStyle name="Output 4 2 2 8 3 4" xfId="12217" xr:uid="{C31BFD8B-A999-4823-B7CC-3686560D799D}"/>
    <cellStyle name="Output 4 2 2 8 3 5" xfId="13868" xr:uid="{49483ACF-8809-4AED-9E87-D2BAD98D67BC}"/>
    <cellStyle name="Output 4 2 2 8 3 6" xfId="15557" xr:uid="{8CA7F664-6EED-4F01-8359-C38FB0647483}"/>
    <cellStyle name="Output 4 2 2 8 4" xfId="4335" xr:uid="{FE5096DC-BC48-4A91-89F5-626995207EB1}"/>
    <cellStyle name="Output 4 2 2 8 4 2" xfId="8255" xr:uid="{100EBF5A-EAC5-458F-B8AE-F39BCC3E5041}"/>
    <cellStyle name="Output 4 2 2 8 4 3" xfId="9952" xr:uid="{33A746AB-CC87-4F76-A503-B6BC67747D79}"/>
    <cellStyle name="Output 4 2 2 8 4 4" xfId="12932" xr:uid="{6042DF8D-2CD5-4F5D-8C3B-8BB3EEA1F176}"/>
    <cellStyle name="Output 4 2 2 8 4 5" xfId="14595" xr:uid="{D661075F-C377-4FB2-A517-417B4C62D928}"/>
    <cellStyle name="Output 4 2 2 8 4 6" xfId="16272" xr:uid="{1E5E3453-48D0-4BF1-9DF8-9358F1C3E4DA}"/>
    <cellStyle name="Output 4 2 2 8 5" xfId="5998" xr:uid="{FAF20ED5-C979-4A8D-9FBD-9597C55839B5}"/>
    <cellStyle name="Output 4 2 2 8 6" xfId="5592" xr:uid="{A48F1B4E-EB44-438D-97C4-C908723BAF7B}"/>
    <cellStyle name="Output 4 2 2 8 7" xfId="10645" xr:uid="{7D2FE17D-19E3-4734-BC88-6A7D4A981B64}"/>
    <cellStyle name="Output 4 2 2 8 8" xfId="5418" xr:uid="{4F1E0BE3-C457-4C01-9153-F42507D97673}"/>
    <cellStyle name="Output 4 2 2 8 9" xfId="5469" xr:uid="{7F439C45-D364-4135-B10E-EF440A79ACCE}"/>
    <cellStyle name="Output 4 2 2 9" xfId="3389" xr:uid="{7669F809-FA79-4F44-BC7C-DB5E5D599380}"/>
    <cellStyle name="Output 4 2 2 9 10" xfId="15346" xr:uid="{3D5E63F6-D413-4149-BDD1-29E8FE240F11}"/>
    <cellStyle name="Output 4 2 2 9 2" xfId="4269" xr:uid="{F1DD3740-066B-4BF8-96D1-43A748394306}"/>
    <cellStyle name="Output 4 2 2 9 2 2" xfId="8191" xr:uid="{86CF3267-5679-4C8D-BB80-7C63E7A3BDC3}"/>
    <cellStyle name="Output 4 2 2 9 2 3" xfId="9888" xr:uid="{0F547596-FF01-4C0A-B7A1-6E1F9AF1CEFA}"/>
    <cellStyle name="Output 4 2 2 9 2 4" xfId="12870" xr:uid="{374952B7-CBA6-4E46-8355-20D97F78B981}"/>
    <cellStyle name="Output 4 2 2 9 2 5" xfId="14531" xr:uid="{C71B083C-6EB2-42DB-9839-64AF3AAE4A80}"/>
    <cellStyle name="Output 4 2 2 9 2 6" xfId="16210" xr:uid="{C8771F91-0704-4359-8053-90D3F63E9E3B}"/>
    <cellStyle name="Output 4 2 2 9 3" xfId="3829" xr:uid="{C14E2DE7-C25E-4E8A-A583-97E94001778A}"/>
    <cellStyle name="Output 4 2 2 9 3 2" xfId="7759" xr:uid="{C4C128C7-DF94-484F-82DB-E21AC9E1A732}"/>
    <cellStyle name="Output 4 2 2 9 3 3" xfId="9448" xr:uid="{F9FB27B9-FC8F-4FE1-814F-18C7D4896707}"/>
    <cellStyle name="Output 4 2 2 9 3 4" xfId="12438" xr:uid="{0584E990-D520-44D5-872F-B722C9C2CDBA}"/>
    <cellStyle name="Output 4 2 2 9 3 5" xfId="14091" xr:uid="{9612FE9F-D819-4D9E-894B-7D59AD19FA73}"/>
    <cellStyle name="Output 4 2 2 9 3 6" xfId="15778" xr:uid="{00DFFCDB-D182-4D89-B270-55B4FC2B9BA9}"/>
    <cellStyle name="Output 4 2 2 9 4" xfId="4445" xr:uid="{E7F67C67-D979-4E11-A3D5-0243F960A445}"/>
    <cellStyle name="Output 4 2 2 9 4 2" xfId="8361" xr:uid="{9DC582D5-9B31-4785-AA4A-0F8A0A05A058}"/>
    <cellStyle name="Output 4 2 2 9 4 3" xfId="10062" xr:uid="{5AC69C45-AFD8-4A6D-8934-727E793B5273}"/>
    <cellStyle name="Output 4 2 2 9 4 4" xfId="13038" xr:uid="{130F51A2-4B7F-4DA8-A38F-27B3D7A030FD}"/>
    <cellStyle name="Output 4 2 2 9 4 5" xfId="14705" xr:uid="{A1AFF3B8-12C3-4E9F-8AFC-0CBC910087A8}"/>
    <cellStyle name="Output 4 2 2 9 4 6" xfId="16378" xr:uid="{5D508663-906E-4A5E-993B-5D64730DD865}"/>
    <cellStyle name="Output 4 2 2 9 5" xfId="6147" xr:uid="{93325551-A21F-4AC0-9F76-A72D241F317C}"/>
    <cellStyle name="Output 4 2 2 9 6" xfId="5214" xr:uid="{ADB0C7D7-D75A-4C54-BD17-7C17FB1BA1A9}"/>
    <cellStyle name="Output 4 2 2 9 7" xfId="10779" xr:uid="{C171E755-53AA-4199-B0A2-40FBC30AF584}"/>
    <cellStyle name="Output 4 2 2 9 8" xfId="5781" xr:uid="{D17F4141-347E-47BC-A926-2EB7E7D48676}"/>
    <cellStyle name="Output 4 2 2 9 9" xfId="13655" xr:uid="{5555E10E-5E24-4F8D-BA2D-2C2834789EB3}"/>
    <cellStyle name="Output 4 2 3" xfId="3287" xr:uid="{48109CFA-6356-4582-8A0A-DE890E1B005F}"/>
    <cellStyle name="Output 4 2 3 2" xfId="4167" xr:uid="{79B7A3FC-1A9C-44F3-938B-CF82C4B93B32}"/>
    <cellStyle name="Output 4 2 3 2 2" xfId="8092" xr:uid="{A2C5F95D-7006-4347-8367-61DF11153452}"/>
    <cellStyle name="Output 4 2 3 2 3" xfId="9786" xr:uid="{7E74594D-4130-47DA-8D65-F237E82F6C39}"/>
    <cellStyle name="Output 4 2 3 2 4" xfId="12771" xr:uid="{4F80C5D1-EDEA-4D47-AA4C-E5C481C67884}"/>
    <cellStyle name="Output 4 2 3 2 5" xfId="14429" xr:uid="{2C8319F0-1EFA-4F42-9F60-99D274687D21}"/>
    <cellStyle name="Output 4 2 3 2 6" xfId="16111" xr:uid="{2F0D5E10-F9DE-45A1-8872-C99C6043C7C9}"/>
    <cellStyle name="Output 4 2 3 3" xfId="3729" xr:uid="{C3810A17-429C-4D4F-94A6-1FD280799776}"/>
    <cellStyle name="Output 4 2 3 3 2" xfId="7660" xr:uid="{2145DAEA-A7D3-49A7-A177-91B4AD8A9458}"/>
    <cellStyle name="Output 4 2 3 3 3" xfId="9348" xr:uid="{692375F7-CDA7-477F-B9E2-AB2907BFB4CE}"/>
    <cellStyle name="Output 4 2 3 3 4" xfId="12339" xr:uid="{E806A81B-EDBB-44F6-AB7D-D282472947B8}"/>
    <cellStyle name="Output 4 2 3 3 5" xfId="13991" xr:uid="{FEE680A9-9DB3-4C65-927F-F6A377A8D49A}"/>
    <cellStyle name="Output 4 2 3 3 6" xfId="15679" xr:uid="{61643D82-DD28-44C3-B64A-B6C33CC8DCD8}"/>
    <cellStyle name="Output 4 2 3 4" xfId="8954" xr:uid="{F6D9E6D3-F532-42FC-B49A-BB2E75600920}"/>
    <cellStyle name="Output 4 2 4" xfId="3153" xr:uid="{CB3B40D1-EC75-4B0A-8910-C3E1ED9839A7}"/>
    <cellStyle name="Output 4 2 4 2" xfId="4033" xr:uid="{76E49ADF-37B4-48BC-8312-857BC7C0A476}"/>
    <cellStyle name="Output 4 2 4 2 2" xfId="7959" xr:uid="{F5DD3379-5B6C-4265-B5EF-879ECE3E3B42}"/>
    <cellStyle name="Output 4 2 4 2 3" xfId="9652" xr:uid="{23F8E9C2-95F9-48D3-A002-675B68ED4182}"/>
    <cellStyle name="Output 4 2 4 2 4" xfId="12638" xr:uid="{8F436A8A-38A3-456D-B3D5-CBFCC5220A9E}"/>
    <cellStyle name="Output 4 2 4 2 5" xfId="14295" xr:uid="{09073843-6C4F-4775-8385-53EB64B65255}"/>
    <cellStyle name="Output 4 2 4 2 6" xfId="15978" xr:uid="{9CE4CDA2-4E3C-4C5E-A666-F0C9F89DAE06}"/>
    <cellStyle name="Output 4 2 4 3" xfId="3595" xr:uid="{30B48EAC-3702-4FB4-B419-EE4E899C0A52}"/>
    <cellStyle name="Output 4 2 4 3 2" xfId="7527" xr:uid="{4629B4D7-F4EE-4CED-BCE6-9CF8FA4752E9}"/>
    <cellStyle name="Output 4 2 4 3 3" xfId="9214" xr:uid="{3A02BF1F-98A7-4CA8-899C-8AF76454878C}"/>
    <cellStyle name="Output 4 2 4 3 4" xfId="12206" xr:uid="{C358F9B5-A7EE-4203-B77F-1F6B44AF12D6}"/>
    <cellStyle name="Output 4 2 4 3 5" xfId="13857" xr:uid="{748A5185-1EC6-44AE-A441-834B49B25B8A}"/>
    <cellStyle name="Output 4 2 4 3 6" xfId="15546" xr:uid="{0E5E3C7B-10FE-413E-B09E-335E8B7FC215}"/>
    <cellStyle name="Output 4 2 4 4" xfId="6048" xr:uid="{A24E7A7D-CE2D-40E2-BDD7-3BCA95A57E21}"/>
    <cellStyle name="Output 4 2 5" xfId="3112" xr:uid="{643255E3-13A0-4D96-8A4B-C3A104D61122}"/>
    <cellStyle name="Output 4 2 5 2" xfId="3992" xr:uid="{03E7ACDB-B1A2-460E-8AEB-95F4210F768F}"/>
    <cellStyle name="Output 4 2 5 2 2" xfId="7918" xr:uid="{593B6F06-E370-4AE7-A514-78A754FF067D}"/>
    <cellStyle name="Output 4 2 5 2 3" xfId="9611" xr:uid="{232DD9BE-9C86-4F9D-9E1D-B9AEDB4BE2FD}"/>
    <cellStyle name="Output 4 2 5 2 4" xfId="12597" xr:uid="{C37A092C-3041-4C9B-8E24-DBF4A6F4BA43}"/>
    <cellStyle name="Output 4 2 5 2 5" xfId="14254" xr:uid="{507425DC-2E4F-4E9D-B33B-68B8924941D1}"/>
    <cellStyle name="Output 4 2 5 2 6" xfId="15937" xr:uid="{3D4390F1-B26B-42A3-B420-A9831B42EA06}"/>
    <cellStyle name="Output 4 2 5 3" xfId="3554" xr:uid="{80BEF0FA-0F01-43D6-962E-1B24491B0FBF}"/>
    <cellStyle name="Output 4 2 5 3 2" xfId="5054" xr:uid="{A20B5A74-A29D-4227-8611-A8EA54D7EB92}"/>
    <cellStyle name="Output 4 2 5 3 3" xfId="9173" xr:uid="{D44D5C1D-4C20-42E9-942B-DE111D58FF51}"/>
    <cellStyle name="Output 4 2 5 3 4" xfId="12165" xr:uid="{E0B27B36-61E8-4ED9-968A-8AF0363AD622}"/>
    <cellStyle name="Output 4 2 5 3 5" xfId="13816" xr:uid="{C0218952-7D74-4DC1-A857-BF00E93697C7}"/>
    <cellStyle name="Output 4 2 5 3 6" xfId="15505" xr:uid="{7496E3AD-3D71-4AC5-8C5B-B86F703F4A3E}"/>
    <cellStyle name="Output 4 2 5 4" xfId="6362" xr:uid="{F6DA5A8F-4C35-4045-843A-00F0DCFFFBDC}"/>
    <cellStyle name="Output 4 2 6" xfId="3325" xr:uid="{4433DD96-FDF4-4B54-B49B-60EF7DF2770C}"/>
    <cellStyle name="Output 4 2 6 2" xfId="4205" xr:uid="{28BECAA7-846A-4F36-B367-CAFE6FFBCD03}"/>
    <cellStyle name="Output 4 2 6 2 2" xfId="8129" xr:uid="{452B6FAA-92FF-4D2C-BB47-151B0A2C087E}"/>
    <cellStyle name="Output 4 2 6 2 3" xfId="9824" xr:uid="{C6BAF5A8-5527-426D-9A72-B6BD2EE60DC3}"/>
    <cellStyle name="Output 4 2 6 2 4" xfId="12808" xr:uid="{B79C6EE4-33EA-41C8-A63A-6ED4470F5C35}"/>
    <cellStyle name="Output 4 2 6 2 5" xfId="14467" xr:uid="{8C6023EF-1638-4C87-9CC0-64F198C67528}"/>
    <cellStyle name="Output 4 2 6 2 6" xfId="16148" xr:uid="{FA9A4A53-ADD8-41C1-A605-E86F41A8F100}"/>
    <cellStyle name="Output 4 2 6 3" xfId="3766" xr:uid="{922A35EA-386D-44D6-9E6F-9F0D7FFC904E}"/>
    <cellStyle name="Output 4 2 6 3 2" xfId="7697" xr:uid="{43BE060B-4D8B-4A6E-8994-156A3A3985C8}"/>
    <cellStyle name="Output 4 2 6 3 3" xfId="9385" xr:uid="{5E9BDC8E-5146-4987-844A-EBEB3C878BD1}"/>
    <cellStyle name="Output 4 2 6 3 4" xfId="12376" xr:uid="{1C305CE6-67D5-4664-9A5C-FE365AB9370B}"/>
    <cellStyle name="Output 4 2 6 3 5" xfId="14028" xr:uid="{F0C2B1DE-FAAF-43E3-B8CD-6C6B83E6A71D}"/>
    <cellStyle name="Output 4 2 6 3 6" xfId="15716" xr:uid="{D188582E-B119-498C-AFB7-22262BB4BA1D}"/>
    <cellStyle name="Output 4 2 6 4" xfId="8988" xr:uid="{3A7E910A-9DE1-431A-9DE0-4C03D30E9054}"/>
    <cellStyle name="Output 4 2 7" xfId="3237" xr:uid="{0B9F183E-F6A4-45B9-94F1-2340D05A320C}"/>
    <cellStyle name="Output 4 2 7 10" xfId="15288" xr:uid="{423FF897-B87E-45C8-987E-5CC877322ABB}"/>
    <cellStyle name="Output 4 2 7 2" xfId="4117" xr:uid="{024B6DE8-95D7-4342-885D-D294760088A0}"/>
    <cellStyle name="Output 4 2 7 2 2" xfId="8042" xr:uid="{AD9B663D-57A8-4C5A-B414-4DE2BDD4DD41}"/>
    <cellStyle name="Output 4 2 7 2 3" xfId="9736" xr:uid="{477D27F0-7457-413C-833A-DCF8E86062D2}"/>
    <cellStyle name="Output 4 2 7 2 4" xfId="12721" xr:uid="{0BB5D14D-DB8B-4D62-8EB8-0789A5FF59F4}"/>
    <cellStyle name="Output 4 2 7 2 5" xfId="14379" xr:uid="{ED72FCA4-C196-4919-8107-557EBE59D7DE}"/>
    <cellStyle name="Output 4 2 7 2 6" xfId="16061" xr:uid="{A9A7ACF1-8F58-4FD2-9ECF-CCBE0EB38710}"/>
    <cellStyle name="Output 4 2 7 3" xfId="3679" xr:uid="{FE19C586-87F1-40A5-AD85-60BA3EBDFD77}"/>
    <cellStyle name="Output 4 2 7 3 2" xfId="7610" xr:uid="{28694FAE-65F1-4F27-ADD2-C8F3C1983270}"/>
    <cellStyle name="Output 4 2 7 3 3" xfId="9298" xr:uid="{D8011528-4945-4E00-A08A-BB86FC215E2E}"/>
    <cellStyle name="Output 4 2 7 3 4" xfId="12289" xr:uid="{FCA823A2-282F-4965-ACD6-F51CA8623BC6}"/>
    <cellStyle name="Output 4 2 7 3 5" xfId="13941" xr:uid="{0F18FEFE-153F-4252-9D75-D3698FDBE269}"/>
    <cellStyle name="Output 4 2 7 3 6" xfId="15629" xr:uid="{4A83F5B7-1DBD-40B0-B397-AB9E46772DCA}"/>
    <cellStyle name="Output 4 2 7 4" xfId="4385" xr:uid="{85070196-236D-48B6-A56B-31BED5D4E842}"/>
    <cellStyle name="Output 4 2 7 4 2" xfId="8304" xr:uid="{F7E9605E-6150-48E5-8DE8-C1F0DCDD1D13}"/>
    <cellStyle name="Output 4 2 7 4 3" xfId="10002" xr:uid="{C327D166-1779-4150-88D2-8A0C66FE874E}"/>
    <cellStyle name="Output 4 2 7 4 4" xfId="12981" xr:uid="{4E944771-8D3C-4810-B974-1D5E799AEAA2}"/>
    <cellStyle name="Output 4 2 7 4 5" xfId="14645" xr:uid="{C0D41337-719C-4907-B7BC-254C6D287D93}"/>
    <cellStyle name="Output 4 2 7 4 6" xfId="16321" xr:uid="{5405CBEB-BCA1-4E58-B7A3-C2F1BEEA8B03}"/>
    <cellStyle name="Output 4 2 7 5" xfId="6058" xr:uid="{73AC02BB-593B-4E56-AC4F-21729A589551}"/>
    <cellStyle name="Output 4 2 7 6" xfId="5618" xr:uid="{6FDCD5DC-8174-48A5-864E-456416AB7AD8}"/>
    <cellStyle name="Output 4 2 7 7" xfId="10700" xr:uid="{96CFB773-B15F-4CF4-969C-A87901E69AFD}"/>
    <cellStyle name="Output 4 2 7 8" xfId="5025" xr:uid="{E188F716-7BCB-46EB-BEA1-75B6B62F7139}"/>
    <cellStyle name="Output 4 2 7 9" xfId="11422" xr:uid="{E34BEEC1-62B4-4EE2-A677-A2DF1C3A1DAC}"/>
    <cellStyle name="Output 4 2 8" xfId="3204" xr:uid="{B0CB1AC6-9EB2-4370-90C6-39E4629A20A4}"/>
    <cellStyle name="Output 4 2 8 10" xfId="11545" xr:uid="{F9E2D435-02E9-4EF8-B039-2C8BDF146238}"/>
    <cellStyle name="Output 4 2 8 2" xfId="4084" xr:uid="{3819268F-B725-4CEF-862B-8C07EC0B871D}"/>
    <cellStyle name="Output 4 2 8 2 2" xfId="8009" xr:uid="{BE294437-808E-4289-B0A2-B6B7D33035EE}"/>
    <cellStyle name="Output 4 2 8 2 3" xfId="9703" xr:uid="{FC18A624-E9E9-4177-82C5-EC4858D10298}"/>
    <cellStyle name="Output 4 2 8 2 4" xfId="12688" xr:uid="{F403327D-103A-4F1C-BB3F-D829E227BE0E}"/>
    <cellStyle name="Output 4 2 8 2 5" xfId="14346" xr:uid="{EA7D8FB7-20E4-4362-A391-A70C96E42A7D}"/>
    <cellStyle name="Output 4 2 8 2 6" xfId="16028" xr:uid="{C1CB2DE1-9253-4B49-81DA-EB9AB3696FA7}"/>
    <cellStyle name="Output 4 2 8 3" xfId="3646" xr:uid="{08BA0AE0-03E3-429B-AEBA-660E642DA933}"/>
    <cellStyle name="Output 4 2 8 3 2" xfId="7577" xr:uid="{4EF9CA0B-CA89-4FDE-A662-8044FA9E6F51}"/>
    <cellStyle name="Output 4 2 8 3 3" xfId="9265" xr:uid="{D46E89DB-97F3-4661-A577-D5B2C6D3128B}"/>
    <cellStyle name="Output 4 2 8 3 4" xfId="12256" xr:uid="{8C777C20-5A23-4A72-886B-E1F88AB0ECCB}"/>
    <cellStyle name="Output 4 2 8 3 5" xfId="13908" xr:uid="{BEA49C52-92DF-4C85-968E-E1EE8D15E449}"/>
    <cellStyle name="Output 4 2 8 3 6" xfId="15596" xr:uid="{149A2C08-F4BE-4D4C-A8D8-8D2355CC114E}"/>
    <cellStyle name="Output 4 2 8 4" xfId="4362" xr:uid="{9F6CD099-4137-4E63-8A24-831408138E07}"/>
    <cellStyle name="Output 4 2 8 4 2" xfId="8281" xr:uid="{5493678C-2955-4A0D-856F-652B2D78616A}"/>
    <cellStyle name="Output 4 2 8 4 3" xfId="9979" xr:uid="{9A184A0B-58F8-4F02-8627-7BD8271D6E5E}"/>
    <cellStyle name="Output 4 2 8 4 4" xfId="12958" xr:uid="{B1D22798-8611-4E8D-A0DD-5BA7B360C99A}"/>
    <cellStyle name="Output 4 2 8 4 5" xfId="14622" xr:uid="{F5EA7F03-C37D-4FB9-BE31-2DAD32CA7702}"/>
    <cellStyle name="Output 4 2 8 4 6" xfId="16298" xr:uid="{39C2E1FA-6F0E-47CD-A81A-1AC0D13FFF05}"/>
    <cellStyle name="Output 4 2 8 5" xfId="6029" xr:uid="{AE652693-DCD2-439D-9EE3-EAC5A91AE154}"/>
    <cellStyle name="Output 4 2 8 6" xfId="5585" xr:uid="{2ACE27D3-D24C-48BD-B9B0-FC9B60FC40AA}"/>
    <cellStyle name="Output 4 2 8 7" xfId="10674" xr:uid="{E6D6A068-DB6A-4A48-AAE3-474D7B4E8429}"/>
    <cellStyle name="Output 4 2 8 8" xfId="5291" xr:uid="{608FD197-A1A2-4FF2-8DBC-E78ABD4E049D}"/>
    <cellStyle name="Output 4 2 8 9" xfId="11376" xr:uid="{DA882DCF-07B5-40EC-BDCD-DE8088B5CFB3}"/>
    <cellStyle name="Output 4 2 9" xfId="3386" xr:uid="{EBDB19A6-2D58-4AD9-BC8E-5A145F7425F1}"/>
    <cellStyle name="Output 4 2 9 10" xfId="15343" xr:uid="{FE432229-73D5-41A5-8F73-781A7E7BAFA0}"/>
    <cellStyle name="Output 4 2 9 2" xfId="4266" xr:uid="{584584A5-24A3-4BA6-9F67-A4B193CAE442}"/>
    <cellStyle name="Output 4 2 9 2 2" xfId="8189" xr:uid="{F18C40C9-6110-4258-A36A-9E952F86658D}"/>
    <cellStyle name="Output 4 2 9 2 3" xfId="9885" xr:uid="{D0019484-8AAC-47EC-99E7-5987DBE09B3A}"/>
    <cellStyle name="Output 4 2 9 2 4" xfId="12868" xr:uid="{04C430EB-48F9-4852-A6E2-C88685B88F0A}"/>
    <cellStyle name="Output 4 2 9 2 5" xfId="14528" xr:uid="{93369E2E-F7B1-42F2-B5A9-5CEEE565319C}"/>
    <cellStyle name="Output 4 2 9 2 6" xfId="16208" xr:uid="{C48C12EE-EF27-4B89-B158-C290AACB35D8}"/>
    <cellStyle name="Output 4 2 9 3" xfId="3826" xr:uid="{CDFC78AC-7F02-4B2E-BAE2-0ED29CFB3EED}"/>
    <cellStyle name="Output 4 2 9 3 2" xfId="7757" xr:uid="{D27A3553-FC74-4CE4-9734-AE6D08C894C8}"/>
    <cellStyle name="Output 4 2 9 3 3" xfId="9445" xr:uid="{6FDE9B46-4332-44FA-B2B1-51FDE0ECB352}"/>
    <cellStyle name="Output 4 2 9 3 4" xfId="12436" xr:uid="{2C8E28D8-D025-4FB6-AD83-AF898A09D84A}"/>
    <cellStyle name="Output 4 2 9 3 5" xfId="14088" xr:uid="{D9CF4ED8-CA10-45A7-B34D-DF1127462C3A}"/>
    <cellStyle name="Output 4 2 9 3 6" xfId="15776" xr:uid="{9A0EBF41-07A5-44E9-B8DA-26CD928C7DFB}"/>
    <cellStyle name="Output 4 2 9 4" xfId="4442" xr:uid="{3EC11AF0-E932-4329-A378-235C35666CFC}"/>
    <cellStyle name="Output 4 2 9 4 2" xfId="8359" xr:uid="{26E65A2A-FDB2-45E6-A3E0-F6E9BFDFC032}"/>
    <cellStyle name="Output 4 2 9 4 3" xfId="10059" xr:uid="{1860D96F-D435-401E-B27E-80D35C5BE655}"/>
    <cellStyle name="Output 4 2 9 4 4" xfId="13036" xr:uid="{615B6935-945F-49DF-B26F-A85EDFEB387E}"/>
    <cellStyle name="Output 4 2 9 4 5" xfId="14702" xr:uid="{4A5E0242-6180-4F51-A8DD-B6AA51F13994}"/>
    <cellStyle name="Output 4 2 9 4 6" xfId="16376" xr:uid="{AA472911-224A-46AC-9D75-342F682DED3F}"/>
    <cellStyle name="Output 4 2 9 5" xfId="6144" xr:uid="{D5EAE231-1BB8-458C-A2AB-34F4997F843E}"/>
    <cellStyle name="Output 4 2 9 6" xfId="5643" xr:uid="{0F6489F9-5F24-4934-9717-3DE7A3FF1DF7}"/>
    <cellStyle name="Output 4 2 9 7" xfId="10776" xr:uid="{EC246C15-97CC-4C1D-8FAA-C5D0D650787A}"/>
    <cellStyle name="Output 4 2 9 8" xfId="5029" xr:uid="{DC461AA4-CDC5-45A2-9252-AB6A23A95A9E}"/>
    <cellStyle name="Output 4 2 9 9" xfId="13652" xr:uid="{DF313FC5-83A3-4567-BE2D-F0D29C9D6E4D}"/>
    <cellStyle name="Output 4 3" xfId="2981" xr:uid="{B4E48BAA-70D8-4C8C-9B95-810FE4580F44}"/>
    <cellStyle name="Output 4 3 10" xfId="3865" xr:uid="{DA93000C-8B51-4F31-BA7B-DA95BF137822}"/>
    <cellStyle name="Output 4 3 10 2" xfId="7794" xr:uid="{71FB1BEF-680C-4BC2-AEA5-B4DC92CB566E}"/>
    <cellStyle name="Output 4 3 10 3" xfId="9484" xr:uid="{153E0239-5573-455E-8C7C-6B5C76F6D4D0}"/>
    <cellStyle name="Output 4 3 10 4" xfId="12473" xr:uid="{9C37B299-48A6-428A-A1A2-84502A05CE97}"/>
    <cellStyle name="Output 4 3 10 5" xfId="14127" xr:uid="{CDB4131C-B8D5-4653-8496-E53DD2A4B34B}"/>
    <cellStyle name="Output 4 3 10 6" xfId="15813" xr:uid="{D244C805-0980-4926-8F77-2AA914D0A873}"/>
    <cellStyle name="Output 4 3 11" xfId="3428" xr:uid="{9423938F-BC75-466B-88D9-D74C2101527F}"/>
    <cellStyle name="Output 4 3 11 2" xfId="5895" xr:uid="{0133B95A-7042-4A15-838B-C4B67775A1C2}"/>
    <cellStyle name="Output 4 3 11 3" xfId="9047" xr:uid="{B64A201E-84ED-4E1A-9D9A-F7B92A69C47E}"/>
    <cellStyle name="Output 4 3 11 4" xfId="5370" xr:uid="{CC7F1E06-1F6B-44CE-97EC-4840F71DAA75}"/>
    <cellStyle name="Output 4 3 11 5" xfId="13690" xr:uid="{29421B7D-9642-4503-AF8C-7ABBB2726FE1}"/>
    <cellStyle name="Output 4 3 11 6" xfId="15381" xr:uid="{F3846EC6-1C5A-4FB2-943D-05C5A4BF2C7D}"/>
    <cellStyle name="Output 4 3 12" xfId="6683" xr:uid="{574953AA-D0B0-488D-A7AF-4E30B541652F}"/>
    <cellStyle name="Output 4 3 13" xfId="5877" xr:uid="{822A6C85-68AC-4BCF-A310-FB9ECE3B3051}"/>
    <cellStyle name="Output 4 3 2" xfId="3009" xr:uid="{A6318E39-6C0D-4B1F-9680-217941D0F6F8}"/>
    <cellStyle name="Output 4 3 2 10" xfId="3889" xr:uid="{756B8C71-5390-43E2-8714-30611C706958}"/>
    <cellStyle name="Output 4 3 2 10 2" xfId="7817" xr:uid="{63C4CF31-2006-44BC-AC58-233B68276114}"/>
    <cellStyle name="Output 4 3 2 10 3" xfId="9508" xr:uid="{A56AEB3E-F2AF-4B44-B145-675D91849A8D}"/>
    <cellStyle name="Output 4 3 2 10 4" xfId="12496" xr:uid="{84776CC7-D6AE-4388-AB55-CF43ABF1419E}"/>
    <cellStyle name="Output 4 3 2 10 5" xfId="14151" xr:uid="{3930DBB0-CAB0-4EDF-9912-582AAA3D8E37}"/>
    <cellStyle name="Output 4 3 2 10 6" xfId="15836" xr:uid="{BD00D8F0-3081-4192-8CAF-8CCE81DE989F}"/>
    <cellStyle name="Output 4 3 2 11" xfId="3451" xr:uid="{52D6B8EA-48C7-45F9-937D-E750C30DA7BE}"/>
    <cellStyle name="Output 4 3 2 11 2" xfId="5074" xr:uid="{0220B6C3-DAB7-45C7-9078-B9527DD5D5E2}"/>
    <cellStyle name="Output 4 3 2 11 3" xfId="9070" xr:uid="{E7F5CEA0-23E2-4B5E-8821-E5B9678C5AD9}"/>
    <cellStyle name="Output 4 3 2 11 4" xfId="9007" xr:uid="{7736D947-EE8A-44C9-ADF3-489808921BF3}"/>
    <cellStyle name="Output 4 3 2 11 5" xfId="13713" xr:uid="{B3D157E6-DA20-4E34-AF83-5D015A23B1A8}"/>
    <cellStyle name="Output 4 3 2 11 6" xfId="15404" xr:uid="{9DD82729-CFC0-49D7-90F0-B8133A79BB5E}"/>
    <cellStyle name="Output 4 3 2 12" xfId="5811" xr:uid="{3B501622-26E9-4DFF-BB59-29072E876CEE}"/>
    <cellStyle name="Output 4 3 2 13" xfId="6219" xr:uid="{D180AEBA-8BCD-40B0-B5E9-A104BDF82502}"/>
    <cellStyle name="Output 4 3 2 2" xfId="3157" xr:uid="{02BBAE63-238B-4197-9F29-3E49075B76CA}"/>
    <cellStyle name="Output 4 3 2 2 2" xfId="4037" xr:uid="{2EA20FEF-CA16-4A07-A7C6-663ACEF3DB95}"/>
    <cellStyle name="Output 4 3 2 2 2 2" xfId="7963" xr:uid="{03489921-0EED-4D75-BC67-5D9E85698713}"/>
    <cellStyle name="Output 4 3 2 2 2 3" xfId="9656" xr:uid="{839550C1-5C22-4F56-B387-474DE0E361E3}"/>
    <cellStyle name="Output 4 3 2 2 2 4" xfId="12642" xr:uid="{08B5C86D-AA63-46F9-AF58-D4E787533333}"/>
    <cellStyle name="Output 4 3 2 2 2 5" xfId="14299" xr:uid="{D0E940EF-02FA-4164-9BD7-EC832A40A6C6}"/>
    <cellStyle name="Output 4 3 2 2 2 6" xfId="15982" xr:uid="{4A1646B7-199B-4028-9053-8952C6ABB5C8}"/>
    <cellStyle name="Output 4 3 2 2 3" xfId="3599" xr:uid="{57E11487-A70A-4733-8363-6D044051B2CF}"/>
    <cellStyle name="Output 4 3 2 2 3 2" xfId="7531" xr:uid="{516F225F-780B-4B42-A053-285C6A25FD22}"/>
    <cellStyle name="Output 4 3 2 2 3 3" xfId="9218" xr:uid="{0E5363CB-8082-422B-B652-98DED120E2D8}"/>
    <cellStyle name="Output 4 3 2 2 3 4" xfId="12210" xr:uid="{028E1D36-A356-4518-AB6C-AA52B2C58C7A}"/>
    <cellStyle name="Output 4 3 2 2 3 5" xfId="13861" xr:uid="{87B20CA2-C24C-4DA4-8612-AC48178ACD33}"/>
    <cellStyle name="Output 4 3 2 2 3 6" xfId="15550" xr:uid="{B5C9922C-71C4-4961-94B1-E90F18DDB0EB}"/>
    <cellStyle name="Output 4 3 2 2 4" xfId="6316" xr:uid="{3CE4262F-2D31-4506-8E87-5547E740A88D}"/>
    <cellStyle name="Output 4 3 2 3" xfId="3093" xr:uid="{BD139F7B-1133-4AB0-B3A5-C9971795974A}"/>
    <cellStyle name="Output 4 3 2 3 2" xfId="3973" xr:uid="{A9DA7039-EE3D-4FD6-BC07-6337C83ACDB7}"/>
    <cellStyle name="Output 4 3 2 3 2 2" xfId="7899" xr:uid="{C645F712-F557-4522-9158-EADCFCB23B30}"/>
    <cellStyle name="Output 4 3 2 3 2 3" xfId="9592" xr:uid="{D91C0C97-B7CB-4A78-B08F-52EBB34FF031}"/>
    <cellStyle name="Output 4 3 2 3 2 4" xfId="12578" xr:uid="{1E522A01-BF25-46C2-849C-9F028A19E1CF}"/>
    <cellStyle name="Output 4 3 2 3 2 5" xfId="14235" xr:uid="{FD476190-1C22-4B6F-ACCF-035B7FD040FF}"/>
    <cellStyle name="Output 4 3 2 3 2 6" xfId="15918" xr:uid="{546D8FED-5471-4E80-8D83-E9D109C4E4C5}"/>
    <cellStyle name="Output 4 3 2 3 3" xfId="3535" xr:uid="{E47C9FE9-F452-4F28-B4F9-AE04EC050398}"/>
    <cellStyle name="Output 4 3 2 3 3 2" xfId="5134" xr:uid="{00189885-C6DC-4A48-BFC9-1BC46C02DDE9}"/>
    <cellStyle name="Output 4 3 2 3 3 3" xfId="9154" xr:uid="{1B2CB4D4-CA7C-47F0-9441-3402CB953CC7}"/>
    <cellStyle name="Output 4 3 2 3 3 4" xfId="12146" xr:uid="{2EF9CFC4-870B-464F-9D6C-9B364E2F364C}"/>
    <cellStyle name="Output 4 3 2 3 3 5" xfId="13797" xr:uid="{80D7D5EA-A3E7-4AB5-9775-E9BC3C99793D}"/>
    <cellStyle name="Output 4 3 2 3 3 6" xfId="15486" xr:uid="{E4B01961-9026-4423-89BA-3A03663B144D}"/>
    <cellStyle name="Output 4 3 2 3 4" xfId="5224" xr:uid="{743FA427-4C01-40FB-B4B0-127C7CEC172A}"/>
    <cellStyle name="Output 4 3 2 4" xfId="3330" xr:uid="{3ABF1BD9-425A-4012-A5FD-8B0F40C944F2}"/>
    <cellStyle name="Output 4 3 2 4 2" xfId="4210" xr:uid="{75BBB1A5-CF59-4461-930D-2967A71814A1}"/>
    <cellStyle name="Output 4 3 2 4 2 2" xfId="8134" xr:uid="{745DFF91-9AC9-4F5D-A7E9-43CE35229802}"/>
    <cellStyle name="Output 4 3 2 4 2 3" xfId="9829" xr:uid="{789D5D55-F7DB-4BFB-8684-F45BF0096DB1}"/>
    <cellStyle name="Output 4 3 2 4 2 4" xfId="12813" xr:uid="{15E3DA1B-5AC7-46FE-AFED-D9953C5ED37C}"/>
    <cellStyle name="Output 4 3 2 4 2 5" xfId="14472" xr:uid="{001CEE4F-C623-4AC7-BAF6-ECFF3B9EDBB6}"/>
    <cellStyle name="Output 4 3 2 4 2 6" xfId="16153" xr:uid="{2B3EC169-27DF-43A3-BF16-7D04DAB7309A}"/>
    <cellStyle name="Output 4 3 2 4 3" xfId="3771" xr:uid="{C593229A-C7D2-4467-82A0-04E6042DA7AF}"/>
    <cellStyle name="Output 4 3 2 4 3 2" xfId="7702" xr:uid="{2B4A9CD7-6D15-4E0F-B5B9-5E9C028B2900}"/>
    <cellStyle name="Output 4 3 2 4 3 3" xfId="9390" xr:uid="{A7E1FBB0-80F7-4618-89C1-FEEDD9D53CDD}"/>
    <cellStyle name="Output 4 3 2 4 3 4" xfId="12381" xr:uid="{F7EBDC2E-A72D-4D19-80AB-3029E66E7E5D}"/>
    <cellStyle name="Output 4 3 2 4 3 5" xfId="14033" xr:uid="{1F7819B0-F8C9-4D72-AD2E-09E3BFA8E74B}"/>
    <cellStyle name="Output 4 3 2 4 3 6" xfId="15721" xr:uid="{D9CBC071-8812-4D6E-9811-1948079B893A}"/>
    <cellStyle name="Output 4 3 2 4 4" xfId="8993" xr:uid="{E7842CB3-7291-4202-BDEF-6FC12DA813E4}"/>
    <cellStyle name="Output 4 3 2 5" xfId="3341" xr:uid="{053F8C21-6236-4B36-98E3-5F120AA3F189}"/>
    <cellStyle name="Output 4 3 2 5 2" xfId="4221" xr:uid="{F8C41B6A-6A75-4753-8356-647483636871}"/>
    <cellStyle name="Output 4 3 2 5 2 2" xfId="8144" xr:uid="{CFECE54D-178E-4CB3-B5E3-823A8B59F6F7}"/>
    <cellStyle name="Output 4 3 2 5 2 3" xfId="9840" xr:uid="{1C7149EC-839C-4E17-BCA4-D92DE8075B2B}"/>
    <cellStyle name="Output 4 3 2 5 2 4" xfId="12823" xr:uid="{92AB9896-2EF4-4729-B00A-27AAE397E3EA}"/>
    <cellStyle name="Output 4 3 2 5 2 5" xfId="14483" xr:uid="{F3D55334-4A9C-4919-B68E-11457E3481E7}"/>
    <cellStyle name="Output 4 3 2 5 2 6" xfId="16163" xr:uid="{3DCDC62B-27B7-4707-B4D4-53BFC0ED5D06}"/>
    <cellStyle name="Output 4 3 2 5 3" xfId="3781" xr:uid="{5210BBEB-61F9-4CC1-BE55-F4D88ABE2057}"/>
    <cellStyle name="Output 4 3 2 5 3 2" xfId="7712" xr:uid="{DC4C1668-3F71-480A-8896-AB38A68557A6}"/>
    <cellStyle name="Output 4 3 2 5 3 3" xfId="9400" xr:uid="{E53E1B43-FD34-425C-BAE4-B53401A944BC}"/>
    <cellStyle name="Output 4 3 2 5 3 4" xfId="12391" xr:uid="{4178081D-E504-496B-9110-C389C450B670}"/>
    <cellStyle name="Output 4 3 2 5 3 5" xfId="14043" xr:uid="{5B83735A-EB14-444E-A35E-C1032865EAC0}"/>
    <cellStyle name="Output 4 3 2 5 3 6" xfId="15731" xr:uid="{4368DD2A-E052-4F58-A967-1FD2B7DBF049}"/>
    <cellStyle name="Output 4 3 2 5 4" xfId="9002" xr:uid="{5AA79D80-600E-43A4-B0E3-40F1F462C898}"/>
    <cellStyle name="Output 4 3 2 6" xfId="3350" xr:uid="{FA8A7ACB-48E6-473F-A2ED-CC2D439C019D}"/>
    <cellStyle name="Output 4 3 2 6 10" xfId="15307" xr:uid="{3B85A235-C0B0-4B2D-9F71-3C7D8F59C8E2}"/>
    <cellStyle name="Output 4 3 2 6 2" xfId="4230" xr:uid="{2BFDE845-B4C9-4472-B67E-B1D1EE7F784F}"/>
    <cellStyle name="Output 4 3 2 6 2 2" xfId="8153" xr:uid="{1A083DCF-4B8A-4280-972D-8A6D828FB4E8}"/>
    <cellStyle name="Output 4 3 2 6 2 3" xfId="9849" xr:uid="{1B6E13E3-BD5D-4FAA-B082-A383BFCD8DC4}"/>
    <cellStyle name="Output 4 3 2 6 2 4" xfId="12832" xr:uid="{FCE67E9D-EF8C-4010-84A5-F2FD65EB4CEA}"/>
    <cellStyle name="Output 4 3 2 6 2 5" xfId="14492" xr:uid="{9B0E19E5-E4C1-46E8-BD91-156CFFCDE10F}"/>
    <cellStyle name="Output 4 3 2 6 2 6" xfId="16172" xr:uid="{6ECB36B1-B648-4959-8996-D041EEB64AA8}"/>
    <cellStyle name="Output 4 3 2 6 3" xfId="3790" xr:uid="{F1DE3DE6-18C2-46A5-BDB1-FB52CF2D666D}"/>
    <cellStyle name="Output 4 3 2 6 3 2" xfId="7721" xr:uid="{CACFED2E-FA20-40F7-95BA-7AB80AE632A0}"/>
    <cellStyle name="Output 4 3 2 6 3 3" xfId="9409" xr:uid="{A2350671-8401-4DE2-A408-E543609598CF}"/>
    <cellStyle name="Output 4 3 2 6 3 4" xfId="12400" xr:uid="{0AF1AA01-E20F-4086-8F62-219C7E944031}"/>
    <cellStyle name="Output 4 3 2 6 3 5" xfId="14052" xr:uid="{245D74F2-DC31-49AE-A398-E581AECD63A2}"/>
    <cellStyle name="Output 4 3 2 6 3 6" xfId="15740" xr:uid="{22752503-8633-414D-AD8C-B8D24F18780F}"/>
    <cellStyle name="Output 4 3 2 6 4" xfId="4406" xr:uid="{00830153-FA85-4531-AA76-125067F67A94}"/>
    <cellStyle name="Output 4 3 2 6 4 2" xfId="8323" xr:uid="{53BF8458-FEF3-473E-85A6-F39ADD049AEE}"/>
    <cellStyle name="Output 4 3 2 6 4 3" xfId="10023" xr:uid="{949E07BD-0853-4FF3-A08B-30655C162C20}"/>
    <cellStyle name="Output 4 3 2 6 4 4" xfId="13000" xr:uid="{A29F5B24-C7B3-46B1-8AB4-281EF4242409}"/>
    <cellStyle name="Output 4 3 2 6 4 5" xfId="14666" xr:uid="{A540FD1F-B655-426D-BAA2-0573A25828B1}"/>
    <cellStyle name="Output 4 3 2 6 4 6" xfId="16340" xr:uid="{6D6CE815-9230-44AE-953F-02E499580DB8}"/>
    <cellStyle name="Output 4 3 2 6 5" xfId="6108" xr:uid="{12E77C66-60DC-4A9C-AB2F-3105BEBC6C00}"/>
    <cellStyle name="Output 4 3 2 6 6" xfId="5658" xr:uid="{E429C219-5709-4323-848D-986DADC5E3F1}"/>
    <cellStyle name="Output 4 3 2 6 7" xfId="10740" xr:uid="{B0FF9AA3-198C-4EA2-AA87-E1B105FF0D17}"/>
    <cellStyle name="Output 4 3 2 6 8" xfId="5985" xr:uid="{971ED593-319D-4FBE-B98A-1397131D1594}"/>
    <cellStyle name="Output 4 3 2 6 9" xfId="13616" xr:uid="{ED5C1614-2EB3-4393-BC38-CD55150859F1}"/>
    <cellStyle name="Output 4 3 2 7" xfId="3065" xr:uid="{CBEE3013-B855-4992-83E5-8F455E895604}"/>
    <cellStyle name="Output 4 3 2 7 2" xfId="3945" xr:uid="{EFCBE8E1-FEA7-4C7F-A798-C6CC3342F6BD}"/>
    <cellStyle name="Output 4 3 2 7 2 2" xfId="7872" xr:uid="{F557A948-4418-46ED-9CC8-1A52E01884DD}"/>
    <cellStyle name="Output 4 3 2 7 2 3" xfId="9564" xr:uid="{D5B0DBEA-AC81-48DB-942A-7D9C61A10302}"/>
    <cellStyle name="Output 4 3 2 7 2 4" xfId="12551" xr:uid="{80954A5C-A523-484F-98AB-A9D15A548A43}"/>
    <cellStyle name="Output 4 3 2 7 2 5" xfId="14207" xr:uid="{650D6A8B-725A-4CBE-AE65-EC02DBB5F846}"/>
    <cellStyle name="Output 4 3 2 7 2 6" xfId="15891" xr:uid="{EE9D7005-8C9A-4D3A-99C1-791FE70FD2DC}"/>
    <cellStyle name="Output 4 3 2 7 3" xfId="3507" xr:uid="{43176211-115E-4866-A02B-B73F721D1D79}"/>
    <cellStyle name="Output 4 3 2 7 3 2" xfId="5150" xr:uid="{385E00D3-D18F-4C21-99FD-5A58E2422074}"/>
    <cellStyle name="Output 4 3 2 7 3 3" xfId="9126" xr:uid="{53962C34-BC21-4D16-8942-75889285F29D}"/>
    <cellStyle name="Output 4 3 2 7 3 4" xfId="5524" xr:uid="{B83736B8-4EA6-47FB-9679-20BA4E567619}"/>
    <cellStyle name="Output 4 3 2 7 3 5" xfId="13769" xr:uid="{8CBC1508-3DE0-40AC-B154-BCD969BDB7BD}"/>
    <cellStyle name="Output 4 3 2 7 3 6" xfId="15459" xr:uid="{62CA127D-75CD-460D-87BA-2026D3237DC6}"/>
    <cellStyle name="Output 4 3 2 7 4" xfId="6883" xr:uid="{032CC230-4E9B-460F-AB9F-5CDD21BB91F7}"/>
    <cellStyle name="Output 4 3 2 8" xfId="3173" xr:uid="{940B3766-2E35-494A-A7A4-5751FF439DB4}"/>
    <cellStyle name="Output 4 3 2 8 10" xfId="5457" xr:uid="{7DFCFDE5-29FD-4143-A502-2F265F2CBD6D}"/>
    <cellStyle name="Output 4 3 2 8 2" xfId="4053" xr:uid="{D2C7F694-D999-499F-AA33-700843A5D289}"/>
    <cellStyle name="Output 4 3 2 8 2 2" xfId="7978" xr:uid="{259E387F-2DAC-4047-8BC0-A4647C4C31FC}"/>
    <cellStyle name="Output 4 3 2 8 2 3" xfId="9672" xr:uid="{60BA2742-1B3D-4C8E-AB6B-BC65910A491E}"/>
    <cellStyle name="Output 4 3 2 8 2 4" xfId="12657" xr:uid="{7B0F14D0-9E81-463B-8F26-79DC13195CB8}"/>
    <cellStyle name="Output 4 3 2 8 2 5" xfId="14315" xr:uid="{CC623A28-EC2D-46FA-8DAE-C936BBE4A8E9}"/>
    <cellStyle name="Output 4 3 2 8 2 6" xfId="15997" xr:uid="{0BDC9AEE-8225-4FF2-BA06-070186E788EF}"/>
    <cellStyle name="Output 4 3 2 8 3" xfId="3615" xr:uid="{30A62D82-9DD5-47E9-B1E6-AF199ED03B23}"/>
    <cellStyle name="Output 4 3 2 8 3 2" xfId="7546" xr:uid="{56778D3F-B2D8-404D-BA39-4C7F616971D5}"/>
    <cellStyle name="Output 4 3 2 8 3 3" xfId="9234" xr:uid="{15AE3012-2465-45CE-B0AD-5F1CF2E74B79}"/>
    <cellStyle name="Output 4 3 2 8 3 4" xfId="12225" xr:uid="{C3049183-3CEF-4B7E-B751-7008270CB174}"/>
    <cellStyle name="Output 4 3 2 8 3 5" xfId="13877" xr:uid="{DBD3C365-F992-4621-AD3C-009512582B6E}"/>
    <cellStyle name="Output 4 3 2 8 3 6" xfId="15565" xr:uid="{C89AB7F2-1EBF-43F9-AD02-0AF4CE5FBFB8}"/>
    <cellStyle name="Output 4 3 2 8 4" xfId="4339" xr:uid="{93B54F8E-5CF4-4041-BE49-9BC1463158BF}"/>
    <cellStyle name="Output 4 3 2 8 4 2" xfId="8258" xr:uid="{4115CF5D-C238-421E-B0BF-A359929466E5}"/>
    <cellStyle name="Output 4 3 2 8 4 3" xfId="9956" xr:uid="{B997972B-4F2D-4D56-BF79-58705EAAE95E}"/>
    <cellStyle name="Output 4 3 2 8 4 4" xfId="12935" xr:uid="{ABC6CADB-9D6F-4828-BC2F-F99815FB056E}"/>
    <cellStyle name="Output 4 3 2 8 4 5" xfId="14599" xr:uid="{4DE8F708-EFF0-47D6-9E8F-628EA6D3F91E}"/>
    <cellStyle name="Output 4 3 2 8 4 6" xfId="16275" xr:uid="{664528D4-E675-47F8-B810-A6908EA18AD2}"/>
    <cellStyle name="Output 4 3 2 8 5" xfId="6003" xr:uid="{64BBB57B-6241-4848-83C3-8BDE7F3CF915}"/>
    <cellStyle name="Output 4 3 2 8 6" xfId="5236" xr:uid="{6975959F-AE3E-441B-876C-0FFB39C603D0}"/>
    <cellStyle name="Output 4 3 2 8 7" xfId="10650" xr:uid="{34ADA9EB-76EE-450C-9AB7-1219D9692CFE}"/>
    <cellStyle name="Output 4 3 2 8 8" xfId="5411" xr:uid="{5B3C7196-7F13-42C5-A20C-4A1087EA7AF5}"/>
    <cellStyle name="Output 4 3 2 8 9" xfId="10825" xr:uid="{6E61E931-326B-4B35-9C25-F3EA682130C7}"/>
    <cellStyle name="Output 4 3 2 9" xfId="3205" xr:uid="{B729240D-2C9E-4A9B-B2EB-36C655DAB043}"/>
    <cellStyle name="Output 4 3 2 9 10" xfId="11093" xr:uid="{C7FC930A-505E-43A7-A8C9-E0099BAADB15}"/>
    <cellStyle name="Output 4 3 2 9 2" xfId="4085" xr:uid="{D4E30920-C9A2-4A0F-9B69-254E8DBB0B30}"/>
    <cellStyle name="Output 4 3 2 9 2 2" xfId="8010" xr:uid="{759275A7-7EFE-4B34-B7D2-19F45EEA834F}"/>
    <cellStyle name="Output 4 3 2 9 2 3" xfId="9704" xr:uid="{361865B2-4956-4E80-B578-2C2E0F839FF6}"/>
    <cellStyle name="Output 4 3 2 9 2 4" xfId="12689" xr:uid="{1F107410-89D0-484A-BD6F-3FB392ABB4D1}"/>
    <cellStyle name="Output 4 3 2 9 2 5" xfId="14347" xr:uid="{BDA911CB-3591-41D9-9309-C4D895099E83}"/>
    <cellStyle name="Output 4 3 2 9 2 6" xfId="16029" xr:uid="{C4053CDD-8778-4799-BC68-21DC38145096}"/>
    <cellStyle name="Output 4 3 2 9 3" xfId="3647" xr:uid="{D815752C-762A-4625-97C1-D0214D3307DE}"/>
    <cellStyle name="Output 4 3 2 9 3 2" xfId="7578" xr:uid="{4AC76E79-8D31-49B7-A73D-A43BBD76DD89}"/>
    <cellStyle name="Output 4 3 2 9 3 3" xfId="9266" xr:uid="{615FA84D-5340-4A96-88AB-92840E0BBC16}"/>
    <cellStyle name="Output 4 3 2 9 3 4" xfId="12257" xr:uid="{D12B59DA-2001-410B-B90F-82ADC7748F26}"/>
    <cellStyle name="Output 4 3 2 9 3 5" xfId="13909" xr:uid="{6809720C-7B7E-4DE8-BB51-33F5B3C94DCD}"/>
    <cellStyle name="Output 4 3 2 9 3 6" xfId="15597" xr:uid="{35486A6C-D4C3-4F08-923C-524798C93C0A}"/>
    <cellStyle name="Output 4 3 2 9 4" xfId="4363" xr:uid="{F09BDBA6-596E-4852-A761-DCCFFAA1C606}"/>
    <cellStyle name="Output 4 3 2 9 4 2" xfId="8282" xr:uid="{D483A5DF-BB5A-4F39-9CB9-701DE6433412}"/>
    <cellStyle name="Output 4 3 2 9 4 3" xfId="9980" xr:uid="{ADEEA2DE-6601-4364-BCFD-8E7A829DDAB6}"/>
    <cellStyle name="Output 4 3 2 9 4 4" xfId="12959" xr:uid="{67CEF71F-D53A-4E69-8CFD-29C752DBA612}"/>
    <cellStyle name="Output 4 3 2 9 4 5" xfId="14623" xr:uid="{7B6749F5-1553-4F8F-8F47-2AB568F6392D}"/>
    <cellStyle name="Output 4 3 2 9 4 6" xfId="16299" xr:uid="{36BD0CBF-DA68-42DD-BF51-43EA539088B4}"/>
    <cellStyle name="Output 4 3 2 9 5" xfId="6030" xr:uid="{C6E9584F-0772-4D9D-AF8C-1FC7B988A3BC}"/>
    <cellStyle name="Output 4 3 2 9 6" xfId="5230" xr:uid="{9FDC5B19-E9C8-4C0D-8019-4AFAF167844B}"/>
    <cellStyle name="Output 4 3 2 9 7" xfId="10675" xr:uid="{4D01A0A4-6912-4421-8102-F445DD58096F}"/>
    <cellStyle name="Output 4 3 2 9 8" xfId="5444" xr:uid="{5AC28447-FEA1-4FFB-8F3D-67260078D0DB}"/>
    <cellStyle name="Output 4 3 2 9 9" xfId="11003" xr:uid="{58F7DB02-5364-4F5F-A390-07CE92E3C18A}"/>
    <cellStyle name="Output 4 3 3" xfId="3269" xr:uid="{8CB4CEEC-6FC1-4227-9D6E-647B0D43DEB0}"/>
    <cellStyle name="Output 4 3 3 2" xfId="4149" xr:uid="{CEB743BE-98AE-4BA3-B3EE-3E7B6AD7DC1F}"/>
    <cellStyle name="Output 4 3 3 2 2" xfId="8074" xr:uid="{6F32BEAB-90A3-4200-8AC8-79EA7D9D6DE9}"/>
    <cellStyle name="Output 4 3 3 2 3" xfId="9768" xr:uid="{3904123E-1F51-48DE-A81D-0492E9F2AF8A}"/>
    <cellStyle name="Output 4 3 3 2 4" xfId="12753" xr:uid="{6150863A-AD6E-4093-BED7-973F150E64C6}"/>
    <cellStyle name="Output 4 3 3 2 5" xfId="14411" xr:uid="{AF787496-C430-423F-B535-A5F3402E8E7A}"/>
    <cellStyle name="Output 4 3 3 2 6" xfId="16093" xr:uid="{8CE4F9C1-8973-44AA-9066-1FEE88FACC87}"/>
    <cellStyle name="Output 4 3 3 3" xfId="3711" xr:uid="{20F53C49-D252-462F-880C-BF8BD9368E65}"/>
    <cellStyle name="Output 4 3 3 3 2" xfId="7642" xr:uid="{6164F7B4-4D85-430B-8714-F57D2F9B5207}"/>
    <cellStyle name="Output 4 3 3 3 3" xfId="9330" xr:uid="{A40DB088-38CA-40AF-80DF-65B725B8A943}"/>
    <cellStyle name="Output 4 3 3 3 4" xfId="12321" xr:uid="{28645051-E84E-4B2E-9AA6-AA9BDEBD7ABB}"/>
    <cellStyle name="Output 4 3 3 3 5" xfId="13973" xr:uid="{C64C7060-DA40-4839-90BA-D6FEC554F287}"/>
    <cellStyle name="Output 4 3 3 3 6" xfId="15661" xr:uid="{D4008683-9B66-4C2C-8F7D-DF9E4E3F3038}"/>
    <cellStyle name="Output 4 3 3 4" xfId="8936" xr:uid="{5A027E9B-8060-4BBB-9497-60348D0C7EB2}"/>
    <cellStyle name="Output 4 3 4" xfId="3183" xr:uid="{43180EF4-0EE9-45CF-B796-2E5914CDCB11}"/>
    <cellStyle name="Output 4 3 4 2" xfId="4063" xr:uid="{941A58B0-85B4-493A-90FA-ADE440324315}"/>
    <cellStyle name="Output 4 3 4 2 2" xfId="7988" xr:uid="{9AAB26AB-8D63-42E8-B872-20A2F5EFFC30}"/>
    <cellStyle name="Output 4 3 4 2 3" xfId="9682" xr:uid="{254067A7-6A6B-4BF0-96AE-F23AA32EEF08}"/>
    <cellStyle name="Output 4 3 4 2 4" xfId="12667" xr:uid="{946E3F8F-B8F8-4A52-ADEA-ECBC39F7B2BA}"/>
    <cellStyle name="Output 4 3 4 2 5" xfId="14325" xr:uid="{EC03E629-484B-4005-B09D-96EE35B753B9}"/>
    <cellStyle name="Output 4 3 4 2 6" xfId="16007" xr:uid="{57C08811-7E25-465E-A20A-A685944537DC}"/>
    <cellStyle name="Output 4 3 4 3" xfId="3625" xr:uid="{4FB7555E-9534-40B4-A330-3D51C8D44768}"/>
    <cellStyle name="Output 4 3 4 3 2" xfId="7556" xr:uid="{2DE18C93-D78B-4AE0-B288-42D53F22F241}"/>
    <cellStyle name="Output 4 3 4 3 3" xfId="9244" xr:uid="{DFCEF372-1253-4FCE-B4A4-3A3162B09880}"/>
    <cellStyle name="Output 4 3 4 3 4" xfId="12235" xr:uid="{CEACF769-ED54-4950-8702-A6693DF2475F}"/>
    <cellStyle name="Output 4 3 4 3 5" xfId="13887" xr:uid="{BD485DD8-94F1-47A5-B326-531BE90FECD5}"/>
    <cellStyle name="Output 4 3 4 3 6" xfId="15575" xr:uid="{117D49F8-EAC2-4E67-9C67-A92D89C1E7BC}"/>
    <cellStyle name="Output 4 3 4 4" xfId="6305" xr:uid="{00F64F53-5BE9-44D6-A613-E49868057571}"/>
    <cellStyle name="Output 4 3 5" xfId="3245" xr:uid="{629372E2-9435-4C3B-B126-19DBC1DD1E95}"/>
    <cellStyle name="Output 4 3 5 2" xfId="4125" xr:uid="{04BB5739-6568-473E-89E8-60A64F032CFB}"/>
    <cellStyle name="Output 4 3 5 2 2" xfId="8050" xr:uid="{4EA6B52C-F706-4D7C-88D0-9AE72E6DEEBF}"/>
    <cellStyle name="Output 4 3 5 2 3" xfId="9744" xr:uid="{2D9BE137-CCA9-4997-AB40-8F546240B2F0}"/>
    <cellStyle name="Output 4 3 5 2 4" xfId="12729" xr:uid="{B7DD3A5F-BE33-463D-B248-5F088CE402BD}"/>
    <cellStyle name="Output 4 3 5 2 5" xfId="14387" xr:uid="{4B730421-B3E3-4122-AFE3-8C998E779961}"/>
    <cellStyle name="Output 4 3 5 2 6" xfId="16069" xr:uid="{2211B975-DE89-4479-91E2-A83074F7BEBF}"/>
    <cellStyle name="Output 4 3 5 3" xfId="3687" xr:uid="{24C5D169-EC10-4F59-9A02-7381156F3C7B}"/>
    <cellStyle name="Output 4 3 5 3 2" xfId="7618" xr:uid="{91838EBF-FA71-4CD7-A987-04F44DFBE771}"/>
    <cellStyle name="Output 4 3 5 3 3" xfId="9306" xr:uid="{ABC2EDCC-5463-4939-AB7B-E249A3BDCC94}"/>
    <cellStyle name="Output 4 3 5 3 4" xfId="12297" xr:uid="{F443D6B8-BBB4-44CB-8200-9CE3062C2C31}"/>
    <cellStyle name="Output 4 3 5 3 5" xfId="13949" xr:uid="{F3682F44-8020-41E5-87E8-E07216CE7B65}"/>
    <cellStyle name="Output 4 3 5 3 6" xfId="15637" xr:uid="{9E3B7B3D-3F63-47B8-B648-7F3BF6917668}"/>
    <cellStyle name="Output 4 3 5 4" xfId="5885" xr:uid="{5234AE30-9996-42D4-B79A-793DAA19C972}"/>
    <cellStyle name="Output 4 3 6" xfId="3307" xr:uid="{CDF421A8-758A-44DA-A259-EE2A0B8919A1}"/>
    <cellStyle name="Output 4 3 6 2" xfId="4187" xr:uid="{46E1AED2-CC11-40F6-8D81-B26A78308E16}"/>
    <cellStyle name="Output 4 3 6 2 2" xfId="8111" xr:uid="{D27B900A-3BB0-4C57-BCEF-8825A47321A0}"/>
    <cellStyle name="Output 4 3 6 2 3" xfId="9806" xr:uid="{E2010C8E-D9FE-4684-B0A8-1C90D798BA4D}"/>
    <cellStyle name="Output 4 3 6 2 4" xfId="12790" xr:uid="{7EFC2EB8-C281-47AA-B1A3-75EDB12BF754}"/>
    <cellStyle name="Output 4 3 6 2 5" xfId="14449" xr:uid="{A79EE0DC-6DA0-4D48-BD28-7566848CD15B}"/>
    <cellStyle name="Output 4 3 6 2 6" xfId="16130" xr:uid="{680040E6-16F2-4488-BEDA-FB124BC33EA6}"/>
    <cellStyle name="Output 4 3 6 3" xfId="3748" xr:uid="{863F37BD-53CE-45E8-96B6-D169762CFBD4}"/>
    <cellStyle name="Output 4 3 6 3 2" xfId="7679" xr:uid="{576FFA39-1665-4708-9271-A98B48A25904}"/>
    <cellStyle name="Output 4 3 6 3 3" xfId="9367" xr:uid="{11E81A7D-54A3-4B23-81FB-48573851134A}"/>
    <cellStyle name="Output 4 3 6 3 4" xfId="12358" xr:uid="{E89298A1-7EBF-4324-AE2F-373BB6EBD2FF}"/>
    <cellStyle name="Output 4 3 6 3 5" xfId="14010" xr:uid="{2568FFF2-CB30-484E-90D9-3C526A0F9C89}"/>
    <cellStyle name="Output 4 3 6 3 6" xfId="15698" xr:uid="{2EE2A79C-C72F-4820-9823-487457568A7C}"/>
    <cellStyle name="Output 4 3 6 4" xfId="8970" xr:uid="{CCC913F7-E60D-4FF9-A18A-3424F23E84DB}"/>
    <cellStyle name="Output 4 3 7" xfId="3059" xr:uid="{63F19704-A8D8-4526-B5AC-1724A3D15ABD}"/>
    <cellStyle name="Output 4 3 7 10" xfId="5808" xr:uid="{6D8962AD-7FD8-43F6-99C3-F223E0F0322F}"/>
    <cellStyle name="Output 4 3 7 2" xfId="3939" xr:uid="{C0C3E12F-52E7-4518-B90F-2F4252F4D53F}"/>
    <cellStyle name="Output 4 3 7 2 2" xfId="7867" xr:uid="{39AFBAF0-B139-4966-939E-11E6C8DB02AC}"/>
    <cellStyle name="Output 4 3 7 2 3" xfId="9558" xr:uid="{89141F43-B047-4771-B3F5-F7BB2A8B25AE}"/>
    <cellStyle name="Output 4 3 7 2 4" xfId="12546" xr:uid="{95D1533B-A44C-49C2-BEBA-0BD7268829C2}"/>
    <cellStyle name="Output 4 3 7 2 5" xfId="14201" xr:uid="{BDB7AA97-0AD4-4D8E-9248-7BC23AAFE574}"/>
    <cellStyle name="Output 4 3 7 2 6" xfId="15886" xr:uid="{79B91A4E-1C8C-48C5-A015-11468426BE7B}"/>
    <cellStyle name="Output 4 3 7 3" xfId="3501" xr:uid="{57A58347-7F17-4C19-80BC-090029BE1C60}"/>
    <cellStyle name="Output 4 3 7 3 2" xfId="5155" xr:uid="{9ABA17BD-BC91-45C7-8937-CC7B8E02004A}"/>
    <cellStyle name="Output 4 3 7 3 3" xfId="9120" xr:uid="{0A207F72-5D5A-4030-B0CD-B2279B536034}"/>
    <cellStyle name="Output 4 3 7 3 4" xfId="5466" xr:uid="{B57794D4-926E-4D3A-9285-0558B9A66523}"/>
    <cellStyle name="Output 4 3 7 3 5" xfId="13763" xr:uid="{25DB662F-AACE-4DBF-A6FD-8434F66B8AF4}"/>
    <cellStyle name="Output 4 3 7 3 6" xfId="15454" xr:uid="{230D854C-2149-484E-80E2-C8B70D9C2AEC}"/>
    <cellStyle name="Output 4 3 7 4" xfId="4301" xr:uid="{7FC213DE-C713-46EE-B3E5-9DBF32A89C10}"/>
    <cellStyle name="Output 4 3 7 4 2" xfId="8223" xr:uid="{5A003B6E-B7FB-4F38-B661-6902D44E4C38}"/>
    <cellStyle name="Output 4 3 7 4 3" xfId="9918" xr:uid="{DB1116B0-9718-4635-A2F9-8B9DA28C1002}"/>
    <cellStyle name="Output 4 3 7 4 4" xfId="12900" xr:uid="{D3497FDE-B2C0-4D3C-BC6E-4AEEC8286E7B}"/>
    <cellStyle name="Output 4 3 7 4 5" xfId="14561" xr:uid="{D0E06276-CD51-402D-9630-84D7EB28D052}"/>
    <cellStyle name="Output 4 3 7 4 6" xfId="16240" xr:uid="{1A5BA0F4-9F57-427E-B30F-187D90CFC881}"/>
    <cellStyle name="Output 4 3 7 5" xfId="5939" xr:uid="{00D10DCD-A361-46C0-BCDD-C01468F22097}"/>
    <cellStyle name="Output 4 3 7 6" xfId="5255" xr:uid="{754C1A5B-748E-4A1C-A160-D66DAB92B37A}"/>
    <cellStyle name="Output 4 3 7 7" xfId="5668" xr:uid="{6FA3EC9A-F69B-456B-AB56-7C726AD21F90}"/>
    <cellStyle name="Output 4 3 7 8" xfId="5033" xr:uid="{44F4E70C-FC77-4855-B3C1-209EEAFFE792}"/>
    <cellStyle name="Output 4 3 7 9" xfId="5655" xr:uid="{02C55EFC-CE2E-4A70-B6BE-9E69C195E168}"/>
    <cellStyle name="Output 4 3 8" xfId="3223" xr:uid="{67FCBE2C-7C0D-4125-A64B-F8676ABBD157}"/>
    <cellStyle name="Output 4 3 8 10" xfId="15278" xr:uid="{60D39FCA-0C17-4CCE-A7D6-1FF9C77C2360}"/>
    <cellStyle name="Output 4 3 8 2" xfId="4103" xr:uid="{B21D4F41-709C-4B18-84B7-30752218599D}"/>
    <cellStyle name="Output 4 3 8 2 2" xfId="8028" xr:uid="{31D7CBEE-A931-457E-BE25-41744DD0598E}"/>
    <cellStyle name="Output 4 3 8 2 3" xfId="9722" xr:uid="{3C3EA699-40A9-4BC5-B2AA-8882BD04FF6A}"/>
    <cellStyle name="Output 4 3 8 2 4" xfId="12707" xr:uid="{60B21E89-8BDB-4D9F-83CA-EAFCF7765372}"/>
    <cellStyle name="Output 4 3 8 2 5" xfId="14365" xr:uid="{78413349-C147-4A43-BEBC-C980B79589A5}"/>
    <cellStyle name="Output 4 3 8 2 6" xfId="16047" xr:uid="{0D60B6E1-FB66-49DB-9111-B70F5F55AEB7}"/>
    <cellStyle name="Output 4 3 8 3" xfId="3665" xr:uid="{5F4A03A0-B8DB-4184-92A2-052FD4DD68E7}"/>
    <cellStyle name="Output 4 3 8 3 2" xfId="7596" xr:uid="{98929A4E-E654-4EF3-AB14-D6253DB21668}"/>
    <cellStyle name="Output 4 3 8 3 3" xfId="9284" xr:uid="{B496D590-2FF7-4334-857E-DEDB3BB42BA5}"/>
    <cellStyle name="Output 4 3 8 3 4" xfId="12275" xr:uid="{4E4D1969-5A55-42D0-9341-C27D00560075}"/>
    <cellStyle name="Output 4 3 8 3 5" xfId="13927" xr:uid="{82A8D0E1-65F9-478C-8316-1D89F547479A}"/>
    <cellStyle name="Output 4 3 8 3 6" xfId="15615" xr:uid="{CD2FA0CC-FD6A-43CB-85B6-32548977C225}"/>
    <cellStyle name="Output 4 3 8 4" xfId="4375" xr:uid="{B5EB0E5A-A939-4BD8-A311-888A35EF651E}"/>
    <cellStyle name="Output 4 3 8 4 2" xfId="8294" xr:uid="{32189189-92B5-49CA-9386-AD901A1A3D8C}"/>
    <cellStyle name="Output 4 3 8 4 3" xfId="9992" xr:uid="{B89B8D2C-2DDE-46D1-8CDF-140013D817DF}"/>
    <cellStyle name="Output 4 3 8 4 4" xfId="12971" xr:uid="{50A2C80F-1572-4E66-AB93-EDEBD89E07F3}"/>
    <cellStyle name="Output 4 3 8 4 5" xfId="14635" xr:uid="{255CC52B-A097-4E35-928C-B5080B6BF73E}"/>
    <cellStyle name="Output 4 3 8 4 6" xfId="16311" xr:uid="{AFF47CB6-DD8E-4993-826D-00EBE18DCA49}"/>
    <cellStyle name="Output 4 3 8 5" xfId="6045" xr:uid="{17597180-F631-4C65-893F-C719962CC460}"/>
    <cellStyle name="Output 4 3 8 6" xfId="5095" xr:uid="{7F4A1795-FF6D-47E0-A1E4-788C0E73CA87}"/>
    <cellStyle name="Output 4 3 8 7" xfId="10689" xr:uid="{2E0E944E-D155-4E56-9E93-E360E5548698}"/>
    <cellStyle name="Output 4 3 8 8" xfId="5413" xr:uid="{3463FF6C-2DD4-40D7-B409-DA7F8E6BD77E}"/>
    <cellStyle name="Output 4 3 8 9" xfId="10725" xr:uid="{1A515B8D-6E8F-4DC3-A7FC-0F7A877CDA84}"/>
    <cellStyle name="Output 4 3 9" xfId="3368" xr:uid="{A8197159-1E58-48F6-BFC8-503D5123F855}"/>
    <cellStyle name="Output 4 3 9 10" xfId="15325" xr:uid="{293AA905-30D2-435E-9042-ED1A096C2914}"/>
    <cellStyle name="Output 4 3 9 2" xfId="4248" xr:uid="{1D9F6524-2390-4B04-94AF-DCF599744F5E}"/>
    <cellStyle name="Output 4 3 9 2 2" xfId="8171" xr:uid="{DA634482-B3B4-410F-A60A-C42A3E134C46}"/>
    <cellStyle name="Output 4 3 9 2 3" xfId="9867" xr:uid="{97084964-2B7A-4509-A460-9BA13E2DA48D}"/>
    <cellStyle name="Output 4 3 9 2 4" xfId="12850" xr:uid="{C1CAA7A1-5353-4487-91D7-6B18EAE23D17}"/>
    <cellStyle name="Output 4 3 9 2 5" xfId="14510" xr:uid="{61C4949C-4B61-49C5-BAB2-F0AB08A87903}"/>
    <cellStyle name="Output 4 3 9 2 6" xfId="16190" xr:uid="{C32F1487-BCCA-486C-B24E-55E99BB5E42B}"/>
    <cellStyle name="Output 4 3 9 3" xfId="3808" xr:uid="{FEE8390A-73E8-4728-8BEA-E4B95DF4A367}"/>
    <cellStyle name="Output 4 3 9 3 2" xfId="7739" xr:uid="{E80374A6-56C2-4101-ADDC-61ECD69F654B}"/>
    <cellStyle name="Output 4 3 9 3 3" xfId="9427" xr:uid="{D9F73B3E-2EAC-4DB4-BACF-E49205B98D39}"/>
    <cellStyle name="Output 4 3 9 3 4" xfId="12418" xr:uid="{206CA8BA-2C02-4693-85CF-21DE3628560E}"/>
    <cellStyle name="Output 4 3 9 3 5" xfId="14070" xr:uid="{6DF9D51B-357B-41EF-8898-2AA28C01F2C0}"/>
    <cellStyle name="Output 4 3 9 3 6" xfId="15758" xr:uid="{0A3C044B-0C1D-47D3-9A24-5F91CCDC03AF}"/>
    <cellStyle name="Output 4 3 9 4" xfId="4424" xr:uid="{71BD3AF0-139B-484A-8606-0D294C705E04}"/>
    <cellStyle name="Output 4 3 9 4 2" xfId="8341" xr:uid="{9B7179C1-EE7A-4E6E-B8C5-1B26F8AED9D6}"/>
    <cellStyle name="Output 4 3 9 4 3" xfId="10041" xr:uid="{FF4B351B-C0F8-453A-9A2F-A637578095DE}"/>
    <cellStyle name="Output 4 3 9 4 4" xfId="13018" xr:uid="{727BBEF2-8859-421E-9DB3-E8B0D5ACCB4C}"/>
    <cellStyle name="Output 4 3 9 4 5" xfId="14684" xr:uid="{71DE2028-654B-46BB-91F0-40B01D93DF7F}"/>
    <cellStyle name="Output 4 3 9 4 6" xfId="16358" xr:uid="{5E8E633A-9CA2-4E27-8F6C-D42695F80722}"/>
    <cellStyle name="Output 4 3 9 5" xfId="6126" xr:uid="{C13349D9-0311-4E8B-BB21-418B36CF4C9F}"/>
    <cellStyle name="Output 4 3 9 6" xfId="5745" xr:uid="{2D8386DF-39D3-4F71-B021-3C4664D75558}"/>
    <cellStyle name="Output 4 3 9 7" xfId="10758" xr:uid="{90248392-787B-4AA0-B605-B1C8F6B65B18}"/>
    <cellStyle name="Output 4 3 9 8" xfId="5048" xr:uid="{81462822-25E7-4813-A752-7B688ECD3015}"/>
    <cellStyle name="Output 4 3 9 9" xfId="13634" xr:uid="{52DBC8A6-8530-4BE5-BBF9-B6ADCE87CD83}"/>
    <cellStyle name="Output 4 4" xfId="3194" xr:uid="{CAD9758D-18B1-44B6-8EFE-ABAAFCB70714}"/>
    <cellStyle name="Output 4 4 2" xfId="4074" xr:uid="{B30E2322-683C-4AD9-9B10-3A691B5A258B}"/>
    <cellStyle name="Output 4 4 2 2" xfId="7999" xr:uid="{06B7D029-871D-4477-B840-FB5499061DD3}"/>
    <cellStyle name="Output 4 4 2 3" xfId="9693" xr:uid="{C242BDC4-40D7-43D8-9F26-DBD256A47420}"/>
    <cellStyle name="Output 4 4 2 4" xfId="12678" xr:uid="{9CCBC95D-5C5C-4D12-8D23-63FC0B49B388}"/>
    <cellStyle name="Output 4 4 2 5" xfId="14336" xr:uid="{A2118CCC-C208-4310-87F9-98C880D1E0AE}"/>
    <cellStyle name="Output 4 4 2 6" xfId="16018" xr:uid="{D49369AA-8B60-49BA-808C-F1614A403DF2}"/>
    <cellStyle name="Output 4 4 3" xfId="3636" xr:uid="{D0D800E3-65D4-4530-AB85-AC757C9ABE4C}"/>
    <cellStyle name="Output 4 4 3 2" xfId="7567" xr:uid="{52357404-6B07-419F-8AD2-E3FB6D385C7A}"/>
    <cellStyle name="Output 4 4 3 3" xfId="9255" xr:uid="{6769754B-DA99-46C3-9817-B2D947D9090F}"/>
    <cellStyle name="Output 4 4 3 4" xfId="12246" xr:uid="{70CE8898-E1B4-4579-BCEC-AC55841597AC}"/>
    <cellStyle name="Output 4 4 3 5" xfId="13898" xr:uid="{11C99C52-C183-4222-BB66-FE4DBD9D5548}"/>
    <cellStyle name="Output 4 4 3 6" xfId="15586" xr:uid="{46AC2BED-1627-40F3-A296-32CB343379A2}"/>
    <cellStyle name="Output 4 4 4" xfId="6272" xr:uid="{9545A59D-3976-4665-8373-A35D3E3D1FF5}"/>
    <cellStyle name="Output 4 5" xfId="3062" xr:uid="{D63C7381-06CA-404D-A04B-E65AC010D2B2}"/>
    <cellStyle name="Output 4 5 10" xfId="11393" xr:uid="{CA408473-0BA7-4FC2-92EC-BB5F3030A88E}"/>
    <cellStyle name="Output 4 5 2" xfId="3942" xr:uid="{A19124B1-C841-468C-8ECC-E24593455134}"/>
    <cellStyle name="Output 4 5 2 2" xfId="7869" xr:uid="{C967A207-6E2B-4CA4-B38E-D870E827D6B6}"/>
    <cellStyle name="Output 4 5 2 3" xfId="9561" xr:uid="{E53B7CCC-C1A8-43B5-9CF6-46B9D8E201B2}"/>
    <cellStyle name="Output 4 5 2 4" xfId="12548" xr:uid="{01D0C940-BAA3-46DE-BC95-145C29203CBE}"/>
    <cellStyle name="Output 4 5 2 5" xfId="14204" xr:uid="{F4ACA3F4-76BB-4A60-BBAF-D1649C9C14DE}"/>
    <cellStyle name="Output 4 5 2 6" xfId="15888" xr:uid="{A9525FE8-9B85-4894-9E51-23A876E529D0}"/>
    <cellStyle name="Output 4 5 3" xfId="3504" xr:uid="{8827992D-F4D4-44BD-BB62-8382FACCBA9F}"/>
    <cellStyle name="Output 4 5 3 2" xfId="5153" xr:uid="{56B78C30-F8F4-440D-BA38-D14898E83BF1}"/>
    <cellStyle name="Output 4 5 3 3" xfId="9123" xr:uid="{0A6F78EE-6BCE-4AE5-99C4-8C43AD77C169}"/>
    <cellStyle name="Output 4 5 3 4" xfId="5347" xr:uid="{AEB073CA-91AF-4BA3-A3B3-1C8A4AA83BB3}"/>
    <cellStyle name="Output 4 5 3 5" xfId="13766" xr:uid="{6DBCB667-BAD6-4D1A-A20A-15F5AFCB02E6}"/>
    <cellStyle name="Output 4 5 3 6" xfId="15456" xr:uid="{5B7DECE1-A2A7-4A91-9537-3631B789E4BC}"/>
    <cellStyle name="Output 4 5 4" xfId="4304" xr:uid="{8EAFE113-5557-4918-8685-BB521402232C}"/>
    <cellStyle name="Output 4 5 4 2" xfId="8225" xr:uid="{4B008D0A-64F0-47E5-9312-D4E3A796A027}"/>
    <cellStyle name="Output 4 5 4 3" xfId="9921" xr:uid="{6F6F2AA1-E3C5-451D-86C9-3EF1D892240B}"/>
    <cellStyle name="Output 4 5 4 4" xfId="12902" xr:uid="{05CFF9F6-ACB8-4C2A-B9F9-E227CF58ECFD}"/>
    <cellStyle name="Output 4 5 4 5" xfId="14564" xr:uid="{A42B5EF4-18EC-49EB-91DF-521A1CC53B8D}"/>
    <cellStyle name="Output 4 5 4 6" xfId="16242" xr:uid="{D06F5459-2666-40F6-BCC7-CF690283E095}"/>
    <cellStyle name="Output 4 5 5" xfId="5942" xr:uid="{DB903C79-425F-4EC0-AA3D-292889F9E90D}"/>
    <cellStyle name="Output 4 5 6" xfId="5252" xr:uid="{22AC01BB-10F1-4E48-B2B5-602B11BAC714}"/>
    <cellStyle name="Output 4 5 7" xfId="5802" xr:uid="{869682FC-C7F1-4A3A-9025-02E63EB024DF}"/>
    <cellStyle name="Output 4 5 8" xfId="5035" xr:uid="{A2CE45BB-B154-4414-B33F-820FAAA38C54}"/>
    <cellStyle name="Output 4 5 9" xfId="11136" xr:uid="{ACFD0EE3-9570-43D6-8666-BB8E50DD7B76}"/>
    <cellStyle name="Output 4 6" xfId="3043" xr:uid="{55E16592-7674-4DA0-B682-919F4185BA77}"/>
    <cellStyle name="Output 4 6 10" xfId="10658" xr:uid="{81254B2A-3120-40AE-9DFF-2793CB04D76E}"/>
    <cellStyle name="Output 4 6 2" xfId="3923" xr:uid="{E60CBF33-89EC-439C-B643-34876163C48C}"/>
    <cellStyle name="Output 4 6 2 2" xfId="7851" xr:uid="{F61DB65D-FE75-4132-BD9E-121A36225A9F}"/>
    <cellStyle name="Output 4 6 2 3" xfId="9542" xr:uid="{A5164269-3FB0-4B67-ACA5-C28CAC7967F6}"/>
    <cellStyle name="Output 4 6 2 4" xfId="12530" xr:uid="{4A7183EB-E811-4948-82C8-1FF29AFC207D}"/>
    <cellStyle name="Output 4 6 2 5" xfId="14185" xr:uid="{E10AF9F5-08E7-4EA8-BCFB-1F59EA09E512}"/>
    <cellStyle name="Output 4 6 2 6" xfId="15870" xr:uid="{571C48C9-2286-4624-865C-EF891B80F315}"/>
    <cellStyle name="Output 4 6 3" xfId="3485" xr:uid="{E5251324-847F-4C71-9281-19FC94718F05}"/>
    <cellStyle name="Output 4 6 3 2" xfId="5169" xr:uid="{A6BEFBCB-20D5-4BEE-86DE-2B3C336A9131}"/>
    <cellStyle name="Output 4 6 3 3" xfId="9104" xr:uid="{DC19964C-5343-46F5-9205-CD511F4F3036}"/>
    <cellStyle name="Output 4 6 3 4" xfId="5384" xr:uid="{D710B83B-06CE-423B-9046-519C9ACBEAD8}"/>
    <cellStyle name="Output 4 6 3 5" xfId="13747" xr:uid="{88B8B192-1F4C-428F-9588-28A971A4FD99}"/>
    <cellStyle name="Output 4 6 3 6" xfId="15438" xr:uid="{F0E3D49F-78F2-4E65-B426-05B40387CDC4}"/>
    <cellStyle name="Output 4 6 4" xfId="4291" xr:uid="{58E75F4F-1FE6-4585-8EB3-2C3124C6123A}"/>
    <cellStyle name="Output 4 6 4 2" xfId="8213" xr:uid="{4A4AD4EC-BB6E-4901-8F90-D8FAFA53B40E}"/>
    <cellStyle name="Output 4 6 4 3" xfId="9908" xr:uid="{110D89A3-FA3A-4907-8271-9D24197C65F6}"/>
    <cellStyle name="Output 4 6 4 4" xfId="12890" xr:uid="{C3463275-57F3-43AB-84E5-384C63496AB0}"/>
    <cellStyle name="Output 4 6 4 5" xfId="14551" xr:uid="{94E51687-DD7F-4E0E-8DE2-2867BA97F06A}"/>
    <cellStyle name="Output 4 6 4 6" xfId="16230" xr:uid="{0A1D75C2-969B-44B0-856E-572571F6C0D7}"/>
    <cellStyle name="Output 4 6 5" xfId="5926" xr:uid="{50E0EF51-2A79-4489-B65E-052A62A82EF9}"/>
    <cellStyle name="Output 4 6 6" xfId="5696" xr:uid="{83E8C332-A30D-4DBA-836F-1D659C67C681}"/>
    <cellStyle name="Output 4 6 7" xfId="5383" xr:uid="{2BE077EF-3F97-4041-B66D-170488AFF13D}"/>
    <cellStyle name="Output 4 6 8" xfId="5436" xr:uid="{CE8EE609-29BF-458E-B0B3-A6DDC0FD9957}"/>
    <cellStyle name="Output 4 6 9" xfId="5572" xr:uid="{9B76DC46-79ED-48E8-8AF1-F98E1FAB9B3E}"/>
    <cellStyle name="Output 4 7" xfId="3847" xr:uid="{2F6147AC-478A-41E6-8A85-94352E094E37}"/>
    <cellStyle name="Output 4 7 2" xfId="7776" xr:uid="{122FFAAB-3975-4E6D-85E8-411A10055F60}"/>
    <cellStyle name="Output 4 7 3" xfId="9466" xr:uid="{D468D8B7-F8AB-404B-85A7-73A5D03D7ADC}"/>
    <cellStyle name="Output 4 7 4" xfId="12455" xr:uid="{187EC1D7-C9DA-4AB7-8F79-A1E060DDDD0C}"/>
    <cellStyle name="Output 4 7 5" xfId="14109" xr:uid="{9977BA42-1F1E-4258-A20A-5A561FAA22C6}"/>
    <cellStyle name="Output 4 7 6" xfId="15795" xr:uid="{E679664A-9F26-4C2C-9C97-3AF69448AC97}"/>
    <cellStyle name="Output 4 8" xfId="3410" xr:uid="{22EA8168-8AEC-49B4-8973-6695009606E2}"/>
    <cellStyle name="Output 4 8 2" xfId="6072" xr:uid="{E674B066-BD29-4D56-BF0B-99FEC478DC33}"/>
    <cellStyle name="Output 4 8 3" xfId="9029" xr:uid="{78F86A08-DF0C-494C-886E-96CE49F015CD}"/>
    <cellStyle name="Output 4 8 4" xfId="5316" xr:uid="{A6D6C623-7CA4-4E55-82A9-7CD8209977E7}"/>
    <cellStyle name="Output 4 8 5" xfId="13672" xr:uid="{D1061613-F32E-4549-8172-F59C258887C4}"/>
    <cellStyle name="Output 4 8 6" xfId="15363" xr:uid="{F58FCC40-FDA8-4E31-AA48-DB540846D347}"/>
    <cellStyle name="Output 4 9" xfId="5358" xr:uid="{659309AC-9320-4936-922B-2844B631B298}"/>
    <cellStyle name="Percent 2" xfId="1724" xr:uid="{2707D76A-5ADC-4C59-A52F-DD7F1C49479D}"/>
    <cellStyle name="Percent 2 2" xfId="1725" xr:uid="{1D0BB67C-DAC0-4F97-9C79-BCF644BD4A75}"/>
    <cellStyle name="Percent 2 3" xfId="1726" xr:uid="{FB4EFA09-14A2-4EE5-931A-FFC0D7D325AF}"/>
    <cellStyle name="Percent 2 4" xfId="1727" xr:uid="{4DC1E8D3-7467-4FD1-B8EB-0CCD04E25598}"/>
    <cellStyle name="Percent 2 5" xfId="1728" xr:uid="{584459F7-0D23-42B4-BFAF-EB0584C9D7B1}"/>
    <cellStyle name="Percent 3" xfId="1729" xr:uid="{D6909801-33C7-4C27-986C-3C6A8C407407}"/>
    <cellStyle name="Percent 4" xfId="1730" xr:uid="{83978CF3-A76F-4B47-B555-D9B005927685}"/>
    <cellStyle name="Percent 5" xfId="1731" xr:uid="{FC4A0702-23B5-4B36-8F03-593B9D561274}"/>
    <cellStyle name="Percent 6" xfId="1732" xr:uid="{6782EC53-6BB6-48DB-9D72-FA4D23D3B6AD}"/>
    <cellStyle name="Percent 7" xfId="1733" xr:uid="{0B683B3A-05D5-44C2-9F16-7E5E2592B9A5}"/>
    <cellStyle name="Style 1" xfId="1734" xr:uid="{ACE398F8-201A-40D2-A0F0-59F6D6CA55EE}"/>
    <cellStyle name="Title 2" xfId="1735" xr:uid="{C120F05D-17EF-402E-9CDD-9309C86433C6}"/>
    <cellStyle name="Title 3" xfId="1736" xr:uid="{9C5EB086-E66C-4AEE-A32C-C429262B006D}"/>
    <cellStyle name="Title 4" xfId="1737" xr:uid="{74EC51D5-07E6-4575-9D57-268709DD7CE1}"/>
    <cellStyle name="Total 10" xfId="1738" xr:uid="{9C727CE6-1E7E-44F3-8B4A-FBAD9FA0197E}"/>
    <cellStyle name="Total 11" xfId="1739" xr:uid="{F3B56DCF-290F-4F26-877B-93E9891F5CCA}"/>
    <cellStyle name="Total 12" xfId="1740" xr:uid="{FC5DC8AE-0C89-4953-92DE-461B18E71D44}"/>
    <cellStyle name="Total 13" xfId="1741" xr:uid="{D2114605-CA9B-4786-A13D-82B4BD13B791}"/>
    <cellStyle name="Total 14" xfId="1742" xr:uid="{945C65BB-413F-46E2-8AC1-EB4B72A6B04D}"/>
    <cellStyle name="Total 15" xfId="1743" xr:uid="{0CA82EA5-73CC-47D7-8E61-B09E90D4BD16}"/>
    <cellStyle name="Total 16" xfId="1744" xr:uid="{A2C40525-3DED-4B37-A0FC-BBF73D3D055C}"/>
    <cellStyle name="Total 17" xfId="1745" xr:uid="{4A55C5FB-7B24-4C2A-81B2-02FD6F6D75F8}"/>
    <cellStyle name="Total 2" xfId="1746" xr:uid="{C8F5110B-B531-41FE-A3CA-DE32988CCE0B}"/>
    <cellStyle name="Total 3" xfId="1747" xr:uid="{A61431A9-D587-4F22-8332-4635B58F0511}"/>
    <cellStyle name="Total 4" xfId="1748" xr:uid="{D9C94D05-1B27-4A2C-8770-8DA6392DC3E2}"/>
    <cellStyle name="Total 5" xfId="1749" xr:uid="{01A562DB-71FA-4F0F-8547-5FE226C00F8E}"/>
    <cellStyle name="Total 6" xfId="1750" xr:uid="{CF1C6530-F764-4068-912C-A1449B093A53}"/>
    <cellStyle name="Total 7" xfId="1751" xr:uid="{4719FAE6-5B12-46AA-BD51-0171D594B379}"/>
    <cellStyle name="Total 8" xfId="1752" xr:uid="{2C685D0B-A2AC-47D5-A3F5-3DAD223046BC}"/>
    <cellStyle name="Total 9" xfId="1753" xr:uid="{832F4298-39BA-4E2D-9767-2A78DE14A07A}"/>
    <cellStyle name="Warning Text 2" xfId="1754" xr:uid="{9167365B-C80C-4F03-A59C-09E22CEC4833}"/>
    <cellStyle name="Warning Text 3" xfId="1755" xr:uid="{12D8A083-62F5-478F-87A9-B6CB0A8BFEF4}"/>
    <cellStyle name="Warning Text 4" xfId="1756" xr:uid="{7903B427-5855-419A-A429-6001EEDB3960}"/>
    <cellStyle name="똿뗦먛귟 [0.00]_PRODUCT DETAIL Q1" xfId="209" xr:uid="{B1C08F13-7A68-4DD5-A128-1C8EAB723C37}"/>
    <cellStyle name="똿뗦먛귟_PRODUCT DETAIL Q1" xfId="210" xr:uid="{A7E37A6F-5363-4E79-A6CE-85AEACA22B9F}"/>
    <cellStyle name="믅됞 [0.00]_PRODUCT DETAIL Q1" xfId="211" xr:uid="{117DDA4D-63C5-4A29-BD71-A1983BC73144}"/>
    <cellStyle name="믅됞_PRODUCT DETAIL Q1" xfId="212" xr:uid="{3C6BA587-B590-40B1-B3E4-A53DB29D5020}"/>
    <cellStyle name="백분율_HOBONG" xfId="213" xr:uid="{77D52AE8-39E9-494D-9789-6CDB11E1EE7E}"/>
    <cellStyle name="뷭?_BOOKSHIP" xfId="214" xr:uid="{2EE6D05A-2ED3-4243-8C11-BC2A188D4C59}"/>
    <cellStyle name="콤마 [0]_1202" xfId="215" xr:uid="{1B0854B6-AAF8-4ACA-ABD8-80A88CCE0CA3}"/>
    <cellStyle name="콤마_1202" xfId="216" xr:uid="{D1AAB8FB-BB05-4B68-86E2-540BB191C35B}"/>
    <cellStyle name="통화 [0]_1202" xfId="217" xr:uid="{A5DA6A58-F617-4FED-9881-EA0EB171D986}"/>
    <cellStyle name="통화_1202" xfId="218" xr:uid="{D74E4E92-7535-401E-81BF-F07E409DB058}"/>
    <cellStyle name="표준_(정보부문)월별인원계획" xfId="219" xr:uid="{F6B86A7F-5A48-473A-BDEE-EB4B978AAF53}"/>
    <cellStyle name="一般_01.03" xfId="1757" xr:uid="{5D3608B3-617E-4130-B5FF-CE6DE22E24C2}"/>
    <cellStyle name="一般_2月PU入庫" xfId="16977" xr:uid="{D8176882-D0C5-468F-B036-A35E337D7AC6}"/>
    <cellStyle name="中等" xfId="17359" xr:uid="{F70CE299-4D2A-428C-B1AE-E50D1EB87821}"/>
    <cellStyle name="備註" xfId="17360" xr:uid="{6637B755-2B7B-4ED2-8869-88B6D3D417A5}"/>
    <cellStyle name="千分位_3.18" xfId="1758" xr:uid="{BFFCA1F7-EC28-4804-9885-7F5197EE25DF}"/>
    <cellStyle name="合計" xfId="1759" xr:uid="{D5DB5B58-C9C4-41D8-9A3F-B782D1D5ACEA}"/>
    <cellStyle name="合計 10" xfId="5852" xr:uid="{ACFAD996-6A5F-4A14-BDEF-CEEAB80B953E}"/>
    <cellStyle name="合計 11" xfId="17361" xr:uid="{5EB1CFD5-01EC-4E52-9CC0-BB5E7C90687A}"/>
    <cellStyle name="合計 2" xfId="3002" xr:uid="{0F9591DC-CB2E-4212-8A97-1E6E9C56BC05}"/>
    <cellStyle name="合計 2 10" xfId="3447" xr:uid="{3F232E43-0A84-44D2-99D4-7EEBAAC7632A}"/>
    <cellStyle name="合計 2 10 2" xfId="4487" xr:uid="{E398A2EB-2E29-4A10-A8CF-19AB44AE2067}"/>
    <cellStyle name="合計 2 10 2 2" xfId="6982" xr:uid="{BA6C672D-A44B-4DBC-AAF9-A30D177797CA}"/>
    <cellStyle name="合計 2 10 2 3" xfId="8403" xr:uid="{AC08A8E3-F889-4D5A-A849-4AEA74853A47}"/>
    <cellStyle name="合計 2 10 2 4" xfId="10104" xr:uid="{57F70BDB-6A39-4304-9343-BA312B74D1AE}"/>
    <cellStyle name="合計 2 10 2 5" xfId="11600" xr:uid="{AD12B5BF-F991-46EF-83A5-31375A09125E}"/>
    <cellStyle name="合計 2 10 2 6" xfId="13080" xr:uid="{A722E5C2-CB06-4B6F-B282-9958358BE35A}"/>
    <cellStyle name="合計 2 10 2 7" xfId="14747" xr:uid="{37EE6CBB-B6E2-408B-BF4E-DA6E49957454}"/>
    <cellStyle name="合計 2 10 2 8" xfId="16420" xr:uid="{2C4ABBA2-3ADF-4496-B834-2B5E4A27D21E}"/>
    <cellStyle name="合計 2 10 3" xfId="6192" xr:uid="{66B09D0D-9767-489B-8767-467EAE68BC4C}"/>
    <cellStyle name="合計 2 10 4" xfId="5193" xr:uid="{F16D37C1-7A84-4EE6-8DDC-D030034BD36A}"/>
    <cellStyle name="合計 2 10 5" xfId="9066" xr:uid="{8DD74933-43FB-4B3F-B398-F25CC75D0AD1}"/>
    <cellStyle name="合計 2 10 6" xfId="10826" xr:uid="{243B5C69-9AB5-449A-8EF3-83F2CDFD5A9F}"/>
    <cellStyle name="合計 2 10 7" xfId="5335" xr:uid="{CAF8771C-100B-48FC-B560-D7D2B415F13E}"/>
    <cellStyle name="合計 2 10 8" xfId="13709" xr:uid="{549CDF9E-E287-4EEA-B502-65FF05CE7CCE}"/>
    <cellStyle name="合計 2 10 9" xfId="15400" xr:uid="{5844727C-DB48-44E4-BE9C-C5FE81840E3F}"/>
    <cellStyle name="合計 2 11" xfId="5546" xr:uid="{8BC82A8B-CD12-4B1E-86EE-2D09F062EF04}"/>
    <cellStyle name="合計 2 12" xfId="5571" xr:uid="{8C38ED8D-02F9-4F9F-B454-68EC4DE270BA}"/>
    <cellStyle name="合計 2 2" xfId="3288" xr:uid="{F7B21E87-C158-448A-B596-CA688735E6FB}"/>
    <cellStyle name="合計 2 2 2" xfId="4168" xr:uid="{79334F81-A74F-4B35-8C42-88DDE927214F}"/>
    <cellStyle name="合計 2 2 2 2" xfId="4958" xr:uid="{ADAB7651-A322-4B65-82CF-290E4AA93375}"/>
    <cellStyle name="合計 2 2 2 2 2" xfId="7453" xr:uid="{467BB7D3-B841-4037-A055-A083D7D305F9}"/>
    <cellStyle name="合計 2 2 2 2 3" xfId="8865" xr:uid="{37B4C1C3-B4E4-4EB5-AD50-AE3C4340A9D2}"/>
    <cellStyle name="合計 2 2 2 2 4" xfId="10575" xr:uid="{004D8A46-6725-46C9-8FD2-1D314338B6CF}"/>
    <cellStyle name="合計 2 2 2 2 5" xfId="12071" xr:uid="{C4D41767-E90D-414C-ADC6-23997112DE78}"/>
    <cellStyle name="合計 2 2 2 2 6" xfId="13542" xr:uid="{E988A040-D720-4A03-BC52-EB8F43DD29E2}"/>
    <cellStyle name="合計 2 2 2 2 7" xfId="15218" xr:uid="{31DEFA13-06FC-4E7A-A579-00DE89AADBED}"/>
    <cellStyle name="合計 2 2 2 2 8" xfId="16882" xr:uid="{4949A850-D717-4136-A3C0-851E2BDC63B1}"/>
    <cellStyle name="合計 2 2 2 3" xfId="6733" xr:uid="{2198D944-71D2-4E91-8F49-13E7E5E30D01}"/>
    <cellStyle name="合計 2 2 2 4" xfId="8093" xr:uid="{4AE3AB88-FFC5-4E13-AC9F-0B78B010DF28}"/>
    <cellStyle name="合計 2 2 2 5" xfId="9787" xr:uid="{C262FE5C-0512-4BE9-A635-87C036888E14}"/>
    <cellStyle name="合計 2 2 2 6" xfId="11361" xr:uid="{04276285-EC59-4849-B254-115C9046840B}"/>
    <cellStyle name="合計 2 2 2 7" xfId="12772" xr:uid="{D3E56C7B-4518-44E8-915F-A0C5815B29F4}"/>
    <cellStyle name="合計 2 2 2 8" xfId="14430" xr:uid="{5DFEBCCD-3489-4E64-850D-6ABAAAC722DF}"/>
    <cellStyle name="合計 2 2 2 9" xfId="16112" xr:uid="{DE272410-6286-45FE-A2E0-2ED4C824C81D}"/>
    <cellStyle name="合計 2 2 3" xfId="3730" xr:uid="{B46FC0D7-E18C-4B7D-B86A-A4619B3ADAD9}"/>
    <cellStyle name="合計 2 2 3 2" xfId="4672" xr:uid="{1FD71A21-0C54-4219-83B0-8E2E2F4E3329}"/>
    <cellStyle name="合計 2 2 3 2 2" xfId="7167" xr:uid="{EF3F7CD3-A121-49FF-AC48-3F18543BAC50}"/>
    <cellStyle name="合計 2 2 3 2 3" xfId="8585" xr:uid="{77C5EBE7-AC44-43A7-BFC2-3AD5FF8D4A46}"/>
    <cellStyle name="合計 2 2 3 2 4" xfId="10289" xr:uid="{67BC060F-CA06-4398-B18A-313C47AAD06F}"/>
    <cellStyle name="合計 2 2 3 2 5" xfId="11785" xr:uid="{A6FD17B8-76F3-4A02-91FD-E84BC95A6445}"/>
    <cellStyle name="合計 2 2 3 2 6" xfId="13262" xr:uid="{D0AFE7E0-E555-4DC7-B0C8-6C8CE56D0CE9}"/>
    <cellStyle name="合計 2 2 3 2 7" xfId="14932" xr:uid="{6FCE2190-69E3-459A-B6CF-C023AFB99061}"/>
    <cellStyle name="合計 2 2 3 2 8" xfId="16602" xr:uid="{CDD27E0B-6D2B-44DE-981D-D9EECB8C7BFB}"/>
    <cellStyle name="合計 2 2 3 3" xfId="6407" xr:uid="{79E44280-BE7C-4B7C-A057-F0C9DDC845DE}"/>
    <cellStyle name="合計 2 2 3 4" xfId="7661" xr:uid="{40FC6FE5-E9C8-4377-A6E5-8384C3ACF7E9}"/>
    <cellStyle name="合計 2 2 3 5" xfId="9349" xr:uid="{3CD1B7CA-E391-4BB3-9393-0F79F6FAA8DD}"/>
    <cellStyle name="合計 2 2 3 6" xfId="11034" xr:uid="{F4C5B7D2-B6B7-4DF5-90B6-16AB0D84794A}"/>
    <cellStyle name="合計 2 2 3 7" xfId="12340" xr:uid="{E59D2DB1-E520-4615-9357-452F63B8D9C5}"/>
    <cellStyle name="合計 2 2 3 8" xfId="13992" xr:uid="{E7C19B30-BE1F-4926-B2AF-1978CCC0D5A8}"/>
    <cellStyle name="合計 2 2 3 9" xfId="15680" xr:uid="{DFEAF8C1-579C-4C99-9FA8-8D1283B7B38F}"/>
    <cellStyle name="合計 2 2 4" xfId="8955" xr:uid="{62371785-5563-4D3F-93D5-4706E11086A7}"/>
    <cellStyle name="合計 2 3" xfId="3154" xr:uid="{4B8C56F0-7795-42A5-88DB-AA911A89D845}"/>
    <cellStyle name="合計 2 3 2" xfId="4034" xr:uid="{AE0FC7CB-0C3A-4291-B707-0B2D2F351AD6}"/>
    <cellStyle name="合計 2 3 2 2" xfId="4874" xr:uid="{A20B4CDF-6E99-4BE5-A653-8DDD737C24D0}"/>
    <cellStyle name="合計 2 3 2 2 2" xfId="7369" xr:uid="{312A86A0-F8A5-48CB-949E-C59E57B16C8E}"/>
    <cellStyle name="合計 2 3 2 2 3" xfId="8782" xr:uid="{1A66A805-3DF2-4210-ABD5-36572BC3BEC0}"/>
    <cellStyle name="合計 2 3 2 2 4" xfId="10491" xr:uid="{C86C42DA-6B86-4408-A140-56EA2835269E}"/>
    <cellStyle name="合計 2 3 2 2 5" xfId="11987" xr:uid="{DB15EABF-E430-4CA3-8AE1-A40317D3A6D6}"/>
    <cellStyle name="合計 2 3 2 2 6" xfId="13459" xr:uid="{B021E76B-04C8-440C-9FC5-766445974F7A}"/>
    <cellStyle name="合計 2 3 2 2 7" xfId="15134" xr:uid="{4D4BBDF2-2DC4-41A0-9227-5C6F0B559E08}"/>
    <cellStyle name="合計 2 3 2 2 8" xfId="16799" xr:uid="{BCBFA12B-10BB-457C-9076-3EAC134A6501}"/>
    <cellStyle name="合計 2 3 2 3" xfId="6636" xr:uid="{00362DCA-EB78-45E5-BD61-82B3AAA8C133}"/>
    <cellStyle name="合計 2 3 2 4" xfId="7960" xr:uid="{4EA0A44B-3FF7-4FD9-B11A-699A768AC42C}"/>
    <cellStyle name="合計 2 3 2 5" xfId="9653" xr:uid="{584A89F4-5C0C-42B9-8E11-F3130CDD0677}"/>
    <cellStyle name="合計 2 3 2 6" xfId="11262" xr:uid="{8A997BF5-347E-46A0-BA88-4C800988EED2}"/>
    <cellStyle name="合計 2 3 2 7" xfId="12639" xr:uid="{02EC3361-B8B7-4BAA-8E91-F716A46EF5B0}"/>
    <cellStyle name="合計 2 3 2 8" xfId="14296" xr:uid="{97BE1CB6-D83B-4E95-AC4C-C3E351AE3860}"/>
    <cellStyle name="合計 2 3 2 9" xfId="15979" xr:uid="{E506DF83-0DEC-45F6-AEAC-2BE59E8A3FAC}"/>
    <cellStyle name="合計 2 3 3" xfId="3596" xr:uid="{23A1CFB2-530C-424D-BC49-3F05938D7092}"/>
    <cellStyle name="合計 2 3 3 2" xfId="4588" xr:uid="{53C2EF50-2B4B-49B5-B19C-255C5555D964}"/>
    <cellStyle name="合計 2 3 3 2 2" xfId="7083" xr:uid="{AEE38501-8AC2-4BBF-AD0C-2293689F7979}"/>
    <cellStyle name="合計 2 3 3 2 3" xfId="8502" xr:uid="{9F84C748-E116-45CD-A7BE-25FB84B300B1}"/>
    <cellStyle name="合計 2 3 3 2 4" xfId="10205" xr:uid="{53E0C76D-C239-493A-BE9D-09AD6C9FF2EC}"/>
    <cellStyle name="合計 2 3 3 2 5" xfId="11701" xr:uid="{5F5BC54B-31E8-4036-B18C-054F2442ADEC}"/>
    <cellStyle name="合計 2 3 3 2 6" xfId="13179" xr:uid="{3BBE9990-803A-415C-B2FE-23EF7EF63D80}"/>
    <cellStyle name="合計 2 3 3 2 7" xfId="14848" xr:uid="{C07B6798-809E-4C74-BBAA-892476963F1E}"/>
    <cellStyle name="合計 2 3 3 2 8" xfId="16519" xr:uid="{37F1CCF4-6E21-4AF4-8699-71AAE495D1F1}"/>
    <cellStyle name="合計 2 3 3 3" xfId="6306" xr:uid="{7A30D0A9-7313-4FA1-AC75-30438557ABF9}"/>
    <cellStyle name="合計 2 3 3 4" xfId="7528" xr:uid="{47DACE52-2AB4-434A-93EC-1DF9B13BCC21}"/>
    <cellStyle name="合計 2 3 3 5" xfId="9215" xr:uid="{F812C04D-8B81-43A4-BCAB-EF5E7806AB08}"/>
    <cellStyle name="合計 2 3 3 6" xfId="10936" xr:uid="{5AEEC375-536D-4009-ADD6-69E05D6E2579}"/>
    <cellStyle name="合計 2 3 3 7" xfId="12207" xr:uid="{438F3FAF-A226-411E-8B13-9F43257F359C}"/>
    <cellStyle name="合計 2 3 3 8" xfId="13858" xr:uid="{9888B90C-D264-4650-BF7F-9219EFB4E5C2}"/>
    <cellStyle name="合計 2 3 3 9" xfId="15547" xr:uid="{0FC42C3A-9A40-4D7F-A6D3-4147BD7E32B5}"/>
    <cellStyle name="合計 2 3 4" xfId="6095" xr:uid="{2DC58AC7-E077-49E9-8132-AE7FE06B0577}"/>
    <cellStyle name="合計 2 4" xfId="3226" xr:uid="{E7CA1BAA-FA59-478F-BB6B-A376ECB522B0}"/>
    <cellStyle name="合計 2 4 2" xfId="4106" xr:uid="{D91711DE-AE2F-4725-9EE1-C4D89342227B}"/>
    <cellStyle name="合計 2 4 2 2" xfId="4915" xr:uid="{2450E3B9-BF25-4C03-8869-FA815A2FABC8}"/>
    <cellStyle name="合計 2 4 2 2 2" xfId="7410" xr:uid="{CFDFB5FC-93C5-4C5B-8C83-5AD798FDE2EA}"/>
    <cellStyle name="合計 2 4 2 2 3" xfId="8822" xr:uid="{E5314C94-E82E-400C-8B79-F1191C0F8520}"/>
    <cellStyle name="合計 2 4 2 2 4" xfId="10532" xr:uid="{BF5CF13F-9ADE-4477-876A-4CABC0D054CE}"/>
    <cellStyle name="合計 2 4 2 2 5" xfId="12028" xr:uid="{6259B860-977F-4170-A055-A6F1200AD8C0}"/>
    <cellStyle name="合計 2 4 2 2 6" xfId="13499" xr:uid="{6E924C8E-0525-409C-B6AD-03E02DDAE64A}"/>
    <cellStyle name="合計 2 4 2 2 7" xfId="15175" xr:uid="{1FBA8A2B-6EDC-47A1-9A1F-1FB10777BF7C}"/>
    <cellStyle name="合計 2 4 2 2 8" xfId="16839" xr:uid="{F8C5A19E-6F38-4491-809B-DA476675B1FE}"/>
    <cellStyle name="合計 2 4 2 3" xfId="6685" xr:uid="{69A9F53D-5AF9-41FE-AA4E-45245A04E183}"/>
    <cellStyle name="合計 2 4 2 4" xfId="8031" xr:uid="{780031D8-81BB-4A5B-8ACA-3987D9FF686B}"/>
    <cellStyle name="合計 2 4 2 5" xfId="9725" xr:uid="{FF1B4AF8-AEB6-4DD2-A976-C47E0A0D70D7}"/>
    <cellStyle name="合計 2 4 2 6" xfId="11312" xr:uid="{00F17B4A-6516-49AD-8545-250F7AFD2C1D}"/>
    <cellStyle name="合計 2 4 2 7" xfId="12710" xr:uid="{C83FC938-A5A0-414A-8D8C-3992B714045B}"/>
    <cellStyle name="合計 2 4 2 8" xfId="14368" xr:uid="{0E33DEE7-4833-4332-9ED5-1EE16F1B3B23}"/>
    <cellStyle name="合計 2 4 2 9" xfId="16050" xr:uid="{269974FF-9C3A-4BF3-ADEE-518D6D642F3A}"/>
    <cellStyle name="合計 2 4 3" xfId="3668" xr:uid="{DD6941EE-31C2-40AC-92CE-C8AAADF7D1CD}"/>
    <cellStyle name="合計 2 4 3 2" xfId="4629" xr:uid="{CAA3B6B4-0465-43B0-916A-650EA30B8ED1}"/>
    <cellStyle name="合計 2 4 3 2 2" xfId="7124" xr:uid="{0A9D800B-46ED-4CA3-85BE-515BDE7E7DE0}"/>
    <cellStyle name="合計 2 4 3 2 3" xfId="8542" xr:uid="{0F5D97AD-A8D0-4145-8D15-89B8AE45E2F5}"/>
    <cellStyle name="合計 2 4 3 2 4" xfId="10246" xr:uid="{9B91D53C-B55C-496C-96F8-E6389C67E56E}"/>
    <cellStyle name="合計 2 4 3 2 5" xfId="11742" xr:uid="{6CB56816-D91C-4D13-B613-C3681D2F46C7}"/>
    <cellStyle name="合計 2 4 3 2 6" xfId="13219" xr:uid="{064A3FE0-4D31-4A83-838B-411FFB311BD2}"/>
    <cellStyle name="合計 2 4 3 2 7" xfId="14889" xr:uid="{1E0A4D9F-2EF2-45D8-ACE4-A4A02CFEB941}"/>
    <cellStyle name="合計 2 4 3 2 8" xfId="16559" xr:uid="{76F00179-5914-4692-8317-A168F298FAB6}"/>
    <cellStyle name="合計 2 4 3 3" xfId="6359" xr:uid="{BD1DA2DD-9774-477D-BB07-17DD1502A7CD}"/>
    <cellStyle name="合計 2 4 3 4" xfId="7599" xr:uid="{428C1EC6-686A-4B0E-86B0-9E31C1B585DD}"/>
    <cellStyle name="合計 2 4 3 5" xfId="9287" xr:uid="{65950BEA-7374-421A-8FA3-2B23CF3CC2D5}"/>
    <cellStyle name="合計 2 4 3 6" xfId="10984" xr:uid="{34D408C5-C478-44C1-9D18-9943B9C72E5D}"/>
    <cellStyle name="合計 2 4 3 7" xfId="12278" xr:uid="{271968FC-EBE9-4922-BC68-8C2C3B6C98D8}"/>
    <cellStyle name="合計 2 4 3 8" xfId="13930" xr:uid="{2DA69FE1-80D3-47F6-A185-25743C44C17B}"/>
    <cellStyle name="合計 2 4 3 9" xfId="15618" xr:uid="{7DA2F612-FBB6-43F7-9C2A-81236FC18338}"/>
    <cellStyle name="合計 2 4 4" xfId="6588" xr:uid="{95A9DBB2-132F-4B72-8EB2-241D29F9AE05}"/>
    <cellStyle name="合計 2 5" xfId="3326" xr:uid="{B076940F-AE46-4B12-90E6-D376C267B38B}"/>
    <cellStyle name="合計 2 5 2" xfId="4206" xr:uid="{BC13BD4A-E033-43B9-804E-E3EA99806932}"/>
    <cellStyle name="合計 2 5 2 2" xfId="4987" xr:uid="{750E7F62-B234-4596-8336-8588136A8A9C}"/>
    <cellStyle name="合計 2 5 2 2 2" xfId="7482" xr:uid="{C08DBE3D-D70B-490C-B55B-981AAE34B874}"/>
    <cellStyle name="合計 2 5 2 2 3" xfId="8893" xr:uid="{D9F4C689-F7DD-4DC8-9A0F-BBD272A430DF}"/>
    <cellStyle name="合計 2 5 2 2 4" xfId="10604" xr:uid="{672D9B9E-C126-4829-9C6F-0AE460E1BDD8}"/>
    <cellStyle name="合計 2 5 2 2 5" xfId="12100" xr:uid="{EBD0265C-D124-4128-A839-76C10BCE4900}"/>
    <cellStyle name="合計 2 5 2 2 6" xfId="13570" xr:uid="{A4BEA1D2-1A63-46BD-A874-8AD3206511E5}"/>
    <cellStyle name="合計 2 5 2 2 7" xfId="15247" xr:uid="{7F9C6A74-3B51-4B47-B493-0D162F394247}"/>
    <cellStyle name="合計 2 5 2 2 8" xfId="16910" xr:uid="{6586104F-3D08-4076-BBE6-A4133196C991}"/>
    <cellStyle name="合計 2 5 2 3" xfId="6764" xr:uid="{4E77DD07-F6EE-4292-8285-ACF288EA0D31}"/>
    <cellStyle name="合計 2 5 2 4" xfId="8130" xr:uid="{FEE0550D-6796-4884-A204-D6A014AC13A3}"/>
    <cellStyle name="合計 2 5 2 5" xfId="9825" xr:uid="{39D7EEC1-41B9-4B26-A2F7-D53F2F197EF1}"/>
    <cellStyle name="合計 2 5 2 6" xfId="11392" xr:uid="{438D1CB7-5334-49DB-ABA5-F7B839A05AE1}"/>
    <cellStyle name="合計 2 5 2 7" xfId="12809" xr:uid="{6385FFC2-FE95-44CE-8A29-1DE1659E374B}"/>
    <cellStyle name="合計 2 5 2 8" xfId="14468" xr:uid="{077F4AA1-8D39-4B88-8462-E53E913CF189}"/>
    <cellStyle name="合計 2 5 2 9" xfId="16149" xr:uid="{24EFB209-81A3-4A2B-868C-F82A3C4986C6}"/>
    <cellStyle name="合計 2 5 3" xfId="3767" xr:uid="{D29D08AD-266B-4705-AB50-5A4A907B4DE4}"/>
    <cellStyle name="合計 2 5 3 2" xfId="4700" xr:uid="{4C94C3D2-11EA-4147-8266-4E0D05340038}"/>
    <cellStyle name="合計 2 5 3 2 2" xfId="7195" xr:uid="{F08C3D06-96A4-4B95-96B6-AE0D19F8A39D}"/>
    <cellStyle name="合計 2 5 3 2 3" xfId="8613" xr:uid="{55C86E4B-0A7A-489A-BF94-9E62DAD2F654}"/>
    <cellStyle name="合計 2 5 3 2 4" xfId="10317" xr:uid="{DA9196B3-25D7-4496-AA0D-31D05B2CC6A5}"/>
    <cellStyle name="合計 2 5 3 2 5" xfId="11813" xr:uid="{A7925364-3E13-4111-9A6D-7F5BCD26EB53}"/>
    <cellStyle name="合計 2 5 3 2 6" xfId="13290" xr:uid="{CE64CEE8-7209-4875-87E1-9F9BE8838A0E}"/>
    <cellStyle name="合計 2 5 3 2 7" xfId="14960" xr:uid="{CAF9EBB7-22D2-4916-AD01-7AA2B3D23D7D}"/>
    <cellStyle name="合計 2 5 3 2 8" xfId="16630" xr:uid="{AEC889F3-1AE3-480C-BFC5-F0613D12AE30}"/>
    <cellStyle name="合計 2 5 3 3" xfId="6436" xr:uid="{700BBC2A-9FF7-4B62-9B82-37CF206D9944}"/>
    <cellStyle name="合計 2 5 3 4" xfId="7698" xr:uid="{3757C43B-324F-49ED-A248-095542B569C5}"/>
    <cellStyle name="合計 2 5 3 5" xfId="9386" xr:uid="{19CF1CDD-9DFA-419C-B2AE-74E518D82599}"/>
    <cellStyle name="合計 2 5 3 6" xfId="11066" xr:uid="{93529703-F879-4D02-932D-9015A34EB1C8}"/>
    <cellStyle name="合計 2 5 3 7" xfId="12377" xr:uid="{3EC9F5FC-4E2E-46EC-B30A-84677979A24F}"/>
    <cellStyle name="合計 2 5 3 8" xfId="14029" xr:uid="{86809813-6F45-4BD5-917B-4C75CA1EBD6C}"/>
    <cellStyle name="合計 2 5 3 9" xfId="15717" xr:uid="{3A8E0676-D3A3-44E2-A924-B207640B3FF4}"/>
    <cellStyle name="合計 2 5 4" xfId="8989" xr:uid="{82E7AE5F-0373-4373-9B03-1ED31B901265}"/>
    <cellStyle name="合計 2 6" xfId="3090" xr:uid="{DF03EC39-1669-4BFA-BE52-0BDAFA83546D}"/>
    <cellStyle name="合計 2 6 10" xfId="10815" xr:uid="{85DC3172-513C-46BD-ABEA-C4C10E97CD01}"/>
    <cellStyle name="合計 2 6 2" xfId="3970" xr:uid="{0E110EA1-9588-4C57-92C5-7E776C3253C0}"/>
    <cellStyle name="合計 2 6 2 2" xfId="4827" xr:uid="{F7B8CAE0-DB34-4D14-8D38-6C74F719E250}"/>
    <cellStyle name="合計 2 6 2 2 2" xfId="7322" xr:uid="{9A8AAA36-E9D4-4F14-96F8-065614A869FC}"/>
    <cellStyle name="合計 2 6 2 2 3" xfId="8735" xr:uid="{B155FEEE-8EB7-49B7-89F8-575CFE46FFEA}"/>
    <cellStyle name="合計 2 6 2 2 4" xfId="10444" xr:uid="{4325FF7D-CBB7-4CDE-9826-E6BD86B9D9F1}"/>
    <cellStyle name="合計 2 6 2 2 5" xfId="11940" xr:uid="{267509AA-52C1-4A8A-8100-7BB8609DC36A}"/>
    <cellStyle name="合計 2 6 2 2 6" xfId="13412" xr:uid="{3EA78807-20BA-4BFB-ABE6-A4566EE9A32C}"/>
    <cellStyle name="合計 2 6 2 2 7" xfId="15087" xr:uid="{3C1E5DC7-B97C-4042-BD1E-0AEA8AD9CE99}"/>
    <cellStyle name="合計 2 6 2 2 8" xfId="16752" xr:uid="{4A764687-D008-4A44-ABDF-1766CAAFBABF}"/>
    <cellStyle name="合計 2 6 2 3" xfId="6586" xr:uid="{C8D0E848-8D9B-4CA8-9417-419CB8E304CD}"/>
    <cellStyle name="合計 2 6 2 4" xfId="7896" xr:uid="{7D7E2ABC-E2A2-4AC5-AB52-5B6614B465D4}"/>
    <cellStyle name="合計 2 6 2 5" xfId="9589" xr:uid="{FF046170-2E90-45A6-A2E7-0EAB60D7FCCC}"/>
    <cellStyle name="合計 2 6 2 6" xfId="11214" xr:uid="{BCC53B98-C2C5-41EE-A4C4-589C504D1DFB}"/>
    <cellStyle name="合計 2 6 2 7" xfId="12575" xr:uid="{072D4D11-A6B3-4A10-9C7C-133568088393}"/>
    <cellStyle name="合計 2 6 2 8" xfId="14232" xr:uid="{4BBA6D7B-3FE6-4EAD-8958-B8ED5B9942CA}"/>
    <cellStyle name="合計 2 6 2 9" xfId="15915" xr:uid="{05A76442-D442-4BFC-9458-3323436F6371}"/>
    <cellStyle name="合計 2 6 3" xfId="3532" xr:uid="{4726FB63-35F9-40E9-861E-43F70445D357}"/>
    <cellStyle name="合計 2 6 3 2" xfId="4541" xr:uid="{6D60992E-3B94-47EF-84B2-E00C87FBCFB0}"/>
    <cellStyle name="合計 2 6 3 2 2" xfId="7036" xr:uid="{BFFDE8FD-57B1-4E79-A529-81E2D68890C1}"/>
    <cellStyle name="合計 2 6 3 2 3" xfId="8455" xr:uid="{F27BE671-3457-4AD7-86A2-285589D8BF6F}"/>
    <cellStyle name="合計 2 6 3 2 4" xfId="10158" xr:uid="{EF017D81-29E3-49EC-812A-AD03ECA74E77}"/>
    <cellStyle name="合計 2 6 3 2 5" xfId="11654" xr:uid="{5D7DFBC4-8B52-42B5-941E-5B98D54FB939}"/>
    <cellStyle name="合計 2 6 3 2 6" xfId="13132" xr:uid="{CBB7D3C7-574A-4890-A114-6F05DE909336}"/>
    <cellStyle name="合計 2 6 3 2 7" xfId="14801" xr:uid="{F2940F13-577B-4467-8643-F46390AB778E}"/>
    <cellStyle name="合計 2 6 3 2 8" xfId="16472" xr:uid="{B8911C02-4299-443E-A067-E9D197395C17}"/>
    <cellStyle name="合計 2 6 3 3" xfId="6255" xr:uid="{F1358104-2629-4A0C-B982-E3F3D393514C}"/>
    <cellStyle name="合計 2 6 3 4" xfId="5137" xr:uid="{14E46335-EFDD-42AD-8EE9-7750F73FD87C}"/>
    <cellStyle name="合計 2 6 3 5" xfId="9151" xr:uid="{D13431AB-A8CA-4444-AB7A-EC54E91E0186}"/>
    <cellStyle name="合計 2 6 3 6" xfId="10885" xr:uid="{33DC6CF3-78D0-4961-A7B4-7770104B4790}"/>
    <cellStyle name="合計 2 6 3 7" xfId="12143" xr:uid="{18B075C7-6BCB-4908-9721-21FD507EDF08}"/>
    <cellStyle name="合計 2 6 3 8" xfId="13794" xr:uid="{05F3F535-7914-4948-84B4-95232F5CF50A}"/>
    <cellStyle name="合計 2 6 3 9" xfId="15483" xr:uid="{AECF39C8-F922-4364-B60F-6A7A182125DE}"/>
    <cellStyle name="合計 2 6 4" xfId="4320" xr:uid="{EA89EC4A-3E24-41A8-8EC0-54E88BEED063}"/>
    <cellStyle name="合計 2 6 4 2" xfId="6843" xr:uid="{A81766B3-1570-4AF0-9BB6-CD270C623646}"/>
    <cellStyle name="合計 2 6 4 3" xfId="8240" xr:uid="{E3A36135-256B-46CB-96D3-D48C9A04B672}"/>
    <cellStyle name="合計 2 6 4 4" xfId="9937" xr:uid="{E43FEA15-98FA-4B24-A9D4-2D1C651BE29A}"/>
    <cellStyle name="合計 2 6 4 5" xfId="11462" xr:uid="{782A09B2-B221-47BB-AB9B-F448AC5535DB}"/>
    <cellStyle name="合計 2 6 4 6" xfId="12917" xr:uid="{5A80CBB6-6760-4A48-9D6E-DB56A56BBFBB}"/>
    <cellStyle name="合計 2 6 4 7" xfId="14580" xr:uid="{E16F6774-3D9D-45E6-A728-2C80986FE9FF}"/>
    <cellStyle name="合計 2 6 4 8" xfId="16257" xr:uid="{B7F36B43-CAF1-46F7-84A1-B1FED94E67C5}"/>
    <cellStyle name="合計 2 6 5" xfId="5962" xr:uid="{21663262-1BBA-4D72-BB28-4C8BC3F8883B}"/>
    <cellStyle name="合計 2 6 6" xfId="5633" xr:uid="{11929BCA-3478-4F2B-BF12-A0DA50F574D7}"/>
    <cellStyle name="合計 2 6 7" xfId="5593" xr:uid="{B6B2D1CC-6DD5-4FC3-B213-83F2F714A540}"/>
    <cellStyle name="合計 2 6 8" xfId="5034" xr:uid="{CA105A06-03B1-4A8D-A18A-D016F2EF4BC6}"/>
    <cellStyle name="合計 2 6 9" xfId="5420" xr:uid="{CA002D26-85ED-4526-A5C9-613941FEE1D3}"/>
    <cellStyle name="合計 2 7" xfId="3248" xr:uid="{72C0D988-E81A-421A-9609-DE33BC978622}"/>
    <cellStyle name="合計 2 7 10" xfId="15293" xr:uid="{7D91F5F6-D69D-4198-927D-7CC6B11E7D93}"/>
    <cellStyle name="合計 2 7 2" xfId="4128" xr:uid="{14EE6BA4-B4F6-4E07-9EDC-5C86BE5BC552}"/>
    <cellStyle name="合計 2 7 2 2" xfId="4927" xr:uid="{9C0220E0-CACE-4874-A206-CFB131822096}"/>
    <cellStyle name="合計 2 7 2 2 2" xfId="7422" xr:uid="{937A6E64-2E8C-46D3-AA05-1153A0820E43}"/>
    <cellStyle name="合計 2 7 2 2 3" xfId="8834" xr:uid="{C6AA706C-7F77-43DD-8ECC-5E6E4D8D64D1}"/>
    <cellStyle name="合計 2 7 2 2 4" xfId="10544" xr:uid="{81F2F283-6743-4CC5-AD4D-67EA49273A70}"/>
    <cellStyle name="合計 2 7 2 2 5" xfId="12040" xr:uid="{4952E13D-ED60-42ED-8DE2-F2841DED5F67}"/>
    <cellStyle name="合計 2 7 2 2 6" xfId="13511" xr:uid="{07C3976C-9C22-4447-9BC1-72861CD48AAB}"/>
    <cellStyle name="合計 2 7 2 2 7" xfId="15187" xr:uid="{A2E7A86D-313D-4DBC-924A-EC9A20AEE56C}"/>
    <cellStyle name="合計 2 7 2 2 8" xfId="16851" xr:uid="{ED2814E8-1505-4DEA-A081-FD4A1F529F33}"/>
    <cellStyle name="合計 2 7 2 3" xfId="6700" xr:uid="{FFC92185-1E93-4590-BF35-EA0CD14437C6}"/>
    <cellStyle name="合計 2 7 2 4" xfId="8053" xr:uid="{706BC2D4-F477-4D9A-A707-F88EC0140266}"/>
    <cellStyle name="合計 2 7 2 5" xfId="9747" xr:uid="{80FE5CF3-D553-45F3-BEA3-169F7AECA1FB}"/>
    <cellStyle name="合計 2 7 2 6" xfId="11328" xr:uid="{EFB2BAB9-519F-43AA-A09F-20C91D15C395}"/>
    <cellStyle name="合計 2 7 2 7" xfId="12732" xr:uid="{7C81F3CE-233E-4019-94F7-8A799DF60D57}"/>
    <cellStyle name="合計 2 7 2 8" xfId="14390" xr:uid="{8CF61C54-B53D-46B8-9481-489A74CAC530}"/>
    <cellStyle name="合計 2 7 2 9" xfId="16072" xr:uid="{E9C15188-1ABD-427B-BA1D-D94DEFF210C7}"/>
    <cellStyle name="合計 2 7 3" xfId="3690" xr:uid="{B513FE65-A677-44C9-B6EA-BDF5B14A01BD}"/>
    <cellStyle name="合計 2 7 3 2" xfId="4641" xr:uid="{BC3E68CA-BA09-4600-A9A1-18D3F94E2294}"/>
    <cellStyle name="合計 2 7 3 2 2" xfId="7136" xr:uid="{5DC558A3-39B8-427D-BBD7-0E9CAA328F4E}"/>
    <cellStyle name="合計 2 7 3 2 3" xfId="8554" xr:uid="{6EF4F0F5-E6AD-452E-A9FD-B4B03B0AD876}"/>
    <cellStyle name="合計 2 7 3 2 4" xfId="10258" xr:uid="{A77E9881-21FC-44DD-B3CA-85B64AD6E7D3}"/>
    <cellStyle name="合計 2 7 3 2 5" xfId="11754" xr:uid="{DF4DF0E3-6E5A-441F-8421-213ED6CB2FCF}"/>
    <cellStyle name="合計 2 7 3 2 6" xfId="13231" xr:uid="{EFE072F0-AAAB-4821-A014-3C2F47A58C09}"/>
    <cellStyle name="合計 2 7 3 2 7" xfId="14901" xr:uid="{5AC8737C-456F-4605-9DEF-EB70F85B63C0}"/>
    <cellStyle name="合計 2 7 3 2 8" xfId="16571" xr:uid="{1636F6BC-45F3-4FF6-BDEF-54F138E0CBD3}"/>
    <cellStyle name="合計 2 7 3 3" xfId="6373" xr:uid="{F803431E-92ED-47A6-85A9-1D381CA048C4}"/>
    <cellStyle name="合計 2 7 3 4" xfId="7621" xr:uid="{94EDFD54-C9CA-4B64-9BDA-6942DB5DD6FF}"/>
    <cellStyle name="合計 2 7 3 5" xfId="9309" xr:uid="{31A9AE20-1C8F-4068-B909-EA2D9B1AC4C9}"/>
    <cellStyle name="合計 2 7 3 6" xfId="11000" xr:uid="{C891FD63-26A4-491F-8AD4-1459790B7FAD}"/>
    <cellStyle name="合計 2 7 3 7" xfId="12300" xr:uid="{502F5D96-FDA4-4738-8EF1-559D2E6A9C45}"/>
    <cellStyle name="合計 2 7 3 8" xfId="13952" xr:uid="{7126BE74-325A-413E-80B8-B141C390CE65}"/>
    <cellStyle name="合計 2 7 3 9" xfId="15640" xr:uid="{3A6F0E83-F261-4A18-BF9F-BC33998FB7D3}"/>
    <cellStyle name="合計 2 7 4" xfId="4390" xr:uid="{6583BE66-9BB7-459D-9B0B-0BFB3ABEF8D6}"/>
    <cellStyle name="合計 2 7 4 2" xfId="6898" xr:uid="{DD461D85-F1A9-45FC-909A-EF77936A087D}"/>
    <cellStyle name="合計 2 7 4 3" xfId="8309" xr:uid="{DF14DDD6-F66B-4DB3-B7EA-C076A3ED88D7}"/>
    <cellStyle name="合計 2 7 4 4" xfId="10007" xr:uid="{12ED6783-D470-4DA5-820A-E2D9EFAAE83E}"/>
    <cellStyle name="合計 2 7 4 5" xfId="11518" xr:uid="{84EAB379-5AD1-4569-A889-634EB7C5FEE7}"/>
    <cellStyle name="合計 2 7 4 6" xfId="12986" xr:uid="{97FA4794-E61C-4860-B0DE-58312CD46B2C}"/>
    <cellStyle name="合計 2 7 4 7" xfId="14650" xr:uid="{FE9C4E1D-200C-405B-A113-5E83A84FF895}"/>
    <cellStyle name="合計 2 7 4 8" xfId="16326" xr:uid="{CB0250EB-8DDB-4F0D-BC76-C0627BFB7D2A}"/>
    <cellStyle name="合計 2 7 5" xfId="6065" xr:uid="{FA02B3D3-B69A-4424-83CC-59F40502A1B5}"/>
    <cellStyle name="合計 2 7 6" xfId="5222" xr:uid="{DC1657ED-D39F-4BFD-B54C-74D938A9DC6E}"/>
    <cellStyle name="合計 2 7 7" xfId="10708" xr:uid="{14B951A7-9EF1-4C47-AFC5-B88A7965D052}"/>
    <cellStyle name="合計 2 7 8" xfId="5699" xr:uid="{339D96FD-D3B8-4FD4-894D-20D533D099A9}"/>
    <cellStyle name="合計 2 7 9" xfId="10938" xr:uid="{2F6F7683-1B73-4494-80BF-849CC0DDC58A}"/>
    <cellStyle name="合計 2 8" xfId="3387" xr:uid="{BC3C9411-5B46-42FB-B310-6109DADC2A0B}"/>
    <cellStyle name="合計 2 8 10" xfId="15344" xr:uid="{3B09EE68-5049-4D8C-9A7D-42D9F3988A00}"/>
    <cellStyle name="合計 2 8 2" xfId="4267" xr:uid="{37247A15-C694-41A7-88B8-5DF621C33E0F}"/>
    <cellStyle name="合計 2 8 2 2" xfId="5016" xr:uid="{A3C0C435-96F7-4C56-BF92-E77BA998689E}"/>
    <cellStyle name="合計 2 8 2 2 2" xfId="7511" xr:uid="{6EDB262A-D9F1-44D5-8011-E0C5745F2AD6}"/>
    <cellStyle name="合計 2 8 2 2 3" xfId="8921" xr:uid="{06A3D392-EECC-45AB-B6DA-33043F88114C}"/>
    <cellStyle name="合計 2 8 2 2 4" xfId="10633" xr:uid="{7F1BA4EC-7415-45DF-A0D0-AB9D110A645C}"/>
    <cellStyle name="合計 2 8 2 2 5" xfId="12129" xr:uid="{FE11875A-D103-48CE-9FBA-9E7064CE47BF}"/>
    <cellStyle name="合計 2 8 2 2 6" xfId="13598" xr:uid="{28CD8774-C6D0-412F-A709-5318DF0095CF}"/>
    <cellStyle name="合計 2 8 2 2 7" xfId="15276" xr:uid="{DC696EB2-EA08-465A-862E-873AD88D3930}"/>
    <cellStyle name="合計 2 8 2 2 8" xfId="16938" xr:uid="{4B2E7BD2-B9C1-4AC7-A32E-B2D4E481E8D7}"/>
    <cellStyle name="合計 2 8 2 3" xfId="6804" xr:uid="{DFAA1E2B-E186-42FE-A1C5-B1BA24F1135B}"/>
    <cellStyle name="合計 2 8 2 4" xfId="8190" xr:uid="{BDA254AF-A143-4CF1-844E-1F6F352C0882}"/>
    <cellStyle name="合計 2 8 2 5" xfId="9886" xr:uid="{256C99EC-D3F2-4F06-BA1C-BE7BA3591C07}"/>
    <cellStyle name="合計 2 8 2 6" xfId="11423" xr:uid="{F467502C-F94D-4959-B16F-0C604F48533A}"/>
    <cellStyle name="合計 2 8 2 7" xfId="12869" xr:uid="{5B57A15B-2F44-4B97-90CC-849AA2FDE5BB}"/>
    <cellStyle name="合計 2 8 2 8" xfId="14529" xr:uid="{820AB28E-EEE3-4967-BF6E-F7D1EED9F604}"/>
    <cellStyle name="合計 2 8 2 9" xfId="16209" xr:uid="{732717B2-F276-4432-9672-6268226BF2D9}"/>
    <cellStyle name="合計 2 8 3" xfId="3827" xr:uid="{A995208A-96FF-43CB-86E0-D9704EC8F5C9}"/>
    <cellStyle name="合計 2 8 3 2" xfId="4728" xr:uid="{1DB7C00F-28FA-48D0-82FF-76E9B2693075}"/>
    <cellStyle name="合計 2 8 3 2 2" xfId="7223" xr:uid="{919C26C7-8944-4D1B-9A43-D4605E3C5609}"/>
    <cellStyle name="合計 2 8 3 2 3" xfId="8641" xr:uid="{D41FFD4A-7E1D-4135-92C6-5A8D020F8832}"/>
    <cellStyle name="合計 2 8 3 2 4" xfId="10345" xr:uid="{8144EFDD-CBA0-4C12-ABCC-F732CE34AEFE}"/>
    <cellStyle name="合計 2 8 3 2 5" xfId="11841" xr:uid="{09F5FAF8-C8D5-4A7D-91CA-8FFC23538AB4}"/>
    <cellStyle name="合計 2 8 3 2 6" xfId="13318" xr:uid="{E5A4D8B6-4FF8-4AF5-9F27-BC088A5845EB}"/>
    <cellStyle name="合計 2 8 3 2 7" xfId="14988" xr:uid="{7AD2A9D8-BAF0-4996-842C-91CC9D680BEA}"/>
    <cellStyle name="合計 2 8 3 2 8" xfId="16658" xr:uid="{8D20D572-190D-45E3-89A2-A6EE9F7C3326}"/>
    <cellStyle name="合計 2 8 3 3" xfId="6474" xr:uid="{425EB43A-F5FD-4DBC-9CCF-6CB2C04D58E6}"/>
    <cellStyle name="合計 2 8 3 4" xfId="7758" xr:uid="{09C47B5B-2271-44C0-BC97-D2FB92141DB0}"/>
    <cellStyle name="合計 2 8 3 5" xfId="9446" xr:uid="{5151830C-2667-4148-9155-FE44E3059D02}"/>
    <cellStyle name="合計 2 8 3 6" xfId="11104" xr:uid="{937C5ED6-01C4-41F2-9096-48DA71168A5C}"/>
    <cellStyle name="合計 2 8 3 7" xfId="12437" xr:uid="{B15F810F-9671-4C22-84CD-1E9942C6D9AB}"/>
    <cellStyle name="合計 2 8 3 8" xfId="14089" xr:uid="{F3A4A2BE-D06C-4CB0-8058-4BEABDFCBE45}"/>
    <cellStyle name="合計 2 8 3 9" xfId="15777" xr:uid="{C3E44A26-381E-4B53-8A84-30EC4CB65C78}"/>
    <cellStyle name="合計 2 8 4" xfId="4443" xr:uid="{C72A8909-880C-41D7-A30A-58DA45A9F6B1}"/>
    <cellStyle name="合計 2 8 4 2" xfId="6939" xr:uid="{15451370-B36C-41AB-BF33-909C171610DA}"/>
    <cellStyle name="合計 2 8 4 3" xfId="8360" xr:uid="{5D3F0F3D-F70A-417F-B66F-118D8CD7FDBE}"/>
    <cellStyle name="合計 2 8 4 4" xfId="10060" xr:uid="{F3A99434-0CEF-45E8-8616-BEC0266B0B50}"/>
    <cellStyle name="合計 2 8 4 5" xfId="11556" xr:uid="{ADF6F585-110E-4851-9EB1-7D2F8175660D}"/>
    <cellStyle name="合計 2 8 4 6" xfId="13037" xr:uid="{AE26F7E2-4F94-49CB-B929-FC2A23544FC3}"/>
    <cellStyle name="合計 2 8 4 7" xfId="14703" xr:uid="{C295682C-5AD8-4E7A-AE75-5582E7FF4970}"/>
    <cellStyle name="合計 2 8 4 8" xfId="16377" xr:uid="{CBBFC2C4-ABDB-42D0-A35D-4A21296EE0F3}"/>
    <cellStyle name="合計 2 8 5" xfId="6145" xr:uid="{26EF1EEB-2EDE-4BA5-9EA3-DB599E59ED85}"/>
    <cellStyle name="合計 2 8 6" xfId="5020" xr:uid="{1512154E-643B-441D-85BA-B2D82086EE55}"/>
    <cellStyle name="合計 2 8 7" xfId="10777" xr:uid="{2518464E-0F64-41B1-A14E-4FA5B2D7346D}"/>
    <cellStyle name="合計 2 8 8" xfId="5677" xr:uid="{46D00B83-6144-441E-82C6-4044AFF66ACF}"/>
    <cellStyle name="合計 2 8 9" xfId="13653" xr:uid="{7FEC9ECE-8640-4399-AA2E-2952A2AAB988}"/>
    <cellStyle name="合計 2 9" xfId="3885" xr:uid="{F7B51433-A632-4487-8262-D3C5FB5DA36D}"/>
    <cellStyle name="合計 2 9 2" xfId="4773" xr:uid="{471F8BC6-55B8-48CC-A00C-379D6F22C768}"/>
    <cellStyle name="合計 2 9 2 2" xfId="7268" xr:uid="{B04BC8F3-BBE6-4DA0-9951-232F064AED64}"/>
    <cellStyle name="合計 2 9 2 3" xfId="8683" xr:uid="{FF2650EA-3485-4283-B99A-459B6A5AE883}"/>
    <cellStyle name="合計 2 9 2 4" xfId="10390" xr:uid="{4FC3849F-74F4-4A61-A9CC-11279EDAB9D9}"/>
    <cellStyle name="合計 2 9 2 5" xfId="11886" xr:uid="{408C586C-498C-4F58-A407-855578FC7216}"/>
    <cellStyle name="合計 2 9 2 6" xfId="13360" xr:uid="{7669D4BD-565D-456C-9D9F-82BA71C01699}"/>
    <cellStyle name="合計 2 9 2 7" xfId="15033" xr:uid="{FE858982-9D4C-436F-9287-B24176C80E06}"/>
    <cellStyle name="合計 2 9 2 8" xfId="16700" xr:uid="{D0F4A1A7-2A39-4594-BC97-5D65BC190993}"/>
    <cellStyle name="合計 2 9 3" xfId="6524" xr:uid="{49C34B9F-AD15-49F7-9D5B-3C394E4C49A6}"/>
    <cellStyle name="合計 2 9 4" xfId="7813" xr:uid="{45C7D29F-F888-44A6-9C98-2586C971D87D}"/>
    <cellStyle name="合計 2 9 5" xfId="9504" xr:uid="{13BEED90-4FA3-412D-911C-838EDB0B978B}"/>
    <cellStyle name="合計 2 9 6" xfId="11155" xr:uid="{2CE48006-15EA-4D48-B553-B24AE7AC7BCE}"/>
    <cellStyle name="合計 2 9 7" xfId="12492" xr:uid="{3DAA8B44-2D72-424B-A039-0C546A57BF4B}"/>
    <cellStyle name="合計 2 9 8" xfId="14147" xr:uid="{043B8028-9085-4183-99E5-695AD62830B5}"/>
    <cellStyle name="合計 2 9 9" xfId="15832" xr:uid="{CF7B0CE3-E5CB-49A7-BCDE-3AE38B4F6B96}"/>
    <cellStyle name="合計 3" xfId="2982" xr:uid="{DE3A801A-E64D-4FDA-9907-77A3F7622A26}"/>
    <cellStyle name="合計 3 10" xfId="3429" xr:uid="{744EA5B6-4046-432E-BF5D-F46B337CABDE}"/>
    <cellStyle name="合計 3 10 2" xfId="4473" xr:uid="{EFEA97DE-FB3A-4A8D-BB48-31D514FF5A03}"/>
    <cellStyle name="合計 3 10 2 2" xfId="6968" xr:uid="{76919D5E-82B8-4168-996A-AB55F3435E31}"/>
    <cellStyle name="合計 3 10 2 3" xfId="8389" xr:uid="{72CBA961-6D81-4206-9D05-8AD135076647}"/>
    <cellStyle name="合計 3 10 2 4" xfId="10090" xr:uid="{3420DDDB-4A32-479A-8093-CD28F347A400}"/>
    <cellStyle name="合計 3 10 2 5" xfId="11586" xr:uid="{3BD13471-1852-4DD5-8FCB-CC3E788812CD}"/>
    <cellStyle name="合計 3 10 2 6" xfId="13066" xr:uid="{4F427A8F-B42D-4EDC-8DEC-8922D21B404A}"/>
    <cellStyle name="合計 3 10 2 7" xfId="14733" xr:uid="{B5F86FA5-505F-4BCA-AAB5-CC056DB6E327}"/>
    <cellStyle name="合計 3 10 2 8" xfId="16406" xr:uid="{45A5069E-EC5A-4E88-87CE-434A8EC4BC61}"/>
    <cellStyle name="合計 3 10 3" xfId="6176" xr:uid="{59461382-3C2A-4BE5-A109-576F62AD8A86}"/>
    <cellStyle name="合計 3 10 4" xfId="5211" xr:uid="{FD3F5FD8-E08B-4019-8D38-65F423122F01}"/>
    <cellStyle name="合計 3 10 5" xfId="9048" xr:uid="{FED4E5BF-4B5B-40D8-9C1C-452A241E9AC0}"/>
    <cellStyle name="合計 3 10 6" xfId="10810" xr:uid="{FDCFD8A3-F9A1-4305-B61F-DAD12418F8BC}"/>
    <cellStyle name="合計 3 10 7" xfId="5323" xr:uid="{EE6BCB9C-7E11-489E-BD65-DEB14EC62FD5}"/>
    <cellStyle name="合計 3 10 8" xfId="13691" xr:uid="{3A86CC92-ECD6-4213-808E-CE916E74227A}"/>
    <cellStyle name="合計 3 10 9" xfId="15382" xr:uid="{0F702B48-7BA2-47B0-A530-025531C58AAA}"/>
    <cellStyle name="合計 3 11" xfId="5550" xr:uid="{96EAB561-0BBA-4505-A951-54825D2112DC}"/>
    <cellStyle name="合計 3 12" xfId="5876" xr:uid="{4401EEE9-007A-4C25-9BFC-766CC7C40FE7}"/>
    <cellStyle name="合計 3 2" xfId="3270" xr:uid="{E22065E1-F089-4EA2-9C5B-3F9186AF6787}"/>
    <cellStyle name="合計 3 2 2" xfId="4150" xr:uid="{6CB3A589-8553-412B-8A9D-C6F21EB20903}"/>
    <cellStyle name="合計 3 2 2 2" xfId="4944" xr:uid="{83BBC810-D36E-45E1-ADDD-6996550A33E1}"/>
    <cellStyle name="合計 3 2 2 2 2" xfId="7439" xr:uid="{1A68D604-CC56-4565-96AD-480BD6887FD3}"/>
    <cellStyle name="合計 3 2 2 2 3" xfId="8851" xr:uid="{B1D36474-1DB3-4106-B870-1A7463403293}"/>
    <cellStyle name="合計 3 2 2 2 4" xfId="10561" xr:uid="{19319799-0EA9-4341-93E4-76FBF0142685}"/>
    <cellStyle name="合計 3 2 2 2 5" xfId="12057" xr:uid="{348132C4-FE8A-4C70-AEC9-000F76DA1057}"/>
    <cellStyle name="合計 3 2 2 2 6" xfId="13528" xr:uid="{112CF82C-D141-4863-99E8-283097314E0E}"/>
    <cellStyle name="合計 3 2 2 2 7" xfId="15204" xr:uid="{8C09D608-2D18-4962-8299-230D61D7312C}"/>
    <cellStyle name="合計 3 2 2 2 8" xfId="16868" xr:uid="{9F785C1A-4870-4CFB-9E5F-63BDE64505C1}"/>
    <cellStyle name="合計 3 2 2 3" xfId="6719" xr:uid="{BD9D301E-DA38-44CD-95E6-406A7104A132}"/>
    <cellStyle name="合計 3 2 2 4" xfId="8075" xr:uid="{2454A008-B1DA-4741-8067-5B892991F7EE}"/>
    <cellStyle name="合計 3 2 2 5" xfId="9769" xr:uid="{D096B3BB-1894-4EDC-B49B-DDFAFBAFEF56}"/>
    <cellStyle name="合計 3 2 2 6" xfId="11346" xr:uid="{2900DDA2-5365-4BC9-B568-5C4795637796}"/>
    <cellStyle name="合計 3 2 2 7" xfId="12754" xr:uid="{C756A48F-6FE2-4955-95C5-8A00FC371AD8}"/>
    <cellStyle name="合計 3 2 2 8" xfId="14412" xr:uid="{3C763D96-8FF7-4672-A97B-CDEBCE9BAA76}"/>
    <cellStyle name="合計 3 2 2 9" xfId="16094" xr:uid="{F816703F-0312-41A1-AC7D-1B84B3521703}"/>
    <cellStyle name="合計 3 2 3" xfId="3712" xr:uid="{98AED7C4-6E84-4D22-AB0C-1A60B6CE302D}"/>
    <cellStyle name="合計 3 2 3 2" xfId="4658" xr:uid="{CF683829-1A15-4B61-8429-6CFDB8C01D22}"/>
    <cellStyle name="合計 3 2 3 2 2" xfId="7153" xr:uid="{E78BF5A5-8CB2-489B-9FE7-452DD4AC1249}"/>
    <cellStyle name="合計 3 2 3 2 3" xfId="8571" xr:uid="{6AA50FEF-FCA2-4A02-8872-C4784DFD4D07}"/>
    <cellStyle name="合計 3 2 3 2 4" xfId="10275" xr:uid="{8AECAF80-9B51-424A-8819-295E76BE09AF}"/>
    <cellStyle name="合計 3 2 3 2 5" xfId="11771" xr:uid="{73A11438-F7AE-454C-BC36-DB0D2F79F52A}"/>
    <cellStyle name="合計 3 2 3 2 6" xfId="13248" xr:uid="{66910D65-AC4F-46F8-8DD2-39953C4B623E}"/>
    <cellStyle name="合計 3 2 3 2 7" xfId="14918" xr:uid="{3E340452-6D51-42D0-9954-FDD41B3F58E2}"/>
    <cellStyle name="合計 3 2 3 2 8" xfId="16588" xr:uid="{096EACEB-5540-4928-B384-483A6FE44AD3}"/>
    <cellStyle name="合計 3 2 3 3" xfId="6393" xr:uid="{B32B26E5-0F4A-44EB-9B4A-0A680D65000A}"/>
    <cellStyle name="合計 3 2 3 4" xfId="7643" xr:uid="{1C49D9D8-F79B-41AF-8500-E9E00E34EB5D}"/>
    <cellStyle name="合計 3 2 3 5" xfId="9331" xr:uid="{F3205B77-E218-4835-81B3-8FB48FAB67A7}"/>
    <cellStyle name="合計 3 2 3 6" xfId="11019" xr:uid="{A2DADAD5-80EE-4D7B-B101-B1EA5700517C}"/>
    <cellStyle name="合計 3 2 3 7" xfId="12322" xr:uid="{B1A52826-B6F0-4623-969E-D0DB398EB759}"/>
    <cellStyle name="合計 3 2 3 8" xfId="13974" xr:uid="{1D329A2C-4D66-497B-A487-AD6ECBA902C9}"/>
    <cellStyle name="合計 3 2 3 9" xfId="15662" xr:uid="{8A128B5E-28F0-4C82-9F8E-C23C1CB95628}"/>
    <cellStyle name="合計 3 2 4" xfId="8937" xr:uid="{45CCE530-C047-4FF0-A8A4-6D79B9D1F749}"/>
    <cellStyle name="合計 3 3" xfId="3138" xr:uid="{BA6C4152-4554-4CD1-B47D-0089163FFD36}"/>
    <cellStyle name="合計 3 3 2" xfId="4018" xr:uid="{5C6CCCC3-B715-40C3-9B94-79B687894AEE}"/>
    <cellStyle name="合計 3 3 2 2" xfId="4862" xr:uid="{470E4D58-71C3-4CAB-89D0-2F737EAC4E10}"/>
    <cellStyle name="合計 3 3 2 2 2" xfId="7357" xr:uid="{B1167B46-89D5-4EF6-A64A-4E7A39C92AE1}"/>
    <cellStyle name="合計 3 3 2 2 3" xfId="8770" xr:uid="{A960AFC8-3733-41A9-B943-E60DA8C12C49}"/>
    <cellStyle name="合計 3 3 2 2 4" xfId="10479" xr:uid="{288A7868-4115-4E9A-9049-ADB0EAB22F35}"/>
    <cellStyle name="合計 3 3 2 2 5" xfId="11975" xr:uid="{62CEF087-53A5-4D37-B89D-A7FC7E9706BA}"/>
    <cellStyle name="合計 3 3 2 2 6" xfId="13447" xr:uid="{73014ADE-6323-49C4-A682-5BEC19C9D81C}"/>
    <cellStyle name="合計 3 3 2 2 7" xfId="15122" xr:uid="{8736E891-BD1F-42EB-8C9C-CFDF8C57625A}"/>
    <cellStyle name="合計 3 3 2 2 8" xfId="16787" xr:uid="{CD3AC525-596E-489B-90E2-AD7C46285739}"/>
    <cellStyle name="合計 3 3 2 3" xfId="6623" xr:uid="{2AA07CEB-1E4E-477D-9E2B-810FC77025E7}"/>
    <cellStyle name="合計 3 3 2 4" xfId="7944" xr:uid="{022C123B-3D30-48D0-8C10-52A225F4B1AB}"/>
    <cellStyle name="合計 3 3 2 5" xfId="9637" xr:uid="{5E6DDCED-AA5C-4863-BE0F-AE86B3CF6D01}"/>
    <cellStyle name="合計 3 3 2 6" xfId="11249" xr:uid="{448A009B-F9F7-405D-8704-6330FFC9983B}"/>
    <cellStyle name="合計 3 3 2 7" xfId="12623" xr:uid="{53F31D0B-ADE2-4832-90F7-513026711654}"/>
    <cellStyle name="合計 3 3 2 8" xfId="14280" xr:uid="{3DEF8374-1A80-4CF2-B515-96B4C7BA2E0C}"/>
    <cellStyle name="合計 3 3 2 9" xfId="15963" xr:uid="{050CBA3D-3CF5-4127-B7F5-82EC6B1E2441}"/>
    <cellStyle name="合計 3 3 3" xfId="3580" xr:uid="{16F26FD3-6814-44B1-84B2-FA83BF3F39FC}"/>
    <cellStyle name="合計 3 3 3 2" xfId="4576" xr:uid="{97331019-C6ED-4E8E-A943-14A5523F81CF}"/>
    <cellStyle name="合計 3 3 3 2 2" xfId="7071" xr:uid="{5B70381B-575A-448D-8082-2F65CD0B6B49}"/>
    <cellStyle name="合計 3 3 3 2 3" xfId="8490" xr:uid="{F34BA82A-47E0-4299-A321-2A71B5DAE0D6}"/>
    <cellStyle name="合計 3 3 3 2 4" xfId="10193" xr:uid="{D5E29935-6C7F-4211-B64D-4CB29B831201}"/>
    <cellStyle name="合計 3 3 3 2 5" xfId="11689" xr:uid="{CA84E8EB-5EFB-467A-9D40-BD5080A49C45}"/>
    <cellStyle name="合計 3 3 3 2 6" xfId="13167" xr:uid="{E16292B7-5AFB-4ABA-B6CF-FD51364794EF}"/>
    <cellStyle name="合計 3 3 3 2 7" xfId="14836" xr:uid="{FF531879-36B0-4DE4-8596-D4181378E6CC}"/>
    <cellStyle name="合計 3 3 3 2 8" xfId="16507" xr:uid="{A6A89F10-94F2-477C-8160-E14CE81277F9}"/>
    <cellStyle name="合計 3 3 3 3" xfId="6293" xr:uid="{060CE576-AD00-4129-8812-B432CACE636B}"/>
    <cellStyle name="合計 3 3 3 4" xfId="5100" xr:uid="{F475A527-E37A-43EB-8ADD-495094DC3C38}"/>
    <cellStyle name="合計 3 3 3 5" xfId="9199" xr:uid="{0D8F2CAE-A252-4154-858C-4288DCAFC364}"/>
    <cellStyle name="合計 3 3 3 6" xfId="10923" xr:uid="{B9E20907-F81E-4D03-99C1-DE0289F57839}"/>
    <cellStyle name="合計 3 3 3 7" xfId="12191" xr:uid="{DE89CC27-29C6-4722-AAA5-476E5EC9CB65}"/>
    <cellStyle name="合計 3 3 3 8" xfId="13842" xr:uid="{A13849D3-369C-46E9-BFC5-2D21AB5A8BC6}"/>
    <cellStyle name="合計 3 3 3 9" xfId="15531" xr:uid="{717C2D19-2A2A-4F39-9632-43C2356EC3E6}"/>
    <cellStyle name="合計 3 3 4" xfId="5899" xr:uid="{BC1252BA-EA68-43E7-97FE-70D8F65F6C64}"/>
    <cellStyle name="合計 3 4" xfId="3114" xr:uid="{4ABF10C0-FBC9-4C82-94B9-FAAFAFB39F18}"/>
    <cellStyle name="合計 3 4 2" xfId="3994" xr:uid="{921A36ED-ADC7-4CD5-B035-C02C2F3AF7F1}"/>
    <cellStyle name="合計 3 4 2 2" xfId="4842" xr:uid="{A9891719-C18F-4936-9B20-8BD3C78202A9}"/>
    <cellStyle name="合計 3 4 2 2 2" xfId="7337" xr:uid="{F4D2F934-E728-4B6B-A02F-E1581AA8454F}"/>
    <cellStyle name="合計 3 4 2 2 3" xfId="8750" xr:uid="{4852D7D8-4291-437A-B275-62A5ECED5BAE}"/>
    <cellStyle name="合計 3 4 2 2 4" xfId="10459" xr:uid="{AF511D4F-3F86-4F9D-A913-5AFE533E1C4E}"/>
    <cellStyle name="合計 3 4 2 2 5" xfId="11955" xr:uid="{F1373817-D52B-4A57-993E-2DE41B0CB061}"/>
    <cellStyle name="合計 3 4 2 2 6" xfId="13427" xr:uid="{6D404825-FFAD-40E3-ADD6-1E7A317401D7}"/>
    <cellStyle name="合計 3 4 2 2 7" xfId="15102" xr:uid="{868A7179-E014-430C-B695-FD083FA538F6}"/>
    <cellStyle name="合計 3 4 2 2 8" xfId="16767" xr:uid="{596974BA-D9CA-4032-9244-7D5E031CD7D3}"/>
    <cellStyle name="合計 3 4 2 3" xfId="6603" xr:uid="{D5F92AED-AFD3-4EDC-A1E8-BAB28D0043A2}"/>
    <cellStyle name="合計 3 4 2 4" xfId="7920" xr:uid="{0625DE73-76EC-4816-9209-EC6DCB61B5C5}"/>
    <cellStyle name="合計 3 4 2 5" xfId="9613" xr:uid="{AD58CE5B-7A68-42AD-8282-D1EE1341150B}"/>
    <cellStyle name="合計 3 4 2 6" xfId="11229" xr:uid="{C09C8DFE-F2EA-4BA6-9BA7-16110B0F91BE}"/>
    <cellStyle name="合計 3 4 2 7" xfId="12599" xr:uid="{2C8271DC-F1CE-48FC-BF06-97B9A25203E2}"/>
    <cellStyle name="合計 3 4 2 8" xfId="14256" xr:uid="{908B657C-9719-4477-8661-651E0AB3B721}"/>
    <cellStyle name="合計 3 4 2 9" xfId="15939" xr:uid="{CBF37522-4CDF-4BAB-9367-7BDBC1E3F5F3}"/>
    <cellStyle name="合計 3 4 3" xfId="3556" xr:uid="{C6A4ECDC-3D80-40AE-BD7A-6F5761CCA948}"/>
    <cellStyle name="合計 3 4 3 2" xfId="4556" xr:uid="{910FD295-CB97-4D49-A674-1033C2C5538A}"/>
    <cellStyle name="合計 3 4 3 2 2" xfId="7051" xr:uid="{E79B51F8-3154-43FD-B024-845B3A07F930}"/>
    <cellStyle name="合計 3 4 3 2 3" xfId="8470" xr:uid="{BBF2DE85-176D-4A58-AD67-548D7752979B}"/>
    <cellStyle name="合計 3 4 3 2 4" xfId="10173" xr:uid="{48E6D132-EAA3-431B-9856-CB8DF51E0344}"/>
    <cellStyle name="合計 3 4 3 2 5" xfId="11669" xr:uid="{D6B5B238-CE3F-4B3D-8C38-B9F15896FF2D}"/>
    <cellStyle name="合計 3 4 3 2 6" xfId="13147" xr:uid="{706A9B3A-FC49-455F-B2B3-819CA3D3482C}"/>
    <cellStyle name="合計 3 4 3 2 7" xfId="14816" xr:uid="{BE809447-AC8C-4B47-88CE-5FAE91AD69D7}"/>
    <cellStyle name="合計 3 4 3 2 8" xfId="16487" xr:uid="{331FCD0D-414B-4DD1-B60B-A005A3D6B9F7}"/>
    <cellStyle name="合計 3 4 3 3" xfId="6273" xr:uid="{8DE56EEF-DEE1-44C9-AF98-D92D377BB088}"/>
    <cellStyle name="合計 3 4 3 4" xfId="5120" xr:uid="{DD8E82AB-BE97-4B86-AE7D-74F711564874}"/>
    <cellStyle name="合計 3 4 3 5" xfId="9175" xr:uid="{F1B76B98-8554-4252-87C9-FFA0B961BA8F}"/>
    <cellStyle name="合計 3 4 3 6" xfId="10903" xr:uid="{68A2FEF3-5C7B-4D1E-A4AB-94AABDDFD155}"/>
    <cellStyle name="合計 3 4 3 7" xfId="12167" xr:uid="{D6174940-CFF3-4700-B724-1FB6CFEE0CB4}"/>
    <cellStyle name="合計 3 4 3 8" xfId="13818" xr:uid="{C48DD9F6-BA8C-4B4D-8093-F496BB2ACEE5}"/>
    <cellStyle name="合計 3 4 3 9" xfId="15507" xr:uid="{783E58A8-D8FB-4A42-B17C-D60FF090DA9B}"/>
    <cellStyle name="合計 3 4 4" xfId="6560" xr:uid="{347EB8E7-7170-4D74-BF95-3E6B46F5A11F}"/>
    <cellStyle name="合計 3 5" xfId="3308" xr:uid="{2AD2FBB2-9F6D-4784-AB2A-65330C92B7D5}"/>
    <cellStyle name="合計 3 5 2" xfId="4188" xr:uid="{1042EB17-F33D-4EBF-AFB4-9F3D33DFD4EA}"/>
    <cellStyle name="合計 3 5 2 2" xfId="4973" xr:uid="{F45EACFE-9DD8-436E-92E1-318448297A91}"/>
    <cellStyle name="合計 3 5 2 2 2" xfId="7468" xr:uid="{18F18886-3666-4097-AB00-41732B7A78CD}"/>
    <cellStyle name="合計 3 5 2 2 3" xfId="8879" xr:uid="{1C713317-D70F-4FDF-BFB3-7C1E3C6CFB65}"/>
    <cellStyle name="合計 3 5 2 2 4" xfId="10590" xr:uid="{94E9E029-C532-442D-8098-0C8FEB6F632A}"/>
    <cellStyle name="合計 3 5 2 2 5" xfId="12086" xr:uid="{32ACE36B-DA22-4A21-B563-388360D5B925}"/>
    <cellStyle name="合計 3 5 2 2 6" xfId="13556" xr:uid="{DD85DB08-44E2-4FB8-BDEB-6BC2A442FE3E}"/>
    <cellStyle name="合計 3 5 2 2 7" xfId="15233" xr:uid="{B6CB0AB9-55DB-4837-BF05-525DCFDFCEF5}"/>
    <cellStyle name="合計 3 5 2 2 8" xfId="16896" xr:uid="{0EAAAFED-8721-4649-AD4A-A5966A540471}"/>
    <cellStyle name="合計 3 5 2 3" xfId="6748" xr:uid="{38228315-BA8A-453D-AE98-47CB9BBD1268}"/>
    <cellStyle name="合計 3 5 2 4" xfId="8112" xr:uid="{DEA7ECAD-1BF6-4C80-B327-5088EB5A9830}"/>
    <cellStyle name="合計 3 5 2 5" xfId="9807" xr:uid="{564919D4-AB84-4BAD-99E8-1FC1589A9894}"/>
    <cellStyle name="合計 3 5 2 6" xfId="11377" xr:uid="{E0D1BA7B-A687-4FB9-BAB9-36A076EEFCDD}"/>
    <cellStyle name="合計 3 5 2 7" xfId="12791" xr:uid="{D7F93B81-74A3-41DC-ADAA-D22BA1DC7C8D}"/>
    <cellStyle name="合計 3 5 2 8" xfId="14450" xr:uid="{07889202-E35B-4AF7-8D00-424349B4AEA8}"/>
    <cellStyle name="合計 3 5 2 9" xfId="16131" xr:uid="{A0E9D41A-3F43-434B-955F-6508F8D76C71}"/>
    <cellStyle name="合計 3 5 3" xfId="3749" xr:uid="{C55A8163-FAC9-449D-AADC-F867669F4873}"/>
    <cellStyle name="合計 3 5 3 2" xfId="4686" xr:uid="{4D3F1C5E-9661-4FF0-86A3-94067A3AEC76}"/>
    <cellStyle name="合計 3 5 3 2 2" xfId="7181" xr:uid="{01F1876A-316B-4C6B-ABED-698E2A5873EC}"/>
    <cellStyle name="合計 3 5 3 2 3" xfId="8599" xr:uid="{28F31671-47A4-4244-B227-BEC5636BB57B}"/>
    <cellStyle name="合計 3 5 3 2 4" xfId="10303" xr:uid="{C0223556-EA96-4859-8E9C-A0C49A1476DC}"/>
    <cellStyle name="合計 3 5 3 2 5" xfId="11799" xr:uid="{A69F5D55-1EA9-4B29-8F8B-5D0F9D8D7E26}"/>
    <cellStyle name="合計 3 5 3 2 6" xfId="13276" xr:uid="{B2C2598A-803D-4888-8548-654A5449966F}"/>
    <cellStyle name="合計 3 5 3 2 7" xfId="14946" xr:uid="{16B726AD-5F34-4440-AC09-43311B9D10D7}"/>
    <cellStyle name="合計 3 5 3 2 8" xfId="16616" xr:uid="{C91AB776-9186-4CA4-A021-26E542FD36BD}"/>
    <cellStyle name="合計 3 5 3 3" xfId="6422" xr:uid="{0FCC253E-1A05-473D-9A35-5CE1A8F09671}"/>
    <cellStyle name="合計 3 5 3 4" xfId="7680" xr:uid="{7D3E84C4-4A0B-4814-B4D4-15042F93CA78}"/>
    <cellStyle name="合計 3 5 3 5" xfId="9368" xr:uid="{6CEFBE25-85E7-460D-AA28-BD35530FAD66}"/>
    <cellStyle name="合計 3 5 3 6" xfId="11050" xr:uid="{A199C684-481F-4E23-958A-65C5B63CBC2B}"/>
    <cellStyle name="合計 3 5 3 7" xfId="12359" xr:uid="{64FF2280-6D76-4705-8D8A-C798528C5BFB}"/>
    <cellStyle name="合計 3 5 3 8" xfId="14011" xr:uid="{5711DC25-E893-4FB5-99D7-445A1F62150E}"/>
    <cellStyle name="合計 3 5 3 9" xfId="15699" xr:uid="{ECF555A7-C600-46E9-93CC-304CB8C8587D}"/>
    <cellStyle name="合計 3 5 4" xfId="8971" xr:uid="{1A00D057-947C-43F2-8DBB-DCB5D9D021B9}"/>
    <cellStyle name="合計 3 6" xfId="3029" xr:uid="{1A163C6E-77CC-40C5-B244-6AA79CCC5569}"/>
    <cellStyle name="合計 3 6 10" xfId="5036" xr:uid="{581980AB-3FE6-447F-8F59-3F0275147933}"/>
    <cellStyle name="合計 3 6 2" xfId="3909" xr:uid="{6438006D-09BC-41F2-AB20-160A532C679C}"/>
    <cellStyle name="合計 3 6 2 2" xfId="4784" xr:uid="{A5ABE52A-6502-4570-A930-3A6D763D6152}"/>
    <cellStyle name="合計 3 6 2 2 2" xfId="7279" xr:uid="{AB60A36C-7371-462E-B6F0-1A8E74E8E31F}"/>
    <cellStyle name="合計 3 6 2 2 3" xfId="8694" xr:uid="{0F747991-5DA4-4E22-B958-AB77C166D8FE}"/>
    <cellStyle name="合計 3 6 2 2 4" xfId="10401" xr:uid="{856AD6C3-DE04-4A9A-8B80-8CE7EC5F1CB9}"/>
    <cellStyle name="合計 3 6 2 2 5" xfId="11897" xr:uid="{0FFADC5F-D10C-4D4A-BE9C-DEF9C59966AA}"/>
    <cellStyle name="合計 3 6 2 2 6" xfId="13371" xr:uid="{F1B7F407-4685-4FAD-B1B7-3E2545E39CF2}"/>
    <cellStyle name="合計 3 6 2 2 7" xfId="15044" xr:uid="{841D5FA5-C158-4B3E-A06B-3EE1B38ED720}"/>
    <cellStyle name="合計 3 6 2 2 8" xfId="16711" xr:uid="{F341A473-EE9C-4005-8E20-6D5DDB54299A}"/>
    <cellStyle name="合計 3 6 2 3" xfId="6538" xr:uid="{F7D04F0B-DAF6-450C-9D7C-38B80D657363}"/>
    <cellStyle name="合計 3 6 2 4" xfId="7837" xr:uid="{BC8734B3-E436-456B-A9D6-D2AA7156DD34}"/>
    <cellStyle name="合計 3 6 2 5" xfId="9528" xr:uid="{6AAE6B48-32F0-405F-943F-0888478FEF4A}"/>
    <cellStyle name="合計 3 6 2 6" xfId="11169" xr:uid="{41299D77-D573-419E-86F0-E68082460D28}"/>
    <cellStyle name="合計 3 6 2 7" xfId="12516" xr:uid="{E622070F-91D5-4DAD-B395-E26F390B29AC}"/>
    <cellStyle name="合計 3 6 2 8" xfId="14171" xr:uid="{71E8D02B-6472-4C64-9788-B553958C4C41}"/>
    <cellStyle name="合計 3 6 2 9" xfId="15856" xr:uid="{168ACC4A-129C-4DB6-BC21-F1AD83A1FE0A}"/>
    <cellStyle name="合計 3 6 3" xfId="3471" xr:uid="{9BAF4759-0B97-4A6F-BF75-0C6E17D4DE81}"/>
    <cellStyle name="合計 3 6 3 2" xfId="4498" xr:uid="{80F8C700-AA2B-43B3-8B8E-649D262E3122}"/>
    <cellStyle name="合計 3 6 3 2 2" xfId="6993" xr:uid="{1D110378-1F4A-4272-A62D-5E73F13AF07F}"/>
    <cellStyle name="合計 3 6 3 2 3" xfId="8414" xr:uid="{4CE2B099-A588-4EE5-B8DC-57E8FEBD8145}"/>
    <cellStyle name="合計 3 6 3 2 4" xfId="10115" xr:uid="{F9CD940B-F960-4213-9223-5B3F029A3654}"/>
    <cellStyle name="合計 3 6 3 2 5" xfId="11611" xr:uid="{6DC6106A-4D29-4E99-AE4A-9A0384EB051E}"/>
    <cellStyle name="合計 3 6 3 2 6" xfId="13091" xr:uid="{B23BA5E6-C582-4F9C-BCCE-FDD9A3994862}"/>
    <cellStyle name="合計 3 6 3 2 7" xfId="14758" xr:uid="{C469E410-691A-4801-A6F7-AAEF02C4AEA6}"/>
    <cellStyle name="合計 3 6 3 2 8" xfId="16431" xr:uid="{EC4B6225-D81A-485E-83FD-9386A5E51D87}"/>
    <cellStyle name="合計 3 6 3 3" xfId="6206" xr:uid="{2B27DD80-E0F8-4B3B-BAA3-F51E300C1594}"/>
    <cellStyle name="合計 3 6 3 4" xfId="5175" xr:uid="{73D607BC-E971-461F-B853-875CF5833E09}"/>
    <cellStyle name="合計 3 6 3 5" xfId="9090" xr:uid="{D0FC295A-7CC5-4ACD-B3AA-33D4E3C5C057}"/>
    <cellStyle name="合計 3 6 3 6" xfId="10840" xr:uid="{34A8BAB0-9168-4939-A9D0-E5A01863A515}"/>
    <cellStyle name="合計 3 6 3 7" xfId="5763" xr:uid="{E7D82CCF-FD4D-4DDA-807A-280377BD7C81}"/>
    <cellStyle name="合計 3 6 3 8" xfId="13733" xr:uid="{D357F7F2-18CC-44A6-A094-7F6F32B567DC}"/>
    <cellStyle name="合計 3 6 3 9" xfId="15424" xr:uid="{E0F7AB5A-FFC2-4FD9-AA77-ACF7AC041B2E}"/>
    <cellStyle name="合計 3 6 4" xfId="4282" xr:uid="{4736FBE9-36F5-408D-951C-9063FA8E7529}"/>
    <cellStyle name="合計 3 6 4 2" xfId="6813" xr:uid="{9CD260FC-19FE-4B31-8E4D-166AE175991E}"/>
    <cellStyle name="合計 3 6 4 3" xfId="8204" xr:uid="{DBA16B4B-F448-492D-ADAB-B32C680750FF}"/>
    <cellStyle name="合計 3 6 4 4" xfId="9899" xr:uid="{BF165D4D-4471-4171-89C6-0B636BC34701}"/>
    <cellStyle name="合計 3 6 4 5" xfId="11433" xr:uid="{D57655CE-FEA2-4CF8-A945-7489B1B67027}"/>
    <cellStyle name="合計 3 6 4 6" xfId="12881" xr:uid="{07B3ADC0-8958-475A-B046-D151FD989B11}"/>
    <cellStyle name="合計 3 6 4 7" xfId="14542" xr:uid="{BE759DFC-A1A3-43F9-8981-F6DDE1FF2C40}"/>
    <cellStyle name="合計 3 6 4 8" xfId="16221" xr:uid="{B931D720-6F54-4F3A-A633-A23C4B4E55BB}"/>
    <cellStyle name="合計 3 6 5" xfId="5916" xr:uid="{F56A1D50-A6DA-45E7-9347-A9075D69A85D}"/>
    <cellStyle name="合計 3 6 6" xfId="5262" xr:uid="{DAA1D04D-73BE-4D15-BD7D-24B8CE4BE408}"/>
    <cellStyle name="合計 3 6 7" xfId="5793" xr:uid="{F95011C4-3B39-470F-B4AB-D7497B9A0C69}"/>
    <cellStyle name="合計 3 6 8" xfId="5077" xr:uid="{CB43A9B5-18A8-4005-8017-337F4EE3E964}"/>
    <cellStyle name="合計 3 6 9" xfId="5788" xr:uid="{D6DAE60C-3DD4-4D75-A5FF-2287A9B5A027}"/>
    <cellStyle name="合計 3 7" xfId="3249" xr:uid="{22D44D90-BADB-4AC7-984A-2A8648AFE0A4}"/>
    <cellStyle name="合計 3 7 10" xfId="15294" xr:uid="{B3DB56D9-F428-41FF-A055-0FCF068D42FD}"/>
    <cellStyle name="合計 3 7 2" xfId="4129" xr:uid="{BCE9B6E3-2781-44F9-8409-C7FE568347DC}"/>
    <cellStyle name="合計 3 7 2 2" xfId="4928" xr:uid="{FCE4DBAC-7E9E-42A7-B534-CE2CF4BCA2AD}"/>
    <cellStyle name="合計 3 7 2 2 2" xfId="7423" xr:uid="{5AB6C309-CB97-4AF5-9B65-F3C5AD46EDD1}"/>
    <cellStyle name="合計 3 7 2 2 3" xfId="8835" xr:uid="{C1280BDD-FE12-4B85-BEC0-44AE15C80679}"/>
    <cellStyle name="合計 3 7 2 2 4" xfId="10545" xr:uid="{4C7C108C-4D62-49E9-9B25-3AE970052A83}"/>
    <cellStyle name="合計 3 7 2 2 5" xfId="12041" xr:uid="{F7ABEC58-9CB0-49AB-9F68-FBC83B74F579}"/>
    <cellStyle name="合計 3 7 2 2 6" xfId="13512" xr:uid="{F44B25A7-7C09-4693-81E5-6133CB8C0E4A}"/>
    <cellStyle name="合計 3 7 2 2 7" xfId="15188" xr:uid="{B6CE0DA0-D74C-4130-AE83-978AF5F42451}"/>
    <cellStyle name="合計 3 7 2 2 8" xfId="16852" xr:uid="{FBAE5D2A-4386-420D-9697-C2D478B54961}"/>
    <cellStyle name="合計 3 7 2 3" xfId="6701" xr:uid="{B41C9939-4BE5-4C12-916B-21A511F216FF}"/>
    <cellStyle name="合計 3 7 2 4" xfId="8054" xr:uid="{015036DD-278F-40C5-8897-D23AD721B805}"/>
    <cellStyle name="合計 3 7 2 5" xfId="9748" xr:uid="{668C9A9B-0136-416A-A85B-DEF789129F07}"/>
    <cellStyle name="合計 3 7 2 6" xfId="11329" xr:uid="{1577A5AD-8D6E-47FA-9A3D-849214E44E69}"/>
    <cellStyle name="合計 3 7 2 7" xfId="12733" xr:uid="{922D8A32-697C-49B8-8B24-72AF1A088735}"/>
    <cellStyle name="合計 3 7 2 8" xfId="14391" xr:uid="{AA41C946-017C-4164-98F2-24612234D9B6}"/>
    <cellStyle name="合計 3 7 2 9" xfId="16073" xr:uid="{C2CD2CF8-C537-4658-BF25-8D1B1E593A27}"/>
    <cellStyle name="合計 3 7 3" xfId="3691" xr:uid="{169ECF4B-4561-46E2-A4A6-2B0972DCACB7}"/>
    <cellStyle name="合計 3 7 3 2" xfId="4642" xr:uid="{4EAA4D1E-3737-4882-A199-4F8CD7465755}"/>
    <cellStyle name="合計 3 7 3 2 2" xfId="7137" xr:uid="{0B17D984-2DF8-4D13-B656-763945D68824}"/>
    <cellStyle name="合計 3 7 3 2 3" xfId="8555" xr:uid="{87B4ADA3-3902-41E1-AD72-437C149B3E64}"/>
    <cellStyle name="合計 3 7 3 2 4" xfId="10259" xr:uid="{530B9BEB-C77D-4AF8-9929-EE0872C07666}"/>
    <cellStyle name="合計 3 7 3 2 5" xfId="11755" xr:uid="{80368C72-102A-4D7C-832B-B88AB0753A93}"/>
    <cellStyle name="合計 3 7 3 2 6" xfId="13232" xr:uid="{35C355F3-4BCD-49A5-84F8-8B358213F667}"/>
    <cellStyle name="合計 3 7 3 2 7" xfId="14902" xr:uid="{04FA6CAA-F781-4266-926B-AF30321943EC}"/>
    <cellStyle name="合計 3 7 3 2 8" xfId="16572" xr:uid="{77E192BB-D1DD-4637-8B12-1D327E40562D}"/>
    <cellStyle name="合計 3 7 3 3" xfId="6374" xr:uid="{8E37910D-A0C2-4F76-98CA-DB93AB770A50}"/>
    <cellStyle name="合計 3 7 3 4" xfId="7622" xr:uid="{61E1FEB2-29C3-478C-B96E-0878CC1B2343}"/>
    <cellStyle name="合計 3 7 3 5" xfId="9310" xr:uid="{7C7066DC-41B1-49F8-B716-5F3A63C65B81}"/>
    <cellStyle name="合計 3 7 3 6" xfId="11001" xr:uid="{F5ECEF41-BA71-4B20-9A74-083D26C6D09B}"/>
    <cellStyle name="合計 3 7 3 7" xfId="12301" xr:uid="{9B5691C3-8201-4CDC-B9FE-D81394A51AEE}"/>
    <cellStyle name="合計 3 7 3 8" xfId="13953" xr:uid="{CB0D4A19-D11E-41F7-BC46-7612BCC89FBD}"/>
    <cellStyle name="合計 3 7 3 9" xfId="15641" xr:uid="{8EBE93AC-C8CF-4B6B-8ECE-2500E87B318B}"/>
    <cellStyle name="合計 3 7 4" xfId="4391" xr:uid="{79013DAD-D0EF-4BB1-B33C-E85E7DECD374}"/>
    <cellStyle name="合計 3 7 4 2" xfId="6899" xr:uid="{0DDF74BB-BBE0-428A-A94B-9979FDBD86AD}"/>
    <cellStyle name="合計 3 7 4 3" xfId="8310" xr:uid="{AB134A74-57C5-4E6A-A516-51C46C8B4A75}"/>
    <cellStyle name="合計 3 7 4 4" xfId="10008" xr:uid="{4B4544C4-29B1-48D9-B44F-E3BE9C8C44CD}"/>
    <cellStyle name="合計 3 7 4 5" xfId="11519" xr:uid="{2D3BA7AE-0275-43DF-9DAC-B3C45579C538}"/>
    <cellStyle name="合計 3 7 4 6" xfId="12987" xr:uid="{4DE4CA52-087F-4ECD-A83D-491F14D65F51}"/>
    <cellStyle name="合計 3 7 4 7" xfId="14651" xr:uid="{C951205B-5FEB-46B2-B698-C0AAC2FFF07B}"/>
    <cellStyle name="合計 3 7 4 8" xfId="16327" xr:uid="{DF8EEC5D-DBB3-4FAD-8361-7D38188EC2FA}"/>
    <cellStyle name="合計 3 7 5" xfId="6066" xr:uid="{E1943D31-FBD9-42B1-BBFC-F1E9A8B9D9FD}"/>
    <cellStyle name="合計 3 7 6" xfId="5615" xr:uid="{1A566EBE-B6C1-4392-AB43-CC5E0F9E0BBD}"/>
    <cellStyle name="合計 3 7 7" xfId="10709" xr:uid="{04FF6D08-DF27-45C9-9172-45F075266CB9}"/>
    <cellStyle name="合計 3 7 8" xfId="5369" xr:uid="{544B7411-BF60-4CDB-88B4-1E36E9F0CD56}"/>
    <cellStyle name="合計 3 7 9" xfId="5934" xr:uid="{67258670-1E3F-4280-B454-BFBAB3CA7377}"/>
    <cellStyle name="合計 3 8" xfId="3369" xr:uid="{EFD6F593-3E73-44D0-BA49-3BF25799EE24}"/>
    <cellStyle name="合計 3 8 10" xfId="15326" xr:uid="{C4D032BF-97D9-4EC7-A59F-796C64B52DBA}"/>
    <cellStyle name="合計 3 8 2" xfId="4249" xr:uid="{A36AC0DF-290B-4947-AD25-59A6862EE766}"/>
    <cellStyle name="合計 3 8 2 2" xfId="5002" xr:uid="{43A46A29-C25C-470B-86B4-97833A745064}"/>
    <cellStyle name="合計 3 8 2 2 2" xfId="7497" xr:uid="{D95DFCFE-474A-420B-88E2-34AFB4732EDE}"/>
    <cellStyle name="合計 3 8 2 2 3" xfId="8907" xr:uid="{A15424E0-FE06-42F2-BB91-C1C0E75827B6}"/>
    <cellStyle name="合計 3 8 2 2 4" xfId="10619" xr:uid="{E0D2B5B0-3499-4259-8C91-E5D003473BBD}"/>
    <cellStyle name="合計 3 8 2 2 5" xfId="12115" xr:uid="{EE9A054C-DA3B-4951-B03A-E70A4143C95E}"/>
    <cellStyle name="合計 3 8 2 2 6" xfId="13584" xr:uid="{484A0250-054A-46A3-B6F1-4D8DB51FD005}"/>
    <cellStyle name="合計 3 8 2 2 7" xfId="15262" xr:uid="{AB8FDACB-D54D-4096-AC25-DABDF5EF60E8}"/>
    <cellStyle name="合計 3 8 2 2 8" xfId="16924" xr:uid="{BC2C7187-6E7B-4D81-A95E-446A096F34C1}"/>
    <cellStyle name="合計 3 8 2 3" xfId="6789" xr:uid="{C8832FA6-8A5B-44D3-B240-21E59C9D4BC7}"/>
    <cellStyle name="合計 3 8 2 4" xfId="8172" xr:uid="{84C7E9B8-7609-4A32-BEC8-F4DEC4D4E85B}"/>
    <cellStyle name="合計 3 8 2 5" xfId="9868" xr:uid="{0FDE4F77-F077-4E7F-BBBC-0D6BE0F314D4}"/>
    <cellStyle name="合計 3 8 2 6" xfId="11408" xr:uid="{EFE05BB0-8010-4A59-A4B2-52645443A898}"/>
    <cellStyle name="合計 3 8 2 7" xfId="12851" xr:uid="{6BEC795C-713B-4663-8082-DA1D2D2D09E0}"/>
    <cellStyle name="合計 3 8 2 8" xfId="14511" xr:uid="{B013AFA7-0575-47EC-9D27-A7172D36FEFE}"/>
    <cellStyle name="合計 3 8 2 9" xfId="16191" xr:uid="{5B8CBE1F-7708-48A8-B788-64755E31223D}"/>
    <cellStyle name="合計 3 8 3" xfId="3809" xr:uid="{C2F6F10B-CEE9-41B4-A10A-787A2B0F93F2}"/>
    <cellStyle name="合計 3 8 3 2" xfId="4714" xr:uid="{38CEC668-C359-4B06-9250-E8910D1C5108}"/>
    <cellStyle name="合計 3 8 3 2 2" xfId="7209" xr:uid="{0B1297AD-570C-4814-BC67-E3A57A022EF8}"/>
    <cellStyle name="合計 3 8 3 2 3" xfId="8627" xr:uid="{F16A8AA9-F5BB-49A9-AB38-E5484A52A318}"/>
    <cellStyle name="合計 3 8 3 2 4" xfId="10331" xr:uid="{7779AECA-83C6-4A16-A18D-28D391EA7254}"/>
    <cellStyle name="合計 3 8 3 2 5" xfId="11827" xr:uid="{23577235-422E-4E80-BCDC-AB9F64B83DE3}"/>
    <cellStyle name="合計 3 8 3 2 6" xfId="13304" xr:uid="{10A9B58E-5F76-4879-8B9F-08DD81906B4F}"/>
    <cellStyle name="合計 3 8 3 2 7" xfId="14974" xr:uid="{C3598595-EB9D-4732-8700-AAAB0FEA008B}"/>
    <cellStyle name="合計 3 8 3 2 8" xfId="16644" xr:uid="{7FC0882D-7F95-4106-AAFD-F5A77633242F}"/>
    <cellStyle name="合計 3 8 3 3" xfId="6460" xr:uid="{4718B450-4B6E-4934-9F3B-95ACEA52CECA}"/>
    <cellStyle name="合計 3 8 3 4" xfId="7740" xr:uid="{F5FB5970-42AF-4899-B555-3DA13030C684}"/>
    <cellStyle name="合計 3 8 3 5" xfId="9428" xr:uid="{90165D59-D1D3-4086-9639-D2DB552914B8}"/>
    <cellStyle name="合計 3 8 3 6" xfId="11088" xr:uid="{5F2E6B62-97DC-4D81-816C-1FCB61773A77}"/>
    <cellStyle name="合計 3 8 3 7" xfId="12419" xr:uid="{5A26CA1D-131B-4049-A0A9-7C0291FAB6F3}"/>
    <cellStyle name="合計 3 8 3 8" xfId="14071" xr:uid="{472393D2-819D-4942-871D-845D310A3720}"/>
    <cellStyle name="合計 3 8 3 9" xfId="15759" xr:uid="{36404887-5A2F-4FE8-BA71-C3C81F367CA6}"/>
    <cellStyle name="合計 3 8 4" xfId="4425" xr:uid="{B771C0EE-CAA4-48B8-83D0-89B475F5F8CE}"/>
    <cellStyle name="合計 3 8 4 2" xfId="6924" xr:uid="{6634EFD8-126C-498E-AB36-64ED36046BA3}"/>
    <cellStyle name="合計 3 8 4 3" xfId="8342" xr:uid="{C5D33D1D-C9A5-4A88-8D8D-EBC7208C51CD}"/>
    <cellStyle name="合計 3 8 4 4" xfId="10042" xr:uid="{EB1415AB-1ECF-49B0-A57F-76D3C7786D6C}"/>
    <cellStyle name="合計 3 8 4 5" xfId="11540" xr:uid="{C3B08CEC-4296-4B78-BA38-B924E6DCA061}"/>
    <cellStyle name="合計 3 8 4 6" xfId="13019" xr:uid="{44275B7B-EA8B-4A69-AA46-5A6A70B963E7}"/>
    <cellStyle name="合計 3 8 4 7" xfId="14685" xr:uid="{1FD84C40-C467-4D05-AE78-4AEEDB3C6786}"/>
    <cellStyle name="合計 3 8 4 8" xfId="16359" xr:uid="{4962D1B1-1929-4A8D-9609-3B72A0A6BE07}"/>
    <cellStyle name="合計 3 8 5" xfId="6127" xr:uid="{9ED7F933-C7B0-4C2D-83CA-34625AA6DD0A}"/>
    <cellStyle name="合計 3 8 6" xfId="5728" xr:uid="{2F7301ED-94C0-4C36-A04E-73ADD389B193}"/>
    <cellStyle name="合計 3 8 7" xfId="10759" xr:uid="{9CFF724B-A077-47AF-B472-7F328F86203E}"/>
    <cellStyle name="合計 3 8 8" xfId="5301" xr:uid="{575C6C0B-C8E5-44F7-982F-FBC26C7C74D1}"/>
    <cellStyle name="合計 3 8 9" xfId="13635" xr:uid="{4166312B-29DA-48A7-AC43-33BEB2B52562}"/>
    <cellStyle name="合計 3 9" xfId="3866" xr:uid="{D1024E10-B24A-4644-9E76-5F8AE0EF1AE3}"/>
    <cellStyle name="合計 3 9 2" xfId="4758" xr:uid="{38DC239A-465D-483B-B8F0-ABC3A2E0082D}"/>
    <cellStyle name="合計 3 9 2 2" xfId="7253" xr:uid="{0268C957-6A30-4356-AFB4-8E09FD3F5E82}"/>
    <cellStyle name="合計 3 9 2 3" xfId="8669" xr:uid="{3F786DAD-5A37-4155-A7F4-A1DA348960FE}"/>
    <cellStyle name="合計 3 9 2 4" xfId="10375" xr:uid="{930746CD-6221-4B4F-BD24-0A23EE151F76}"/>
    <cellStyle name="合計 3 9 2 5" xfId="11871" xr:uid="{97F56B25-3013-4FB2-BA4F-EC88642509E1}"/>
    <cellStyle name="合計 3 9 2 6" xfId="13346" xr:uid="{B98DC32B-5E1A-43FF-B580-00E6C52AA29E}"/>
    <cellStyle name="合計 3 9 2 7" xfId="15018" xr:uid="{BB6618BB-3227-4280-9D82-1632E5DFB01F}"/>
    <cellStyle name="合計 3 9 2 8" xfId="16686" xr:uid="{92D313A9-0628-4D4E-9A29-7D01C0D946EF}"/>
    <cellStyle name="合計 3 9 3" xfId="6507" xr:uid="{6817B90B-E825-401E-A978-60B9D9ED8748}"/>
    <cellStyle name="合計 3 9 4" xfId="7795" xr:uid="{A446DFC9-3BCC-4CEB-9ACB-C39936CABAC2}"/>
    <cellStyle name="合計 3 9 5" xfId="9485" xr:uid="{EBEDF627-3379-4FB0-8976-8A0EA8BA3FFD}"/>
    <cellStyle name="合計 3 9 6" xfId="11138" xr:uid="{440A1383-5D14-42BD-83C9-FFB9CF6146F0}"/>
    <cellStyle name="合計 3 9 7" xfId="12474" xr:uid="{C614479E-1C62-4292-BC74-A8BA0B8B9819}"/>
    <cellStyle name="合計 3 9 8" xfId="14128" xr:uid="{43BD2F27-4EBF-45F4-ACA5-24EA3246E01D}"/>
    <cellStyle name="合計 3 9 9" xfId="15814" xr:uid="{2B85B596-CAA8-4A2D-B86F-1D718D7891E2}"/>
    <cellStyle name="合計 4" xfId="3037" xr:uid="{48451B29-2D65-4002-88A5-4EAF33266752}"/>
    <cellStyle name="合計 4 2" xfId="3917" xr:uid="{3E43443B-76D6-4BF8-BBCB-44C17994806F}"/>
    <cellStyle name="合計 4 2 2" xfId="4791" xr:uid="{F02A7D4E-3C93-4060-B0F9-0F3268D13369}"/>
    <cellStyle name="合計 4 2 2 2" xfId="7286" xr:uid="{ABC0E81F-4FE2-4FE7-B2F6-5EA4C76102DD}"/>
    <cellStyle name="合計 4 2 2 3" xfId="8701" xr:uid="{26B4D465-17A4-4F39-94C1-EAB5E54B54A1}"/>
    <cellStyle name="合計 4 2 2 4" xfId="10408" xr:uid="{B3E5C5CE-BA59-45AF-B415-2D14E98B8776}"/>
    <cellStyle name="合計 4 2 2 5" xfId="11904" xr:uid="{9D5CDA87-92A1-4090-A875-637021B37E80}"/>
    <cellStyle name="合計 4 2 2 6" xfId="13378" xr:uid="{376A755F-F0AC-40AC-9952-927BC7837DFC}"/>
    <cellStyle name="合計 4 2 2 7" xfId="15051" xr:uid="{D5DF234F-83B8-4523-B8ED-5D50B7A6DA10}"/>
    <cellStyle name="合計 4 2 2 8" xfId="16718" xr:uid="{C0631D37-5D59-4CE3-9FAE-CA1551A2AB48}"/>
    <cellStyle name="合計 4 2 3" xfId="6545" xr:uid="{9EE6A376-EF1E-48E9-A2E4-5C3F7FAD8CB8}"/>
    <cellStyle name="合計 4 2 4" xfId="7845" xr:uid="{EA2D4629-E494-48AE-9183-18CE13D6F8D6}"/>
    <cellStyle name="合計 4 2 5" xfId="9536" xr:uid="{F9B5B2C9-A62A-4420-908D-1DE788B30613}"/>
    <cellStyle name="合計 4 2 6" xfId="11176" xr:uid="{96E734CF-C9FD-461A-9751-C77D60E4538F}"/>
    <cellStyle name="合計 4 2 7" xfId="12524" xr:uid="{AAA5B798-4C82-4145-9BBB-E5C6CF826B0E}"/>
    <cellStyle name="合計 4 2 8" xfId="14179" xr:uid="{72F4A3EE-2ABC-47B1-80EF-4AECD336A19E}"/>
    <cellStyle name="合計 4 2 9" xfId="15864" xr:uid="{97A92C4D-A432-499B-AE00-D47441167967}"/>
    <cellStyle name="合計 4 3" xfId="3479" xr:uid="{09F4AC5C-1AA9-4E76-93ED-9C651943D23D}"/>
    <cellStyle name="合計 4 3 2" xfId="4505" xr:uid="{02553418-A4C4-4768-8366-FF6ACF803D47}"/>
    <cellStyle name="合計 4 3 2 2" xfId="7000" xr:uid="{81C4C9EA-CAD9-47BC-A5A8-C7070DAE071A}"/>
    <cellStyle name="合計 4 3 2 3" xfId="8421" xr:uid="{F630B7BC-9020-45AF-9ACF-DB58B0345046}"/>
    <cellStyle name="合計 4 3 2 4" xfId="10122" xr:uid="{E84435D7-7556-4B95-A265-7BFAEDAAC7F3}"/>
    <cellStyle name="合計 4 3 2 5" xfId="11618" xr:uid="{0C7459A0-31EC-4F66-A3EC-23BBD32CEF8D}"/>
    <cellStyle name="合計 4 3 2 6" xfId="13098" xr:uid="{774D052C-BE42-4BE8-995D-47C1EA25D468}"/>
    <cellStyle name="合計 4 3 2 7" xfId="14765" xr:uid="{02DDD79C-B8A2-4790-A056-B8D97E824AE7}"/>
    <cellStyle name="合計 4 3 2 8" xfId="16438" xr:uid="{4FAE5E1B-4450-4EAC-927C-51C29B154A43}"/>
    <cellStyle name="合計 4 3 3" xfId="6213" xr:uid="{6A6F4E34-2086-481F-9A1F-2B531E98A6BB}"/>
    <cellStyle name="合計 4 3 4" xfId="5066" xr:uid="{C329E459-D986-4FDB-B7AB-F760FB882927}"/>
    <cellStyle name="合計 4 3 5" xfId="9098" xr:uid="{5B363614-42BF-47E9-9B36-A3A9BC141B9C}"/>
    <cellStyle name="合計 4 3 6" xfId="10847" xr:uid="{92A96F2A-4E76-40F3-A061-06FC125014E5}"/>
    <cellStyle name="合計 4 3 7" xfId="5342" xr:uid="{6DECD86D-ADC7-4A60-AD2E-E03D3BEAEF32}"/>
    <cellStyle name="合計 4 3 8" xfId="13741" xr:uid="{23D273B6-D63B-4197-B1F5-DAB52E4BDF10}"/>
    <cellStyle name="合計 4 3 9" xfId="15432" xr:uid="{6872202C-5C8B-4D15-AB60-0376EFA7B957}"/>
    <cellStyle name="合計 4 4" xfId="5787" xr:uid="{722F7903-FAAF-4C21-A93C-9DADD7592181}"/>
    <cellStyle name="合計 5" xfId="3048" xr:uid="{F3A51272-3A6A-4EE0-BB87-CCE13E9418FF}"/>
    <cellStyle name="合計 5 10" xfId="5297" xr:uid="{307FB777-6996-44CE-B2D2-ABA611969322}"/>
    <cellStyle name="合計 5 2" xfId="3928" xr:uid="{9B09568C-BBE7-428A-A7D4-23126D2CFB1B}"/>
    <cellStyle name="合計 5 2 2" xfId="4797" xr:uid="{161729BA-B8C7-400B-98DD-F31EE150851E}"/>
    <cellStyle name="合計 5 2 2 2" xfId="7292" xr:uid="{57FB7489-D4A7-40C2-A345-3BB74D7CC00E}"/>
    <cellStyle name="合計 5 2 2 3" xfId="8707" xr:uid="{FE2465DC-4A33-4E6B-AC4C-6054F7052A5D}"/>
    <cellStyle name="合計 5 2 2 4" xfId="10414" xr:uid="{F7D36EF1-962A-449A-AD8D-45E90642C1FA}"/>
    <cellStyle name="合計 5 2 2 5" xfId="11910" xr:uid="{608436CE-A5B1-4D8C-9DBB-11D80E8AA33E}"/>
    <cellStyle name="合計 5 2 2 6" xfId="13384" xr:uid="{B10E30C1-8886-4F32-824D-B9973B51D52D}"/>
    <cellStyle name="合計 5 2 2 7" xfId="15057" xr:uid="{B362D89D-40B7-405B-8755-E67BE554F762}"/>
    <cellStyle name="合計 5 2 2 8" xfId="16724" xr:uid="{054E017D-1F72-4E62-B97D-C64286590B65}"/>
    <cellStyle name="合計 5 2 3" xfId="6552" xr:uid="{EF077146-3580-4E27-B0CA-8FB7031C9D00}"/>
    <cellStyle name="合計 5 2 4" xfId="7856" xr:uid="{FD8AF7C3-321C-4DE4-8961-5DD17BD90B61}"/>
    <cellStyle name="合計 5 2 5" xfId="9547" xr:uid="{F3591B45-3636-4DBF-805C-4BEBD81C9A75}"/>
    <cellStyle name="合計 5 2 6" xfId="11183" xr:uid="{C8B65A75-6F06-4081-BDE9-6103D2DF066A}"/>
    <cellStyle name="合計 5 2 7" xfId="12535" xr:uid="{261770CD-965D-450E-80A3-D3E241ADC67E}"/>
    <cellStyle name="合計 5 2 8" xfId="14190" xr:uid="{A19B9819-9399-4439-983E-470008EC3443}"/>
    <cellStyle name="合計 5 2 9" xfId="15875" xr:uid="{85F7A982-188D-4B68-B3E4-401480EC1544}"/>
    <cellStyle name="合計 5 3" xfId="3490" xr:uid="{877880BF-7514-482F-B1DD-7C76A3A79D3B}"/>
    <cellStyle name="合計 5 3 2" xfId="4511" xr:uid="{7F2E65C3-3310-4F3A-8D19-1D641ED0EC41}"/>
    <cellStyle name="合計 5 3 2 2" xfId="7006" xr:uid="{D7836F94-AEBC-4E7B-AC93-6DC32CBCCA34}"/>
    <cellStyle name="合計 5 3 2 3" xfId="8427" xr:uid="{C5F69E9B-DF35-4752-A304-9828C0B4E28C}"/>
    <cellStyle name="合計 5 3 2 4" xfId="10128" xr:uid="{C27082AB-88C4-4312-B34E-F4D88EC4596D}"/>
    <cellStyle name="合計 5 3 2 5" xfId="11624" xr:uid="{171C6F3F-4E36-4372-922B-3D26BDA275E8}"/>
    <cellStyle name="合計 5 3 2 6" xfId="13104" xr:uid="{FC16B972-761C-4783-9FE6-48F3AEFA3499}"/>
    <cellStyle name="合計 5 3 2 7" xfId="14771" xr:uid="{060AB2F0-E32F-408E-A414-E01B75CEA168}"/>
    <cellStyle name="合計 5 3 2 8" xfId="16444" xr:uid="{187E6DE5-1317-4E4C-9DAE-EB4BBDE9D41D}"/>
    <cellStyle name="合計 5 3 3" xfId="6221" xr:uid="{05E936E5-9212-43DE-B9E0-3EA5ACBF3BCD}"/>
    <cellStyle name="合計 5 3 4" xfId="5539" xr:uid="{EE69A372-BEC1-4035-AA05-17B1854EE045}"/>
    <cellStyle name="合計 5 3 5" xfId="9109" xr:uid="{FAD24DE1-DE27-4B50-9F12-FF594707C96C}"/>
    <cellStyle name="合計 5 3 6" xfId="10855" xr:uid="{B2B07414-1E51-464B-9A1E-71BA52592A51}"/>
    <cellStyle name="合計 5 3 7" xfId="5637" xr:uid="{5FADF809-A4B7-46E7-B688-36FA5DAE1F0B}"/>
    <cellStyle name="合計 5 3 8" xfId="13752" xr:uid="{D9073515-3E4D-42AA-A26E-3069813EFE13}"/>
    <cellStyle name="合計 5 3 9" xfId="15443" xr:uid="{BFDCB122-3E48-45F9-9109-346F392E29B6}"/>
    <cellStyle name="合計 5 4" xfId="4295" xr:uid="{EE595B03-E560-4605-80E1-AD92D83C1636}"/>
    <cellStyle name="合計 5 4 2" xfId="6822" xr:uid="{35723DC2-24DB-43F1-918B-7DD2DA765319}"/>
    <cellStyle name="合計 5 4 3" xfId="8217" xr:uid="{2A07FA5B-E0FF-4207-94C7-D506D4E33A19}"/>
    <cellStyle name="合計 5 4 4" xfId="9912" xr:uid="{3F33D5E6-0182-469C-B5E4-7A884FFCC307}"/>
    <cellStyle name="合計 5 4 5" xfId="11443" xr:uid="{C6331427-1BF8-44D7-B613-B11A52892C20}"/>
    <cellStyle name="合計 5 4 6" xfId="12894" xr:uid="{F10E73B2-B726-4D34-AF47-CEB6EDBBE9E5}"/>
    <cellStyle name="合計 5 4 7" xfId="14555" xr:uid="{596A9ED9-CEA9-4F79-913C-1CB0E0F919ED}"/>
    <cellStyle name="合計 5 4 8" xfId="16234" xr:uid="{0E6F330A-EADA-40B2-89F8-95297C347068}"/>
    <cellStyle name="合計 5 5" xfId="5931" xr:uid="{DA54FF78-5054-4F88-81FB-CEA38C0ADFBC}"/>
    <cellStyle name="合計 5 6" xfId="5760" xr:uid="{E1DE6401-2865-450F-860F-A0FF35F9D85A}"/>
    <cellStyle name="合計 5 7" xfId="5380" xr:uid="{73754AF8-E71C-4298-ACD4-07DF4DB5E8F0}"/>
    <cellStyle name="合計 5 8" xfId="5277" xr:uid="{FBEF5C11-8CC3-4BE0-AAC9-FCB1C2302C42}"/>
    <cellStyle name="合計 5 9" xfId="5688" xr:uid="{96667F89-2885-4C98-8FA2-6FDE4AFC4667}"/>
    <cellStyle name="合計 6" xfId="3082" xr:uid="{25025694-8A26-4F7F-A839-BB0A7A1CF2B2}"/>
    <cellStyle name="合計 6 10" xfId="5800" xr:uid="{DE284D55-A994-4DED-B390-A9709F790C0D}"/>
    <cellStyle name="合計 6 2" xfId="3962" xr:uid="{D2C62E7E-1191-4AE8-B5B7-A2DBC2BC68A9}"/>
    <cellStyle name="合計 6 2 2" xfId="4821" xr:uid="{714676A8-CC71-4BE5-BFCA-EF0BDA6A6814}"/>
    <cellStyle name="合計 6 2 2 2" xfId="7316" xr:uid="{89DCB31E-BA01-4F38-A7B5-4C48F0EAED51}"/>
    <cellStyle name="合計 6 2 2 3" xfId="8730" xr:uid="{EF38BA9D-E9CC-4D80-88E4-9EAFFA5CBB7A}"/>
    <cellStyle name="合計 6 2 2 4" xfId="10438" xr:uid="{CC9215D1-8A29-4286-A770-88B92510030F}"/>
    <cellStyle name="合計 6 2 2 5" xfId="11934" xr:uid="{5A8A3ACE-8023-4139-B6EF-FBEE86C77DB0}"/>
    <cellStyle name="合計 6 2 2 6" xfId="13407" xr:uid="{C432E21A-7C4E-42A9-9242-20B71A4A355F}"/>
    <cellStyle name="合計 6 2 2 7" xfId="15081" xr:uid="{748F60CA-C6CB-4A3E-A330-CE1841B65C19}"/>
    <cellStyle name="合計 6 2 2 8" xfId="16747" xr:uid="{863C1D81-DD55-45D2-B74E-9B4BED5F4A57}"/>
    <cellStyle name="合計 6 2 3" xfId="6578" xr:uid="{D8C58C41-8036-4700-AF1C-F7AEAB1FFA76}"/>
    <cellStyle name="合計 6 2 4" xfId="7889" xr:uid="{AE4A8242-1C3A-43BB-82F3-0431949EB3A6}"/>
    <cellStyle name="合計 6 2 5" xfId="9581" xr:uid="{082D7F5C-7FDD-48D8-ACFA-C7BDDA40B08C}"/>
    <cellStyle name="合計 6 2 6" xfId="11208" xr:uid="{14367BEA-58C7-459A-AFCD-D5EB55907251}"/>
    <cellStyle name="合計 6 2 7" xfId="12568" xr:uid="{0DCABA3D-B599-4A17-AD15-9671F53A2F88}"/>
    <cellStyle name="合計 6 2 8" xfId="14224" xr:uid="{F458E50D-FDAB-426D-B4E4-A8DFF06A907C}"/>
    <cellStyle name="合計 6 2 9" xfId="15908" xr:uid="{712F671E-D55D-43F3-8B6A-C290CD00EC6D}"/>
    <cellStyle name="合計 6 3" xfId="3524" xr:uid="{0BBB8C76-D7F0-46B1-A96E-3BA582308AF6}"/>
    <cellStyle name="合計 6 3 2" xfId="4535" xr:uid="{E35D02C4-81BE-41D5-85E5-81E3A2DD92CB}"/>
    <cellStyle name="合計 6 3 2 2" xfId="7030" xr:uid="{548BA75E-4080-4D71-8396-E1FCDF5BE843}"/>
    <cellStyle name="合計 6 3 2 3" xfId="8450" xr:uid="{A022F203-14DF-4DE0-887D-716466AF233D}"/>
    <cellStyle name="合計 6 3 2 4" xfId="10152" xr:uid="{17DF349F-F3CF-441B-96A3-4687F3353DDE}"/>
    <cellStyle name="合計 6 3 2 5" xfId="11648" xr:uid="{FB00EBD1-F05D-4BE1-AA80-77AD65F0F128}"/>
    <cellStyle name="合計 6 3 2 6" xfId="13127" xr:uid="{0F3BEBEB-5B92-4E53-92B1-4A1A5EC0DF05}"/>
    <cellStyle name="合計 6 3 2 7" xfId="14795" xr:uid="{57D7A94E-535D-4222-B9EC-560004D06B41}"/>
    <cellStyle name="合計 6 3 2 8" xfId="16467" xr:uid="{7D7B4181-55ED-4F1D-8F17-421FC6C9647C}"/>
    <cellStyle name="合計 6 3 3" xfId="6248" xr:uid="{734C8D09-E8B5-4E7E-9AEA-C5A0ACF0E753}"/>
    <cellStyle name="合計 6 3 4" xfId="5142" xr:uid="{835851DA-115D-4B43-AFFF-0D894B9A249F}"/>
    <cellStyle name="合計 6 3 5" xfId="9143" xr:uid="{9B1FBE93-DBF9-4263-8512-3FD195ACE68A}"/>
    <cellStyle name="合計 6 3 6" xfId="10879" xr:uid="{0223CEDE-C391-48A6-BBFA-447154A1148E}"/>
    <cellStyle name="合計 6 3 7" xfId="12136" xr:uid="{C7630865-824F-4262-AC87-B4767AB102B5}"/>
    <cellStyle name="合計 6 3 8" xfId="13786" xr:uid="{2D9533A2-CFCF-4FD2-92F1-8C93018E31D7}"/>
    <cellStyle name="合計 6 3 9" xfId="15476" xr:uid="{61169002-B155-421F-A3AE-5B6167041AAB}"/>
    <cellStyle name="合計 6 4" xfId="4316" xr:uid="{5D3B4FB6-A926-46D9-9D9D-29407B21DAEC}"/>
    <cellStyle name="合計 6 4 2" xfId="6841" xr:uid="{EEAFF522-12BC-48C7-945E-119E0EB3182B}"/>
    <cellStyle name="合計 6 4 3" xfId="8237" xr:uid="{DDB80C2C-70DB-4A37-8935-476355D2FB01}"/>
    <cellStyle name="合計 6 4 4" xfId="9933" xr:uid="{D93075A5-AA03-4D83-84B4-42D544E1CBA3}"/>
    <cellStyle name="合計 6 4 5" xfId="11460" xr:uid="{14D8A6B1-5FF4-45B7-B9D1-FA3694747A7F}"/>
    <cellStyle name="合計 6 4 6" xfId="12914" xr:uid="{ADDD0D05-F67B-45DF-92E1-1B75D6787C27}"/>
    <cellStyle name="合計 6 4 7" xfId="14576" xr:uid="{C8124BF6-2394-4154-ACBA-66B9238E12F0}"/>
    <cellStyle name="合計 6 4 8" xfId="16254" xr:uid="{A61A0532-477D-4C65-9729-E599EDDDBECE}"/>
    <cellStyle name="合計 6 5" xfId="5956" xr:uid="{1A70AAE7-453D-4D80-B1E4-2DF4317738CF}"/>
    <cellStyle name="合計 6 6" xfId="5737" xr:uid="{9E3F0A1E-7FC6-474C-BE83-E506A3A0C9DA}"/>
    <cellStyle name="合計 6 7" xfId="6011" xr:uid="{EBFB58D8-4EB8-4E49-926B-C6B268E9DDAC}"/>
    <cellStyle name="合計 6 8" xfId="5467" xr:uid="{94800FDA-085D-418A-986A-F69CFB125B78}"/>
    <cellStyle name="合計 6 9" xfId="5623" xr:uid="{0C5EFAE3-3CB7-416F-81D2-7224D0332835}"/>
    <cellStyle name="合計 7" xfId="3848" xr:uid="{0D1DF7ED-AB31-460A-B428-592B6ACA40CA}"/>
    <cellStyle name="合計 7 2" xfId="4744" xr:uid="{96536E10-B0AF-41A4-BC82-9654A264DABE}"/>
    <cellStyle name="合計 7 2 2" xfId="7239" xr:uid="{1DB8CCF8-C8A5-4146-8263-835A78A8E115}"/>
    <cellStyle name="合計 7 2 3" xfId="8655" xr:uid="{FC193651-BA43-4FDC-BF18-1941C87D5DFB}"/>
    <cellStyle name="合計 7 2 4" xfId="10361" xr:uid="{E52A5C1F-5CF0-41F3-9201-029BFFE7B32C}"/>
    <cellStyle name="合計 7 2 5" xfId="11857" xr:uid="{BC165F43-9FEA-4F76-A220-F2C4FF3A149D}"/>
    <cellStyle name="合計 7 2 6" xfId="13332" xr:uid="{705373EF-C6F4-4E18-AA22-BBDB089FB152}"/>
    <cellStyle name="合計 7 2 7" xfId="15004" xr:uid="{0EB21279-D1C1-4941-B157-E254E39DA130}"/>
    <cellStyle name="合計 7 2 8" xfId="16672" xr:uid="{B8D3A3A0-CC58-45DE-965C-B98578B87817}"/>
    <cellStyle name="合計 7 3" xfId="6491" xr:uid="{8F01943F-3B7D-45A4-80D0-A27AE18A6F94}"/>
    <cellStyle name="合計 7 4" xfId="7777" xr:uid="{9A90B788-687E-4DDF-ADBD-EBA02CDFE97D}"/>
    <cellStyle name="合計 7 5" xfId="9467" xr:uid="{FBD4E401-33E8-4C4B-AF2D-F43C7D8CAA38}"/>
    <cellStyle name="合計 7 6" xfId="11121" xr:uid="{7F3B6AD5-93FD-4A3F-B41E-7010AE288D19}"/>
    <cellStyle name="合計 7 7" xfId="12456" xr:uid="{BEA1B10A-8E1E-45EF-911C-E51B64BA4A77}"/>
    <cellStyle name="合計 7 8" xfId="14110" xr:uid="{D88939D2-566A-4761-9B20-A778F2DB89ED}"/>
    <cellStyle name="合計 7 9" xfId="15796" xr:uid="{E7C9A3CF-A668-48DC-B801-3E30318DAF2B}"/>
    <cellStyle name="合計 8" xfId="3411" xr:uid="{12D04360-4185-48F7-BC45-2D27E91D377C}"/>
    <cellStyle name="合計 8 2" xfId="4459" xr:uid="{A1539445-4550-43B3-9321-9F5172C05EE1}"/>
    <cellStyle name="合計 8 2 2" xfId="6954" xr:uid="{D80EE263-8C06-43EB-AD6B-8B8E5E5532E3}"/>
    <cellStyle name="合計 8 2 3" xfId="8375" xr:uid="{6DC8AC7E-AAD3-43C8-82F2-114D51193BEF}"/>
    <cellStyle name="合計 8 2 4" xfId="10076" xr:uid="{AD6221E7-0161-4745-BEE6-85CF64CF896E}"/>
    <cellStyle name="合計 8 2 5" xfId="11572" xr:uid="{A75FD6DF-010A-4ACF-8631-FCCD48AB9258}"/>
    <cellStyle name="合計 8 2 6" xfId="13052" xr:uid="{0C41A04F-29B7-4275-8931-B4208EAB5D88}"/>
    <cellStyle name="合計 8 2 7" xfId="14719" xr:uid="{E2389893-09A1-4664-BDDB-5365FB640F05}"/>
    <cellStyle name="合計 8 2 8" xfId="16392" xr:uid="{1C099520-43BF-4303-A117-0527C49611EA}"/>
    <cellStyle name="合計 8 3" xfId="6162" xr:uid="{6071ECE4-A7B3-43E9-ADFD-2EAF7391EC72}"/>
    <cellStyle name="合計 8 4" xfId="5889" xr:uid="{8A6D7CF4-F057-4C98-BA89-A98B20E06457}"/>
    <cellStyle name="合計 8 5" xfId="9030" xr:uid="{44D6B8E4-A49B-4096-AB38-955767C67B18}"/>
    <cellStyle name="合計 8 6" xfId="10794" xr:uid="{9294F245-C9EC-4DB8-8ADE-93AF151478D7}"/>
    <cellStyle name="合計 8 7" xfId="5371" xr:uid="{B0D0BBBB-0D99-4E50-A20E-64F3BDA84F7D}"/>
    <cellStyle name="合計 8 8" xfId="13673" xr:uid="{8973D2EE-3802-4954-9783-D225FC33799A}"/>
    <cellStyle name="合計 8 9" xfId="15364" xr:uid="{3F2F7493-174B-4893-8297-D4AB326BC5A5}"/>
    <cellStyle name="合計 9" xfId="5360" xr:uid="{6C4EECF3-B437-4AE2-BD4B-D7D861822E59}"/>
    <cellStyle name="壞" xfId="17362" xr:uid="{39EF303B-4ECB-4A91-9BCC-0FCE1D7825E8}"/>
    <cellStyle name="好" xfId="1760" xr:uid="{B067FA9A-99D4-4848-B46B-2A48C682C1F9}"/>
    <cellStyle name="好 2" xfId="17363" xr:uid="{A8FF11D7-1BF2-44CA-B95E-C0BE1366E03E}"/>
    <cellStyle name="差" xfId="220" xr:uid="{5F64FDF6-4CBA-4657-B335-F1F6B39999AE}"/>
    <cellStyle name="常规_NB PL material tracking report" xfId="1761" xr:uid="{844E250B-A78B-42C4-89DD-8BA450935D1B}"/>
    <cellStyle name="强调文字颜色 1" xfId="221" xr:uid="{690B1841-D122-4AF4-A868-E00ECE46D1BC}"/>
    <cellStyle name="强调文字颜色 2" xfId="222" xr:uid="{B519289C-1248-4AF2-9911-AD013C554A0E}"/>
    <cellStyle name="强调文字颜色 3" xfId="223" xr:uid="{5610A2F6-B9FC-416C-A0F9-00021FAA4CB6}"/>
    <cellStyle name="强调文字颜色 4" xfId="224" xr:uid="{88E835AC-BD57-491E-A727-395ABD7893F1}"/>
    <cellStyle name="强调文字颜色 5" xfId="225" xr:uid="{AE13305B-11C0-4773-BB22-857585080475}"/>
    <cellStyle name="强调文字颜色 6" xfId="226" xr:uid="{100B0A92-96EC-4378-90E3-93C39FC13F3D}"/>
    <cellStyle name="标题" xfId="227" xr:uid="{5D52BC37-0C5F-46B6-9D66-D589607960A6}"/>
    <cellStyle name="标题 1" xfId="228" xr:uid="{8F437C1F-7B5C-4EF9-B886-40091A4A8695}"/>
    <cellStyle name="标题 2" xfId="229" xr:uid="{82A7BE49-17DA-4D5D-BC55-46D93D7524A9}"/>
    <cellStyle name="标题 3" xfId="230" xr:uid="{8E4C88A9-A682-4530-9D44-1DCB83C1F12C}"/>
    <cellStyle name="标题 4" xfId="231" xr:uid="{206B0361-8687-446D-BDD2-B6D6D6B1F468}"/>
    <cellStyle name="检查单元格" xfId="232" xr:uid="{6BFB1FE6-A9CE-42C8-B138-44783E6F96C1}"/>
    <cellStyle name="標題" xfId="17364" xr:uid="{D44357E3-6505-42A3-A123-878387362A39}"/>
    <cellStyle name="標題 1" xfId="1762" xr:uid="{E92AFEEA-7D49-4678-A707-A3DE6825A9E2}"/>
    <cellStyle name="標題 1 2" xfId="17365" xr:uid="{4D44B1D2-C485-4C46-A6D5-B44A0601A593}"/>
    <cellStyle name="標題 2" xfId="1763" xr:uid="{F91636D4-8AF6-4030-BD1C-AEDC552C9446}"/>
    <cellStyle name="標題 2 2" xfId="17366" xr:uid="{D5F8F2C1-70DE-4622-AAB3-49388BE79268}"/>
    <cellStyle name="標題 3" xfId="17367" xr:uid="{68F822AC-85B1-43B8-8D43-A623F4132C84}"/>
    <cellStyle name="標題 4" xfId="17368" xr:uid="{BCE3785C-4377-488F-AC93-3EB6430B880C}"/>
    <cellStyle name="樣式 1" xfId="1764" xr:uid="{75131F94-EE04-4C96-9757-E2BCDE5F69BB}"/>
    <cellStyle name="檢查儲存格" xfId="17369" xr:uid="{3FD77EB9-B272-4A43-AADA-73CF0238B95F}"/>
    <cellStyle name="汇总" xfId="233" xr:uid="{A69F57E2-D8DC-480D-86BF-E36D0CE166B9}"/>
    <cellStyle name="汇总 10" xfId="5351" xr:uid="{CC25D704-09E3-4DD9-B56A-942E679D7C7B}"/>
    <cellStyle name="汇总 11" xfId="17336" xr:uid="{1FE3327B-8B53-43E8-B9A5-0134332BF97F}"/>
    <cellStyle name="汇总 2" xfId="2985" xr:uid="{945222C9-93BB-4E0C-8E25-13EA6F02A016}"/>
    <cellStyle name="汇总 2 10" xfId="3430" xr:uid="{9E99E3BB-0F22-4EFE-BE1B-F70884AB5D00}"/>
    <cellStyle name="汇总 2 10 2" xfId="4474" xr:uid="{13C1E120-65BB-41B7-969F-1918F0F42D04}"/>
    <cellStyle name="汇总 2 10 2 2" xfId="6969" xr:uid="{884FF6CC-56C0-4A24-8A84-04BEB598A211}"/>
    <cellStyle name="汇总 2 10 2 3" xfId="8390" xr:uid="{4278671C-2D01-4A04-8894-BF08A4BD1935}"/>
    <cellStyle name="汇总 2 10 2 4" xfId="10091" xr:uid="{DEC843DE-F2A1-48E2-9FAA-FE08EC614A23}"/>
    <cellStyle name="汇总 2 10 2 5" xfId="11587" xr:uid="{AAB02580-328A-4F8A-84AC-5E6D8DB84BF9}"/>
    <cellStyle name="汇总 2 10 2 6" xfId="13067" xr:uid="{E48BF462-C964-4B93-B5D0-0E094306C914}"/>
    <cellStyle name="汇总 2 10 2 7" xfId="14734" xr:uid="{296E3EBF-06FA-4078-8404-1876074506CF}"/>
    <cellStyle name="汇总 2 10 2 8" xfId="16407" xr:uid="{0F883FEC-BA86-4856-9FB4-1363A8D672DC}"/>
    <cellStyle name="汇总 2 10 3" xfId="6177" xr:uid="{BEBC21C3-B4FB-4C9F-BE93-AC1AE31B6DAF}"/>
    <cellStyle name="汇总 2 10 4" xfId="5210" xr:uid="{891FD12F-27A8-41A1-B85A-416C541C651E}"/>
    <cellStyle name="汇总 2 10 5" xfId="9049" xr:uid="{1C7C5068-124E-4045-AE01-A0AD030DCB3D}"/>
    <cellStyle name="汇总 2 10 6" xfId="10811" xr:uid="{E3E326B2-6F8A-423D-9F5A-481532D87250}"/>
    <cellStyle name="汇总 2 10 7" xfId="5497" xr:uid="{BB03A838-4A18-4EA2-B4F9-FE93E318B288}"/>
    <cellStyle name="汇总 2 10 8" xfId="13692" xr:uid="{8A7E2465-A689-4775-92CC-EA60FDB860B7}"/>
    <cellStyle name="汇总 2 10 9" xfId="15383" xr:uid="{7BE1E00F-064C-4445-A322-340189FD5C63}"/>
    <cellStyle name="汇总 2 11" xfId="5835" xr:uid="{6FDFF44A-6E0C-4B41-876F-D4BA259D971E}"/>
    <cellStyle name="汇总 2 12" xfId="6442" xr:uid="{26E783E7-314D-4DF6-816C-2BB77400FD84}"/>
    <cellStyle name="汇总 2 2" xfId="3271" xr:uid="{14F72B2B-407F-4C5F-853D-A4DDAE902C7F}"/>
    <cellStyle name="汇总 2 2 2" xfId="4151" xr:uid="{92304C39-352C-4464-9A8D-FFD5EDE2CB4B}"/>
    <cellStyle name="汇总 2 2 2 2" xfId="4945" xr:uid="{95823213-FD1B-46AC-88D2-4C51189330C6}"/>
    <cellStyle name="汇总 2 2 2 2 2" xfId="7440" xr:uid="{6A6D655E-4B4B-4FDE-BD75-C97CEDDA8D57}"/>
    <cellStyle name="汇总 2 2 2 2 3" xfId="8852" xr:uid="{4BA98C22-AB14-4A34-A32D-ED21A26C5443}"/>
    <cellStyle name="汇总 2 2 2 2 4" xfId="10562" xr:uid="{58809842-6C73-4304-A966-D0BD444A85EF}"/>
    <cellStyle name="汇总 2 2 2 2 5" xfId="12058" xr:uid="{9D29EAC5-F8BB-422F-9BDC-7B6DDD9926F7}"/>
    <cellStyle name="汇总 2 2 2 2 6" xfId="13529" xr:uid="{1FD28B8E-E2A3-4306-B661-C8729E112513}"/>
    <cellStyle name="汇总 2 2 2 2 7" xfId="15205" xr:uid="{C11BE381-AF8B-40F8-8C93-9CE55A407BA1}"/>
    <cellStyle name="汇总 2 2 2 2 8" xfId="16869" xr:uid="{F609AB59-F821-43DF-9B93-2CB55B50A374}"/>
    <cellStyle name="汇总 2 2 2 3" xfId="6720" xr:uid="{BA4BC8A9-EE09-440C-8DA9-02483DC5509A}"/>
    <cellStyle name="汇总 2 2 2 4" xfId="8076" xr:uid="{E1DB94D4-731E-44B5-9CC1-0FAECF7E8454}"/>
    <cellStyle name="汇总 2 2 2 5" xfId="9770" xr:uid="{8AFC86B4-83B5-4EC0-B19D-958A9F77521D}"/>
    <cellStyle name="汇总 2 2 2 6" xfId="11347" xr:uid="{50294E6E-2856-4E98-96AB-8F416F5269BF}"/>
    <cellStyle name="汇总 2 2 2 7" xfId="12755" xr:uid="{F794071A-29DE-4BFE-A0FC-BBC56DEF8AA1}"/>
    <cellStyle name="汇总 2 2 2 8" xfId="14413" xr:uid="{3885106C-7962-40B1-BC96-45E4A8C50C15}"/>
    <cellStyle name="汇总 2 2 2 9" xfId="16095" xr:uid="{28482CF6-6B36-4E5E-BAF0-2910C89AADD3}"/>
    <cellStyle name="汇总 2 2 3" xfId="3713" xr:uid="{F7120504-072F-4021-9252-CA01B55F7A2F}"/>
    <cellStyle name="汇总 2 2 3 2" xfId="4659" xr:uid="{9C801DA3-06B9-4B21-BE62-58E9E23877BF}"/>
    <cellStyle name="汇总 2 2 3 2 2" xfId="7154" xr:uid="{10186FB2-3107-41C4-AA94-1E4F05A7896A}"/>
    <cellStyle name="汇总 2 2 3 2 3" xfId="8572" xr:uid="{62F7EBB9-1400-4E80-9387-44BA6C1D933B}"/>
    <cellStyle name="汇总 2 2 3 2 4" xfId="10276" xr:uid="{EFA832BE-45E4-46C5-BB78-4198BECF2E9F}"/>
    <cellStyle name="汇总 2 2 3 2 5" xfId="11772" xr:uid="{01317098-0733-47E6-BD6E-BDFBE45376FF}"/>
    <cellStyle name="汇总 2 2 3 2 6" xfId="13249" xr:uid="{C861D096-5C12-4DD6-B8AA-417B5E6F022E}"/>
    <cellStyle name="汇总 2 2 3 2 7" xfId="14919" xr:uid="{0D31A804-D506-4E06-BA43-BDED93868AD8}"/>
    <cellStyle name="汇总 2 2 3 2 8" xfId="16589" xr:uid="{99BF87F0-6621-4DBB-AA9D-D1A8AC9B9377}"/>
    <cellStyle name="汇总 2 2 3 3" xfId="6394" xr:uid="{726C5145-CCBD-4607-8776-31B94E6EAA89}"/>
    <cellStyle name="汇总 2 2 3 4" xfId="7644" xr:uid="{D16EE603-C7F8-4DFD-BB3F-E8012CADF552}"/>
    <cellStyle name="汇总 2 2 3 5" xfId="9332" xr:uid="{86B36530-6A63-4332-9490-8559E42B74A8}"/>
    <cellStyle name="汇总 2 2 3 6" xfId="11020" xr:uid="{E49BCDB1-68AF-4958-9B36-636359DA5DF1}"/>
    <cellStyle name="汇总 2 2 3 7" xfId="12323" xr:uid="{D8647BCE-FA7E-4620-BA3B-E8574A86ABBD}"/>
    <cellStyle name="汇总 2 2 3 8" xfId="13975" xr:uid="{D50F1864-54AA-4C51-BD1B-C2DCEB17B632}"/>
    <cellStyle name="汇总 2 2 3 9" xfId="15663" xr:uid="{EE768342-B7D3-4858-9829-AA7B69E7B516}"/>
    <cellStyle name="汇总 2 2 4" xfId="8938" xr:uid="{E5B8EA58-BE55-4F92-B973-817D5B4E27A6}"/>
    <cellStyle name="汇总 2 3" xfId="3139" xr:uid="{B0A8E99A-8B64-4C95-8141-7E019EF975B2}"/>
    <cellStyle name="汇总 2 3 2" xfId="4019" xr:uid="{B1EBF0FC-E8DB-4B50-BB6A-81285766CFB7}"/>
    <cellStyle name="汇总 2 3 2 2" xfId="4863" xr:uid="{57E2C990-B17E-4AA4-B07F-4F402A9650D9}"/>
    <cellStyle name="汇总 2 3 2 2 2" xfId="7358" xr:uid="{53CD9533-2320-4398-BA60-0BA36C615CDC}"/>
    <cellStyle name="汇总 2 3 2 2 3" xfId="8771" xr:uid="{097555B0-C8FD-4164-8421-DEA480FC6A54}"/>
    <cellStyle name="汇总 2 3 2 2 4" xfId="10480" xr:uid="{94515D2A-9247-45A7-B69E-F289E52A94DB}"/>
    <cellStyle name="汇总 2 3 2 2 5" xfId="11976" xr:uid="{9EFC1FCB-BC61-4AB0-B10C-2BFFD6A2755B}"/>
    <cellStyle name="汇总 2 3 2 2 6" xfId="13448" xr:uid="{785DD30B-1EAE-4C01-8C26-5F735393002D}"/>
    <cellStyle name="汇总 2 3 2 2 7" xfId="15123" xr:uid="{9527B116-DD88-48FD-9471-C96369602B94}"/>
    <cellStyle name="汇总 2 3 2 2 8" xfId="16788" xr:uid="{81793BAB-1AB5-498C-9B54-4BAEE14E049D}"/>
    <cellStyle name="汇总 2 3 2 3" xfId="6624" xr:uid="{EC300627-92C4-400C-89E8-72A7E079941C}"/>
    <cellStyle name="汇总 2 3 2 4" xfId="7945" xr:uid="{2F586A72-4712-4D54-9D9D-3CD3874011B2}"/>
    <cellStyle name="汇总 2 3 2 5" xfId="9638" xr:uid="{8A12A416-F665-4042-B29F-A7894AB3DFF4}"/>
    <cellStyle name="汇总 2 3 2 6" xfId="11250" xr:uid="{70BDA976-B7E2-48D3-9263-D6433EFF6DCE}"/>
    <cellStyle name="汇总 2 3 2 7" xfId="12624" xr:uid="{8A7EA0C6-EA29-4033-9A35-B5CED660EBE5}"/>
    <cellStyle name="汇总 2 3 2 8" xfId="14281" xr:uid="{160D5E57-B556-4EB3-9823-08673F5A38F6}"/>
    <cellStyle name="汇总 2 3 2 9" xfId="15964" xr:uid="{DD7F6665-E376-41A5-B9B2-EB751F5A7E40}"/>
    <cellStyle name="汇总 2 3 3" xfId="3581" xr:uid="{E00C691B-781E-4EA0-B312-4D7B839339EE}"/>
    <cellStyle name="汇总 2 3 3 2" xfId="4577" xr:uid="{582551E8-5115-45BF-BE27-1C6377F133E1}"/>
    <cellStyle name="汇总 2 3 3 2 2" xfId="7072" xr:uid="{CF271DD4-35FC-4619-8119-701E0BF1BF7E}"/>
    <cellStyle name="汇总 2 3 3 2 3" xfId="8491" xr:uid="{3FF7A909-CCEF-4909-AEBD-361C0B2435A1}"/>
    <cellStyle name="汇总 2 3 3 2 4" xfId="10194" xr:uid="{C54B61C7-D379-4199-8B9F-ABF69C1C2067}"/>
    <cellStyle name="汇总 2 3 3 2 5" xfId="11690" xr:uid="{B26F4B72-EEAA-4E32-87E1-01F46BF8DF08}"/>
    <cellStyle name="汇总 2 3 3 2 6" xfId="13168" xr:uid="{AD0C3E0D-D665-49A5-A1FC-83F1F72C7456}"/>
    <cellStyle name="汇总 2 3 3 2 7" xfId="14837" xr:uid="{59530973-3891-4F75-893A-7B67E66A8755}"/>
    <cellStyle name="汇总 2 3 3 2 8" xfId="16508" xr:uid="{27ED5439-F012-4AD4-B1E6-DEEF750EBACB}"/>
    <cellStyle name="汇总 2 3 3 3" xfId="6294" xr:uid="{1F50896E-6EFE-4771-B711-D3F01D1C0975}"/>
    <cellStyle name="汇总 2 3 3 4" xfId="7513" xr:uid="{8DEEF415-0628-46CD-815A-52302F80BC62}"/>
    <cellStyle name="汇总 2 3 3 5" xfId="9200" xr:uid="{7B4C08DC-528C-4C12-AAFA-AA4463945C12}"/>
    <cellStyle name="汇总 2 3 3 6" xfId="10924" xr:uid="{0535F3B8-EB28-4DD0-BAB5-BD2841C2D9B3}"/>
    <cellStyle name="汇总 2 3 3 7" xfId="12192" xr:uid="{8F000B5E-714A-4B72-AD98-9FBCBBC709EF}"/>
    <cellStyle name="汇总 2 3 3 8" xfId="13843" xr:uid="{0E831547-4BDB-4338-B4BE-6C2499E1A34D}"/>
    <cellStyle name="汇总 2 3 3 9" xfId="15532" xr:uid="{54DA8AE8-3021-43CA-8E49-C21619AD3D85}"/>
    <cellStyle name="汇总 2 3 4" xfId="6523" xr:uid="{EA569C25-9BAA-4484-8F09-5E6398B63899}"/>
    <cellStyle name="汇总 2 4" xfId="3042" xr:uid="{509E43B4-608A-4D64-A92A-F04DF084DA5F}"/>
    <cellStyle name="汇总 2 4 2" xfId="3922" xr:uid="{0BF288F4-FF4E-46BE-B21F-D7BFD7064989}"/>
    <cellStyle name="汇总 2 4 2 2" xfId="4795" xr:uid="{9B2989E0-BFEA-495E-9B78-B2E4B63F5975}"/>
    <cellStyle name="汇总 2 4 2 2 2" xfId="7290" xr:uid="{65B20206-5273-4D99-82C7-7EFA3B9F602B}"/>
    <cellStyle name="汇总 2 4 2 2 3" xfId="8705" xr:uid="{22A3D95B-8E23-49CF-94F4-B71ADFBA4AF1}"/>
    <cellStyle name="汇总 2 4 2 2 4" xfId="10412" xr:uid="{2FC5A53D-3C29-492E-B04E-DF430C044A29}"/>
    <cellStyle name="汇总 2 4 2 2 5" xfId="11908" xr:uid="{21EA727E-8E3F-402E-966D-F1B298C328FF}"/>
    <cellStyle name="汇总 2 4 2 2 6" xfId="13382" xr:uid="{68D9B479-1C7B-4C94-94F9-B42801253301}"/>
    <cellStyle name="汇总 2 4 2 2 7" xfId="15055" xr:uid="{C44841A9-EF97-4BCB-A60A-F583562B0BBF}"/>
    <cellStyle name="汇总 2 4 2 2 8" xfId="16722" xr:uid="{3B88EA69-5E3C-4F3B-A4B4-15EF0BF3B5E1}"/>
    <cellStyle name="汇总 2 4 2 3" xfId="6550" xr:uid="{D7ABF118-30D0-4379-BB9D-0F1988A4A550}"/>
    <cellStyle name="汇总 2 4 2 4" xfId="7850" xr:uid="{511700D5-3650-4796-8DB9-A83E6F8B379C}"/>
    <cellStyle name="汇总 2 4 2 5" xfId="9541" xr:uid="{B2051ECA-C6D2-4AF4-83C0-5A3DC7DB53D3}"/>
    <cellStyle name="汇总 2 4 2 6" xfId="11181" xr:uid="{D882782C-79E9-4021-A6B8-16A9B961DFEA}"/>
    <cellStyle name="汇总 2 4 2 7" xfId="12529" xr:uid="{6FAE058A-C392-4B76-B19A-77D3DA182D95}"/>
    <cellStyle name="汇总 2 4 2 8" xfId="14184" xr:uid="{37F4CF6A-31D3-4C03-87D6-265D6D999ADC}"/>
    <cellStyle name="汇总 2 4 2 9" xfId="15869" xr:uid="{D864491C-9390-4CF6-99B0-77FAA316CB70}"/>
    <cellStyle name="汇总 2 4 3" xfId="3484" xr:uid="{7B035556-7F6D-4C7B-8A88-07927B4E8EF4}"/>
    <cellStyle name="汇总 2 4 3 2" xfId="4509" xr:uid="{09FEB0E4-5EDD-40DC-ACBB-58277F3DD9C9}"/>
    <cellStyle name="汇总 2 4 3 2 2" xfId="7004" xr:uid="{52DF1432-41EE-4898-AC91-BEE22CB069C0}"/>
    <cellStyle name="汇总 2 4 3 2 3" xfId="8425" xr:uid="{A56EAAA6-1AAF-4102-B2FA-7670CDD27CCD}"/>
    <cellStyle name="汇总 2 4 3 2 4" xfId="10126" xr:uid="{38F27208-8F73-4234-95A4-3835AD760121}"/>
    <cellStyle name="汇总 2 4 3 2 5" xfId="11622" xr:uid="{A1A5B72B-FF45-42BE-B1FD-E88EE6B2DB6E}"/>
    <cellStyle name="汇总 2 4 3 2 6" xfId="13102" xr:uid="{C8983615-6CD3-42F7-9A9B-8B6927D6E793}"/>
    <cellStyle name="汇总 2 4 3 2 7" xfId="14769" xr:uid="{F5DFFC37-952B-4990-8FB8-EEF07760D57A}"/>
    <cellStyle name="汇总 2 4 3 2 8" xfId="16442" xr:uid="{529F9530-2A28-4215-8D25-A3AB45716527}"/>
    <cellStyle name="汇总 2 4 3 3" xfId="6217" xr:uid="{BB8B73E7-D00B-4A3D-B2CD-08D63363CDBF}"/>
    <cellStyle name="汇总 2 4 3 4" xfId="5170" xr:uid="{A16F90F3-57CF-49FF-8117-739F859C78B4}"/>
    <cellStyle name="汇总 2 4 3 5" xfId="9103" xr:uid="{FC700793-B12B-479B-BB68-96C5D6BD5676}"/>
    <cellStyle name="汇总 2 4 3 6" xfId="10852" xr:uid="{DBFA7383-A117-4EC8-8F71-B7E5D8FC145A}"/>
    <cellStyle name="汇总 2 4 3 7" xfId="6602" xr:uid="{BDBB3EF6-EBF8-49A4-8389-84B286F60E30}"/>
    <cellStyle name="汇总 2 4 3 8" xfId="13746" xr:uid="{D77CF739-95B0-4382-A126-0BC87E22A87D}"/>
    <cellStyle name="汇总 2 4 3 9" xfId="15437" xr:uid="{6D0C3863-3200-4526-AA18-CD40B6B86A88}"/>
    <cellStyle name="汇总 2 4 4" xfId="5792" xr:uid="{98E5C172-87C4-4C41-B2EB-46EAB20D528F}"/>
    <cellStyle name="汇总 2 5" xfId="3309" xr:uid="{243F1274-84CE-4929-9E46-7BEAE0BAEDD6}"/>
    <cellStyle name="汇总 2 5 2" xfId="4189" xr:uid="{0D8B1CB3-C840-4E11-94BE-A6EF15797542}"/>
    <cellStyle name="汇总 2 5 2 2" xfId="4974" xr:uid="{EA0A18A0-FDC4-47A5-80C3-D6879B4D0A08}"/>
    <cellStyle name="汇总 2 5 2 2 2" xfId="7469" xr:uid="{110C3F8D-C1E6-436D-A541-52568406FB56}"/>
    <cellStyle name="汇总 2 5 2 2 3" xfId="8880" xr:uid="{71835918-8A5A-4547-9556-050BFAF279C6}"/>
    <cellStyle name="汇总 2 5 2 2 4" xfId="10591" xr:uid="{A1262672-8BDF-4076-9C59-68C4960D2203}"/>
    <cellStyle name="汇总 2 5 2 2 5" xfId="12087" xr:uid="{9C111BE5-B76E-42E7-855D-52A27B4ED41E}"/>
    <cellStyle name="汇总 2 5 2 2 6" xfId="13557" xr:uid="{C8C82F8D-B8ED-4BFB-8582-D4D57DE1A750}"/>
    <cellStyle name="汇总 2 5 2 2 7" xfId="15234" xr:uid="{5030E666-DAFB-483C-8356-BEF59956A146}"/>
    <cellStyle name="汇总 2 5 2 2 8" xfId="16897" xr:uid="{90627CF8-0448-468E-BBAF-D8A3F06363E3}"/>
    <cellStyle name="汇总 2 5 2 3" xfId="6749" xr:uid="{60D01B9A-660B-4A11-A176-9D6DC857A599}"/>
    <cellStyle name="汇总 2 5 2 4" xfId="8113" xr:uid="{2E8A822C-1590-4A3F-9465-E1E9FB99DF03}"/>
    <cellStyle name="汇总 2 5 2 5" xfId="9808" xr:uid="{110189E4-DFAC-4D79-BB34-96A71B67E3FF}"/>
    <cellStyle name="汇总 2 5 2 6" xfId="11378" xr:uid="{9A436E62-5F97-44B5-B14B-0A9422EC8341}"/>
    <cellStyle name="汇总 2 5 2 7" xfId="12792" xr:uid="{6E565C9C-E216-4D7E-8A5E-202FF7015A6A}"/>
    <cellStyle name="汇总 2 5 2 8" xfId="14451" xr:uid="{0EB590BE-E5ED-4BFA-9E8A-CBA046958BD0}"/>
    <cellStyle name="汇总 2 5 2 9" xfId="16132" xr:uid="{22DBCA2A-B05F-486E-A13C-BEE191C94596}"/>
    <cellStyle name="汇总 2 5 3" xfId="3750" xr:uid="{300392B2-06BD-40C9-AEF4-EA35A6EA823D}"/>
    <cellStyle name="汇总 2 5 3 2" xfId="4687" xr:uid="{D7164A43-9692-4272-B1B9-207BB472F0AE}"/>
    <cellStyle name="汇总 2 5 3 2 2" xfId="7182" xr:uid="{3F4959EF-45C8-4819-BE3D-A6FC8BEEFD41}"/>
    <cellStyle name="汇总 2 5 3 2 3" xfId="8600" xr:uid="{A3543ECE-AEB2-402C-A09A-D0040984197E}"/>
    <cellStyle name="汇总 2 5 3 2 4" xfId="10304" xr:uid="{4FDD9234-7E23-4C34-84AE-DB9D277D964E}"/>
    <cellStyle name="汇总 2 5 3 2 5" xfId="11800" xr:uid="{084EE3DE-4536-4E22-9BA4-50F98D66EF09}"/>
    <cellStyle name="汇总 2 5 3 2 6" xfId="13277" xr:uid="{8CA6F389-6ED8-408D-BF3E-D5EC2718991A}"/>
    <cellStyle name="汇总 2 5 3 2 7" xfId="14947" xr:uid="{D0FC5374-31DA-492D-AFA6-A4D776240693}"/>
    <cellStyle name="汇总 2 5 3 2 8" xfId="16617" xr:uid="{AAA40B31-854C-4234-A71B-38019154729F}"/>
    <cellStyle name="汇总 2 5 3 3" xfId="6423" xr:uid="{26288CC0-B90E-42AB-AF31-A8B0FF0D420B}"/>
    <cellStyle name="汇总 2 5 3 4" xfId="7681" xr:uid="{4558D6AE-C1B0-45E0-B777-33F6265887B5}"/>
    <cellStyle name="汇总 2 5 3 5" xfId="9369" xr:uid="{2BE16C04-A63A-45EB-B775-AAD46029CE9C}"/>
    <cellStyle name="汇总 2 5 3 6" xfId="11051" xr:uid="{68C3D7B2-E7B5-4DBA-959E-DA4D96E42A76}"/>
    <cellStyle name="汇总 2 5 3 7" xfId="12360" xr:uid="{F9620708-D5AB-4CAA-B369-8F6C7CA2E6F5}"/>
    <cellStyle name="汇总 2 5 3 8" xfId="14012" xr:uid="{5B0492F0-C6D5-41BC-8071-0B94C8213A88}"/>
    <cellStyle name="汇总 2 5 3 9" xfId="15700" xr:uid="{0BC9AED5-DEA3-44DC-949F-6D602ACF50BD}"/>
    <cellStyle name="汇总 2 5 4" xfId="8972" xr:uid="{C2790C2F-C653-40BC-9FBD-75CBA326E00B}"/>
    <cellStyle name="汇总 2 6" xfId="3063" xr:uid="{13F306CE-F582-468B-8167-A71853505ABD}"/>
    <cellStyle name="汇总 2 6 10" xfId="6833" xr:uid="{3D982153-916B-4AA2-B8FA-942D41E5A4C5}"/>
    <cellStyle name="汇总 2 6 2" xfId="3943" xr:uid="{CB87CCF6-FC07-4288-AECE-77A0DCE6C712}"/>
    <cellStyle name="汇总 2 6 2 2" xfId="4809" xr:uid="{6ED35592-EFE5-4371-9A18-062A0EEC802B}"/>
    <cellStyle name="汇总 2 6 2 2 2" xfId="7304" xr:uid="{CA13B248-2B0E-4F33-92BE-819BF58C6BFE}"/>
    <cellStyle name="汇总 2 6 2 2 3" xfId="8718" xr:uid="{F5F99FCB-AC96-4159-BF75-A11D82BA2C49}"/>
    <cellStyle name="汇总 2 6 2 2 4" xfId="10426" xr:uid="{726EB251-33D2-4FD2-AB98-D0BC7912A801}"/>
    <cellStyle name="汇总 2 6 2 2 5" xfId="11922" xr:uid="{41F5F94B-E598-4095-8FD1-796C253AB79C}"/>
    <cellStyle name="汇总 2 6 2 2 6" xfId="13395" xr:uid="{8DD4A026-CC2E-4222-8FD1-F387E71C4749}"/>
    <cellStyle name="汇总 2 6 2 2 7" xfId="15069" xr:uid="{8335143D-E922-4746-8001-36860EE02BD6}"/>
    <cellStyle name="汇总 2 6 2 2 8" xfId="16735" xr:uid="{30E3430D-8A31-40C7-B598-446F4F92EB08}"/>
    <cellStyle name="汇总 2 6 2 3" xfId="6565" xr:uid="{DCE5867D-02EE-4405-96B0-9D5F619A2508}"/>
    <cellStyle name="汇总 2 6 2 4" xfId="7870" xr:uid="{DB3A5B53-76D6-4FB5-B3D8-9C95CDF59093}"/>
    <cellStyle name="汇总 2 6 2 5" xfId="9562" xr:uid="{61C19B3F-3A8A-4C37-82D5-D3A1ACAED8CD}"/>
    <cellStyle name="汇总 2 6 2 6" xfId="11196" xr:uid="{27F02E03-7E94-4D03-A968-5273C56BA0F5}"/>
    <cellStyle name="汇总 2 6 2 7" xfId="12549" xr:uid="{73AE5654-4608-423E-AB13-9DE4F8BA81E8}"/>
    <cellStyle name="汇总 2 6 2 8" xfId="14205" xr:uid="{5C537535-FC0E-42E1-B53D-06C64DCCE973}"/>
    <cellStyle name="汇总 2 6 2 9" xfId="15889" xr:uid="{52D3F1F4-E028-49BC-A65C-A4213A0943D8}"/>
    <cellStyle name="汇总 2 6 3" xfId="3505" xr:uid="{12E7FDCC-A889-4146-8214-05E081504AFA}"/>
    <cellStyle name="汇总 2 6 3 2" xfId="4523" xr:uid="{B383E53E-AF95-4C80-9394-D3028219DE02}"/>
    <cellStyle name="汇总 2 6 3 2 2" xfId="7018" xr:uid="{CB16E6A7-9244-405F-89EA-7CF00AD1236E}"/>
    <cellStyle name="汇总 2 6 3 2 3" xfId="8438" xr:uid="{A831BF2A-69A8-466C-8CA0-35BF2605F27B}"/>
    <cellStyle name="汇总 2 6 3 2 4" xfId="10140" xr:uid="{9B1385B8-9D86-4163-9BC8-48C1EDB4F1DB}"/>
    <cellStyle name="汇总 2 6 3 2 5" xfId="11636" xr:uid="{EF0160F1-0B22-4423-A086-8442773C1234}"/>
    <cellStyle name="汇总 2 6 3 2 6" xfId="13115" xr:uid="{E52A2D2D-025F-4EA7-9A07-8BEF5988F3C3}"/>
    <cellStyle name="汇总 2 6 3 2 7" xfId="14783" xr:uid="{3FF54C99-D389-423E-B5F6-752205DB207C}"/>
    <cellStyle name="汇总 2 6 3 2 8" xfId="16455" xr:uid="{59590FEC-413B-4921-91E0-12957557D29A}"/>
    <cellStyle name="汇总 2 6 3 3" xfId="6235" xr:uid="{6CA32D05-B250-4E45-96C0-851271B8E650}"/>
    <cellStyle name="汇总 2 6 3 4" xfId="5152" xr:uid="{99CDF791-E1B1-4753-BF5B-6C13CB17FDA1}"/>
    <cellStyle name="汇总 2 6 3 5" xfId="9124" xr:uid="{812B822A-2C2D-43F8-88FA-33E19E08EAE0}"/>
    <cellStyle name="汇总 2 6 3 6" xfId="10867" xr:uid="{61A83E9B-E471-4EBB-BD5E-F1FCEF100C62}"/>
    <cellStyle name="汇总 2 6 3 7" xfId="5542" xr:uid="{38183607-D665-4AB7-8783-9FAF499BB16A}"/>
    <cellStyle name="汇总 2 6 3 8" xfId="13767" xr:uid="{5DE42B10-B9F8-4749-81D2-4633595BB9A9}"/>
    <cellStyle name="汇总 2 6 3 9" xfId="15457" xr:uid="{062F6978-C08A-48A2-96CB-F9585FCD6189}"/>
    <cellStyle name="汇总 2 6 4" xfId="4305" xr:uid="{FCC1CAB0-32BF-44E8-BACD-824CE76F7A5E}"/>
    <cellStyle name="汇总 2 6 4 2" xfId="6831" xr:uid="{A26E177E-77F2-4AFE-AF29-995D5E0D0AD1}"/>
    <cellStyle name="汇总 2 6 4 3" xfId="8226" xr:uid="{8372A6DD-1769-4EB5-869A-F7DBBA9EFF25}"/>
    <cellStyle name="汇总 2 6 4 4" xfId="9922" xr:uid="{7DD79138-5A1B-447B-95C3-1C082012B214}"/>
    <cellStyle name="汇总 2 6 4 5" xfId="11451" xr:uid="{0FF26D18-56E0-4A08-BA31-66C6D57CC289}"/>
    <cellStyle name="汇总 2 6 4 6" xfId="12903" xr:uid="{6086FD57-7127-4BEE-8A30-CED0FFE715E9}"/>
    <cellStyle name="汇总 2 6 4 7" xfId="14565" xr:uid="{59F8AD93-6695-4754-ABC0-24C00A24E154}"/>
    <cellStyle name="汇总 2 6 4 8" xfId="16243" xr:uid="{524400F3-B9A5-418B-8C1B-6FC7B58CBECD}"/>
    <cellStyle name="汇总 2 6 5" xfId="5943" xr:uid="{2228DABE-DEB3-4954-9B7E-01BFD8261DBE}"/>
    <cellStyle name="汇总 2 6 6" xfId="5251" xr:uid="{5CE5303F-25F8-4B18-B346-90723754537D}"/>
    <cellStyle name="汇总 2 6 7" xfId="5805" xr:uid="{F87ECB68-FBCE-48F1-85EA-65BB56ADE7FC}"/>
    <cellStyle name="汇总 2 6 8" xfId="5837" xr:uid="{DE9257C6-26C5-473B-845C-5DF3A577BEB4}"/>
    <cellStyle name="汇总 2 6 9" xfId="10809" xr:uid="{801F7093-625A-458C-B5C5-C2A03031F258}"/>
    <cellStyle name="汇总 2 7" xfId="3026" xr:uid="{58115389-C5A3-4E67-BD40-1FC9D3EDB6C9}"/>
    <cellStyle name="汇总 2 7 10" xfId="5421" xr:uid="{4B051F49-CBF3-44A7-8C39-65E67CF05CFB}"/>
    <cellStyle name="汇总 2 7 2" xfId="3906" xr:uid="{961B47D6-D8B5-4BF1-9E68-C54497383459}"/>
    <cellStyle name="汇总 2 7 2 2" xfId="4782" xr:uid="{969A36E3-24FE-46BB-9829-992039656D12}"/>
    <cellStyle name="汇总 2 7 2 2 2" xfId="7277" xr:uid="{9379380D-802D-49A3-B490-0D7981CB2989}"/>
    <cellStyle name="汇总 2 7 2 2 3" xfId="8692" xr:uid="{9C3C6238-F74F-4327-8461-CAFB5227D794}"/>
    <cellStyle name="汇总 2 7 2 2 4" xfId="10399" xr:uid="{B1955178-E4EB-4CC5-95B5-4EBD0317A25A}"/>
    <cellStyle name="汇总 2 7 2 2 5" xfId="11895" xr:uid="{C11BEE89-5C8D-41B0-A93F-BD9652022F15}"/>
    <cellStyle name="汇总 2 7 2 2 6" xfId="13369" xr:uid="{B8906401-D130-4884-91EC-6ED87F55146F}"/>
    <cellStyle name="汇总 2 7 2 2 7" xfId="15042" xr:uid="{226D547A-E774-4467-A5E9-FA187C70F7ED}"/>
    <cellStyle name="汇总 2 7 2 2 8" xfId="16709" xr:uid="{378675B2-F4AC-4A59-B071-A03B22BA086C}"/>
    <cellStyle name="汇总 2 7 2 3" xfId="6536" xr:uid="{7A69F23A-A942-4B25-B6E0-D306CE6F7B83}"/>
    <cellStyle name="汇总 2 7 2 4" xfId="7834" xr:uid="{65DF32C7-4E0A-4A56-851B-EF8ED84A3B2B}"/>
    <cellStyle name="汇总 2 7 2 5" xfId="9525" xr:uid="{556ABE47-9795-4CAE-8BF3-F272A941FBE5}"/>
    <cellStyle name="汇总 2 7 2 6" xfId="11167" xr:uid="{AC720632-C41A-4E70-AE8A-8B0AD60323E7}"/>
    <cellStyle name="汇总 2 7 2 7" xfId="12513" xr:uid="{047EA318-645D-4652-A14E-CF57B7E7567B}"/>
    <cellStyle name="汇总 2 7 2 8" xfId="14168" xr:uid="{766A8FA6-A0E1-499B-B89F-2A7BAD9329FB}"/>
    <cellStyle name="汇总 2 7 2 9" xfId="15853" xr:uid="{2770CB52-38BC-495A-87C4-CC78641E6C4B}"/>
    <cellStyle name="汇总 2 7 3" xfId="3468" xr:uid="{8014A068-BA73-4929-B20D-E0F4DC356EEC}"/>
    <cellStyle name="汇总 2 7 3 2" xfId="4496" xr:uid="{3C123A4F-4DB3-42AC-85F2-54EBB186D181}"/>
    <cellStyle name="汇总 2 7 3 2 2" xfId="6991" xr:uid="{05BA5319-92B7-4389-815A-C7BDD4FFBC51}"/>
    <cellStyle name="汇总 2 7 3 2 3" xfId="8412" xr:uid="{6C6C0A23-7E2E-4821-8EBD-AA5E24A12B01}"/>
    <cellStyle name="汇总 2 7 3 2 4" xfId="10113" xr:uid="{8ABD3F40-D26C-4EBA-8B16-7958C32CF723}"/>
    <cellStyle name="汇总 2 7 3 2 5" xfId="11609" xr:uid="{FAD308E4-C19D-492D-859E-BE096249FC3B}"/>
    <cellStyle name="汇总 2 7 3 2 6" xfId="13089" xr:uid="{3E87AA44-2D35-49D1-A226-1CB4374715AC}"/>
    <cellStyle name="汇总 2 7 3 2 7" xfId="14756" xr:uid="{D39AC6A7-BCE2-48E3-B54D-B027C03ACD55}"/>
    <cellStyle name="汇总 2 7 3 2 8" xfId="16429" xr:uid="{4A8D0CC7-58D3-4BC9-AE2E-394BB60568BD}"/>
    <cellStyle name="汇总 2 7 3 3" xfId="6204" xr:uid="{EBE171C7-7AF3-4ABD-8164-AA834F94AEE2}"/>
    <cellStyle name="汇总 2 7 3 4" xfId="5178" xr:uid="{63A56246-4AFD-4812-B00A-FF3006E0E6E5}"/>
    <cellStyle name="汇总 2 7 3 5" xfId="9087" xr:uid="{C56519CD-C55B-4F71-9D9A-5DD24AC32D81}"/>
    <cellStyle name="汇总 2 7 3 6" xfId="10838" xr:uid="{EE53CD2C-63FB-44D1-8030-285E25847EBD}"/>
    <cellStyle name="汇总 2 7 3 7" xfId="5375" xr:uid="{876DF155-229B-43DF-BD50-36F9A51EC9A6}"/>
    <cellStyle name="汇总 2 7 3 8" xfId="13730" xr:uid="{EB5C4924-EF74-4F3D-AC61-136A514AD67C}"/>
    <cellStyle name="汇总 2 7 3 9" xfId="15421" xr:uid="{A4C6A9A4-A5C2-4EF2-ACFB-C937F3483BDB}"/>
    <cellStyle name="汇总 2 7 4" xfId="4279" xr:uid="{B7DB1CE8-F17F-4C1F-B56A-08121E4E3C89}"/>
    <cellStyle name="汇总 2 7 4 2" xfId="6811" xr:uid="{B058C131-17BF-495D-9FC8-B3FBE12E6679}"/>
    <cellStyle name="汇总 2 7 4 3" xfId="8201" xr:uid="{D71B29C2-62AC-47B9-BE84-D2EB644C7EB2}"/>
    <cellStyle name="汇总 2 7 4 4" xfId="9896" xr:uid="{F8F37494-4701-42AE-9D00-2DB32485DC61}"/>
    <cellStyle name="汇总 2 7 4 5" xfId="11431" xr:uid="{30062495-CC3D-48C4-AD96-478DDEE58189}"/>
    <cellStyle name="汇总 2 7 4 6" xfId="12878" xr:uid="{3FF5AF10-D8CF-4136-AF33-19134FD4CDE1}"/>
    <cellStyle name="汇总 2 7 4 7" xfId="14539" xr:uid="{C2C358EF-501F-4479-8C1D-012E7F9D5FC1}"/>
    <cellStyle name="汇总 2 7 4 8" xfId="16218" xr:uid="{08805E0B-7AB3-4FDA-8DBD-84FEBCD681E2}"/>
    <cellStyle name="汇总 2 7 5" xfId="5913" xr:uid="{9CEEA4C3-58AF-4CE9-BFFE-AEE68F3B2949}"/>
    <cellStyle name="汇总 2 7 6" xfId="5755" xr:uid="{E4A293F7-94E4-4B43-AEFA-7BD21E344013}"/>
    <cellStyle name="汇总 2 7 7" xfId="5762" xr:uid="{17CF9033-4B89-4DB3-8B55-D373D6AFF7F3}"/>
    <cellStyle name="汇总 2 7 8" xfId="5407" xr:uid="{83118F15-9DA6-4A4F-ABBE-6330251A54D7}"/>
    <cellStyle name="汇总 2 7 9" xfId="5449" xr:uid="{ECA9726F-4E21-4902-9CFC-C1E9AE83348B}"/>
    <cellStyle name="汇总 2 8" xfId="3370" xr:uid="{4F28D4E8-18CD-4145-BD70-255B1F0BC596}"/>
    <cellStyle name="汇总 2 8 10" xfId="15327" xr:uid="{73670BE7-1C55-4E29-8882-0AF11EDE06F7}"/>
    <cellStyle name="汇总 2 8 2" xfId="4250" xr:uid="{DDCEF6C6-ABCC-4EA9-9CB1-789BB0ACE0ED}"/>
    <cellStyle name="汇总 2 8 2 2" xfId="5003" xr:uid="{8727669B-990D-4047-AA94-F85BBDCEF3CC}"/>
    <cellStyle name="汇总 2 8 2 2 2" xfId="7498" xr:uid="{24373552-E3EC-47A5-ACCB-73C847A3E089}"/>
    <cellStyle name="汇总 2 8 2 2 3" xfId="8908" xr:uid="{3E81FDA1-D154-4F91-B639-63AF21BF12E4}"/>
    <cellStyle name="汇总 2 8 2 2 4" xfId="10620" xr:uid="{56F4B99A-5049-40EB-9DA2-CEA068B4AF02}"/>
    <cellStyle name="汇总 2 8 2 2 5" xfId="12116" xr:uid="{AB58A90D-4886-4B50-B403-B28C34B47527}"/>
    <cellStyle name="汇总 2 8 2 2 6" xfId="13585" xr:uid="{FD6EE4F1-FDF9-4BCE-83D8-897C06CC214B}"/>
    <cellStyle name="汇总 2 8 2 2 7" xfId="15263" xr:uid="{2485E51C-BC7D-4EC4-A88A-86972553BF08}"/>
    <cellStyle name="汇总 2 8 2 2 8" xfId="16925" xr:uid="{1C831AE1-F05D-41C6-8791-C9A65C7D48F3}"/>
    <cellStyle name="汇总 2 8 2 3" xfId="6790" xr:uid="{D8646C83-20BE-4887-B01E-D43B7BFE6552}"/>
    <cellStyle name="汇总 2 8 2 4" xfId="8173" xr:uid="{E0509690-8E9B-4723-97C6-0CB4FCC276DC}"/>
    <cellStyle name="汇总 2 8 2 5" xfId="9869" xr:uid="{7FEBEF07-23EC-4A02-9877-A3155FBD0287}"/>
    <cellStyle name="汇总 2 8 2 6" xfId="11409" xr:uid="{7F0D0065-5E8E-48FC-8E56-999CE6E64033}"/>
    <cellStyle name="汇总 2 8 2 7" xfId="12852" xr:uid="{DC0DCFFF-7077-4EEF-AFD6-3EA14F999676}"/>
    <cellStyle name="汇总 2 8 2 8" xfId="14512" xr:uid="{29BB88D0-AEE5-4A90-BEBF-F02B5EE4A279}"/>
    <cellStyle name="汇总 2 8 2 9" xfId="16192" xr:uid="{93A29D43-419E-4534-BE5B-EB4EED8E7DA7}"/>
    <cellStyle name="汇总 2 8 3" xfId="3810" xr:uid="{39FCE8A4-6C53-4472-A0E9-82C96E1FC3D3}"/>
    <cellStyle name="汇总 2 8 3 2" xfId="4715" xr:uid="{CD6E4753-D44A-4687-92B1-AA8D9DBC35E1}"/>
    <cellStyle name="汇总 2 8 3 2 2" xfId="7210" xr:uid="{A92B1339-54F4-4451-9723-7E441721E282}"/>
    <cellStyle name="汇总 2 8 3 2 3" xfId="8628" xr:uid="{5917B06E-F5EE-4726-BC0A-C1E2A7A67197}"/>
    <cellStyle name="汇总 2 8 3 2 4" xfId="10332" xr:uid="{523537A0-F395-4E1C-A4D0-0EE169ABBB1A}"/>
    <cellStyle name="汇总 2 8 3 2 5" xfId="11828" xr:uid="{E2610CDE-1BA8-4D56-951A-1E90EDEA4167}"/>
    <cellStyle name="汇总 2 8 3 2 6" xfId="13305" xr:uid="{E06A6EBB-F0C9-4884-A8BD-6DB4AFCA9CB2}"/>
    <cellStyle name="汇总 2 8 3 2 7" xfId="14975" xr:uid="{C5AFC8BE-5E63-4E4E-BAD1-5D98349FA23E}"/>
    <cellStyle name="汇总 2 8 3 2 8" xfId="16645" xr:uid="{867B6A45-16CD-40BD-A727-F9996DBE1424}"/>
    <cellStyle name="汇总 2 8 3 3" xfId="6461" xr:uid="{23B468F3-C997-4C17-B07C-4D410230AF77}"/>
    <cellStyle name="汇总 2 8 3 4" xfId="7741" xr:uid="{BCE8DB6F-5E4A-49AA-9E24-4F08C727DDCC}"/>
    <cellStyle name="汇总 2 8 3 5" xfId="9429" xr:uid="{FE3749C3-DF9A-4940-B105-4F7131309DF6}"/>
    <cellStyle name="汇总 2 8 3 6" xfId="11089" xr:uid="{C2B3A331-6C8A-4D3A-AE2B-6655486A1226}"/>
    <cellStyle name="汇总 2 8 3 7" xfId="12420" xr:uid="{728CB939-28DE-44A1-9A2B-604F0AA77824}"/>
    <cellStyle name="汇总 2 8 3 8" xfId="14072" xr:uid="{35FD8A7E-69EC-4434-9332-4AA58F5ECE70}"/>
    <cellStyle name="汇总 2 8 3 9" xfId="15760" xr:uid="{88E878A7-34AC-42E3-A68E-8F78F24AD230}"/>
    <cellStyle name="汇总 2 8 4" xfId="4426" xr:uid="{4B0659C0-7175-4263-973E-3BFF8F12B22E}"/>
    <cellStyle name="汇总 2 8 4 2" xfId="6925" xr:uid="{2F51DCA2-FCF5-4E61-ACCB-9CD9F21F9306}"/>
    <cellStyle name="汇总 2 8 4 3" xfId="8343" xr:uid="{1CBFC333-00FC-43E3-9463-0CD98BE8FEAF}"/>
    <cellStyle name="汇总 2 8 4 4" xfId="10043" xr:uid="{12B65800-D761-46A0-9585-828EA6B0412F}"/>
    <cellStyle name="汇总 2 8 4 5" xfId="11541" xr:uid="{48DEBA97-94F1-43F2-B69C-F3757C4AD3C7}"/>
    <cellStyle name="汇总 2 8 4 6" xfId="13020" xr:uid="{9B32BEBA-008E-48CE-9511-144D9DC685E3}"/>
    <cellStyle name="汇总 2 8 4 7" xfId="14686" xr:uid="{F7E184E0-BA87-41EE-B78C-9104998DD094}"/>
    <cellStyle name="汇总 2 8 4 8" xfId="16360" xr:uid="{FF1636E9-FC45-4A72-884D-C76EB7CE5572}"/>
    <cellStyle name="汇总 2 8 5" xfId="6128" xr:uid="{2A014B19-8029-4C5F-BB3B-8D2885F5DDA0}"/>
    <cellStyle name="汇总 2 8 6" xfId="5720" xr:uid="{A5D620E9-1028-4DC5-9DBB-CD23099E292F}"/>
    <cellStyle name="汇总 2 8 7" xfId="10760" xr:uid="{33E80F9F-22F0-4A0A-8FC1-4B3C8A2296FD}"/>
    <cellStyle name="汇总 2 8 8" xfId="5302" xr:uid="{BE1ED42F-B3C8-4C1F-A86C-98A07F03D5BB}"/>
    <cellStyle name="汇总 2 8 9" xfId="13636" xr:uid="{EE0280EB-D209-4323-A6A0-896A8A0E10A2}"/>
    <cellStyle name="汇总 2 9" xfId="3868" xr:uid="{29AFB920-8F2E-4DA1-A136-CDB72F841A33}"/>
    <cellStyle name="汇总 2 9 2" xfId="4760" xr:uid="{6F0D3B15-A9BB-4982-8C2B-E884DED6A58F}"/>
    <cellStyle name="汇总 2 9 2 2" xfId="7255" xr:uid="{3D399A1E-7099-4C5B-BB34-62601C22D215}"/>
    <cellStyle name="汇总 2 9 2 3" xfId="8670" xr:uid="{58765634-9FF4-4B1C-B3CE-F1D8946DF3DA}"/>
    <cellStyle name="汇总 2 9 2 4" xfId="10377" xr:uid="{BBB3B97F-5CA6-460B-A0A9-BFC24F21D22F}"/>
    <cellStyle name="汇总 2 9 2 5" xfId="11873" xr:uid="{400FE605-CB1D-4F59-876D-4E14B2B25B63}"/>
    <cellStyle name="汇总 2 9 2 6" xfId="13347" xr:uid="{D7C8E8BA-234B-43F7-89A5-7595AAC8BE55}"/>
    <cellStyle name="汇总 2 9 2 7" xfId="15020" xr:uid="{9BCD065D-EE1C-42CD-A6DB-1836C14043D1}"/>
    <cellStyle name="汇总 2 9 2 8" xfId="16687" xr:uid="{ADC05C2E-6CEA-40D9-B7C7-3AE88E092586}"/>
    <cellStyle name="汇总 2 9 3" xfId="6509" xr:uid="{CCA67207-4944-4670-8BA2-AD8C3750EDAC}"/>
    <cellStyle name="汇总 2 9 4" xfId="7796" xr:uid="{6B0F148D-192F-4E0B-ACD4-3FF84B1359D2}"/>
    <cellStyle name="汇总 2 9 5" xfId="9487" xr:uid="{FB0EC95D-945F-45B7-9258-67AC598CEEDE}"/>
    <cellStyle name="汇总 2 9 6" xfId="11140" xr:uid="{2B71CAA9-5945-4235-92EE-D9F602BDD155}"/>
    <cellStyle name="汇总 2 9 7" xfId="12475" xr:uid="{D44AC54C-ABD1-43D8-9015-192EB515282A}"/>
    <cellStyle name="汇总 2 9 8" xfId="14130" xr:uid="{987A5F73-B2B6-4946-A74E-2BDCEEA29172}"/>
    <cellStyle name="汇总 2 9 9" xfId="15815" xr:uid="{120FCA7C-C460-492B-BE52-AFD6751141CA}"/>
    <cellStyle name="汇总 3" xfId="2965" xr:uid="{28C71CF5-8D62-4ADD-806A-A9022C9A681E}"/>
    <cellStyle name="汇总 3 10" xfId="3412" xr:uid="{96EB06BD-5433-4E06-B5D6-E74AA7CB7917}"/>
    <cellStyle name="汇总 3 10 2" xfId="4460" xr:uid="{F66B656E-18E1-4682-8978-65C75C13BB06}"/>
    <cellStyle name="汇总 3 10 2 2" xfId="6955" xr:uid="{5A2545F5-32E6-4A03-BA72-0C353AAC468E}"/>
    <cellStyle name="汇总 3 10 2 3" xfId="8376" xr:uid="{9764B849-D235-4D1B-B93F-78BCE322C9C3}"/>
    <cellStyle name="汇总 3 10 2 4" xfId="10077" xr:uid="{C967D2E8-F261-447F-859D-3CA62D69C7DB}"/>
    <cellStyle name="汇总 3 10 2 5" xfId="11573" xr:uid="{24F219DA-B0EF-4539-8883-8A5BEBE2E5D4}"/>
    <cellStyle name="汇总 3 10 2 6" xfId="13053" xr:uid="{B6E642FC-6D40-4FC8-BCBD-D37FAC5839B9}"/>
    <cellStyle name="汇总 3 10 2 7" xfId="14720" xr:uid="{C71B84F9-B5AF-4CEF-9CB5-4775EBBECB09}"/>
    <cellStyle name="汇总 3 10 2 8" xfId="16393" xr:uid="{88AB871D-4738-4503-8F4F-4D2BAA44F670}"/>
    <cellStyle name="汇总 3 10 3" xfId="6163" xr:uid="{0A021049-BB6D-4F6D-B946-1F590236B78B}"/>
    <cellStyle name="汇总 3 10 4" xfId="6093" xr:uid="{A383AA90-A938-435C-8672-C44F756EDE73}"/>
    <cellStyle name="汇总 3 10 5" xfId="9031" xr:uid="{D93F4D9E-D603-46EC-8C68-A412F2250823}"/>
    <cellStyle name="汇总 3 10 6" xfId="10795" xr:uid="{1538AF4B-18F6-46C9-84BA-99FC66028791}"/>
    <cellStyle name="汇总 3 10 7" xfId="5317" xr:uid="{DF522F91-BE69-4A0E-BEA2-9935CD3B8111}"/>
    <cellStyle name="汇总 3 10 8" xfId="13674" xr:uid="{E837DF0F-61F0-4159-BB15-182BADC27A42}"/>
    <cellStyle name="汇总 3 10 9" xfId="15365" xr:uid="{D77DC40D-5BD1-43DF-A6F1-EA4065715DFC}"/>
    <cellStyle name="汇总 3 11" xfId="5839" xr:uid="{FFE86668-6EA6-4C4D-BA1C-7516FB4FB010}"/>
    <cellStyle name="汇总 3 12" xfId="5392" xr:uid="{932BB576-2F36-4FA2-A7C5-96A029E4EE75}"/>
    <cellStyle name="汇总 3 2" xfId="3253" xr:uid="{2D7F6EBF-1B72-498C-907D-B7A4ACF822D9}"/>
    <cellStyle name="汇总 3 2 2" xfId="4133" xr:uid="{3B62EA93-E632-4280-9138-5B7F2BE0514B}"/>
    <cellStyle name="汇总 3 2 2 2" xfId="4931" xr:uid="{3C12A41C-17E2-412B-AC28-35624AC4BDD7}"/>
    <cellStyle name="汇总 3 2 2 2 2" xfId="7426" xr:uid="{50D3A6C7-BCFA-486F-8F04-790CD24ADEC7}"/>
    <cellStyle name="汇总 3 2 2 2 3" xfId="8838" xr:uid="{B9C731A8-295A-4C53-B27C-AA3783DD0B9A}"/>
    <cellStyle name="汇总 3 2 2 2 4" xfId="10548" xr:uid="{51970D94-F695-4326-9456-57F4557F49B6}"/>
    <cellStyle name="汇总 3 2 2 2 5" xfId="12044" xr:uid="{006D8F55-39B1-4FDE-B7F4-43D88C65E8E6}"/>
    <cellStyle name="汇总 3 2 2 2 6" xfId="13515" xr:uid="{78ED42C2-7035-4E49-9D75-251A587B4A7D}"/>
    <cellStyle name="汇总 3 2 2 2 7" xfId="15191" xr:uid="{1A061664-6FA5-4E72-A8F1-312B7A0C1EA7}"/>
    <cellStyle name="汇总 3 2 2 2 8" xfId="16855" xr:uid="{CFFF1D16-2C96-43C2-B10F-C7AFDC345F7E}"/>
    <cellStyle name="汇总 3 2 2 3" xfId="6705" xr:uid="{EACA9D7D-4F18-445D-BBA7-A79A9F946BCC}"/>
    <cellStyle name="汇总 3 2 2 4" xfId="8058" xr:uid="{0B187BA6-1E0E-4B72-B2E1-DC109DC1A6A3}"/>
    <cellStyle name="汇总 3 2 2 5" xfId="9752" xr:uid="{8776E78C-43FF-47DC-A065-B250991EA927}"/>
    <cellStyle name="汇总 3 2 2 6" xfId="11333" xr:uid="{3BB31DA5-2E25-4497-B23F-3E15D286DF32}"/>
    <cellStyle name="汇总 3 2 2 7" xfId="12737" xr:uid="{9FA4F955-2B4B-4B25-ACD7-C50E731E3271}"/>
    <cellStyle name="汇总 3 2 2 8" xfId="14395" xr:uid="{2E6BAF23-8331-4256-B5F3-172D5A1FCC1B}"/>
    <cellStyle name="汇总 3 2 2 9" xfId="16077" xr:uid="{C0513F17-EDB6-4ADA-829D-098B88AC4B6A}"/>
    <cellStyle name="汇总 3 2 3" xfId="3695" xr:uid="{C42B3ED4-B805-4F56-9A28-ECC386E1BECC}"/>
    <cellStyle name="汇总 3 2 3 2" xfId="4645" xr:uid="{FD319FB5-1A4F-4A76-9F3E-7C63BA77BA0B}"/>
    <cellStyle name="汇总 3 2 3 2 2" xfId="7140" xr:uid="{846B689B-0980-40E8-B32A-90F575853BE5}"/>
    <cellStyle name="汇总 3 2 3 2 3" xfId="8558" xr:uid="{5F76AF00-B6D7-4152-BA5B-BB9D49207375}"/>
    <cellStyle name="汇总 3 2 3 2 4" xfId="10262" xr:uid="{B0BBE8E6-736B-4264-BA9A-0FCD9DAEC9C6}"/>
    <cellStyle name="汇总 3 2 3 2 5" xfId="11758" xr:uid="{217CA1E7-F2E5-42ED-99F2-B4B9A6BC2066}"/>
    <cellStyle name="汇总 3 2 3 2 6" xfId="13235" xr:uid="{DB4D23F3-B1D0-4E19-AC1B-236654A309FE}"/>
    <cellStyle name="汇总 3 2 3 2 7" xfId="14905" xr:uid="{84ABFCD8-B950-491B-943F-1E78A3F54FDE}"/>
    <cellStyle name="汇总 3 2 3 2 8" xfId="16575" xr:uid="{6AE95480-B853-45E4-ACD6-0714F4CB9CE8}"/>
    <cellStyle name="汇总 3 2 3 3" xfId="6378" xr:uid="{3719158F-CA76-4E5C-BC28-ED47DEF8FE00}"/>
    <cellStyle name="汇总 3 2 3 4" xfId="7626" xr:uid="{2EF2049C-BC9C-4CD4-A760-2059A97D2529}"/>
    <cellStyle name="汇总 3 2 3 5" xfId="9314" xr:uid="{0CB293B7-2E0A-4FD6-A9B7-3DA2532E8DB9}"/>
    <cellStyle name="汇总 3 2 3 6" xfId="11005" xr:uid="{0C49A38A-9B39-4B2E-A575-E2D787C023AC}"/>
    <cellStyle name="汇总 3 2 3 7" xfId="12305" xr:uid="{3B119F0D-25E1-435A-87C2-AB558F294873}"/>
    <cellStyle name="汇总 3 2 3 8" xfId="13957" xr:uid="{1127B1FF-3946-4C73-A6A8-93009C855010}"/>
    <cellStyle name="汇总 3 2 3 9" xfId="15645" xr:uid="{B002ADEE-C5E2-4B67-8679-8C5220794560}"/>
    <cellStyle name="汇总 3 2 4" xfId="6718" xr:uid="{8A4DDCEC-30E9-45CA-80BD-44699F5615D2}"/>
    <cellStyle name="汇总 3 3" xfId="3125" xr:uid="{51F60FB8-0EBE-49FA-AAB3-315DC083EF20}"/>
    <cellStyle name="汇总 3 3 2" xfId="4005" xr:uid="{3208A129-4985-4D61-82DA-ED1685C5E757}"/>
    <cellStyle name="汇总 3 3 2 2" xfId="4851" xr:uid="{75C02594-74BC-485A-BD0D-1806DFD182A3}"/>
    <cellStyle name="汇总 3 3 2 2 2" xfId="7346" xr:uid="{A3561C2C-9F01-4D23-840A-1FB7D03C8C55}"/>
    <cellStyle name="汇总 3 3 2 2 3" xfId="8759" xr:uid="{AE27C047-8838-493D-A2E1-7862084A473F}"/>
    <cellStyle name="汇总 3 3 2 2 4" xfId="10468" xr:uid="{8B4D321A-CA8A-4584-924C-BA28E02376DB}"/>
    <cellStyle name="汇总 3 3 2 2 5" xfId="11964" xr:uid="{D2A51B7E-12B6-4661-875C-FEA6D86F205D}"/>
    <cellStyle name="汇总 3 3 2 2 6" xfId="13436" xr:uid="{D8AE2293-0F0D-4CD6-9B92-43CD7BF464C3}"/>
    <cellStyle name="汇总 3 3 2 2 7" xfId="15111" xr:uid="{3E87C57C-F9A8-48B6-AC45-19D15DFA5649}"/>
    <cellStyle name="汇总 3 3 2 2 8" xfId="16776" xr:uid="{17352D51-E59A-4C4E-B846-766750E682A2}"/>
    <cellStyle name="汇总 3 3 2 3" xfId="6612" xr:uid="{D4BE32F1-DD2A-455A-AFAC-393F8AF8720F}"/>
    <cellStyle name="汇总 3 3 2 4" xfId="7931" xr:uid="{E3245C24-9496-4F34-A5DB-1736FF9E0BF1}"/>
    <cellStyle name="汇总 3 3 2 5" xfId="9624" xr:uid="{C46DBD80-1392-46B3-989C-1EC88E162B74}"/>
    <cellStyle name="汇总 3 3 2 6" xfId="11238" xr:uid="{78EA561B-412D-48B8-A777-68010299B1C2}"/>
    <cellStyle name="汇总 3 3 2 7" xfId="12610" xr:uid="{54343CD7-FB22-4BE8-934F-EC4C0702C715}"/>
    <cellStyle name="汇总 3 3 2 8" xfId="14267" xr:uid="{40A8C8EF-489B-4F8C-A4FE-02FCF9C70B83}"/>
    <cellStyle name="汇总 3 3 2 9" xfId="15950" xr:uid="{CF8F9F66-57C9-4F51-ABF4-155199EE51E3}"/>
    <cellStyle name="汇总 3 3 3" xfId="3567" xr:uid="{3EE6CD15-1E65-4211-8E5D-E9EA55120828}"/>
    <cellStyle name="汇总 3 3 3 2" xfId="4565" xr:uid="{A3E99981-E58B-4417-BB3E-C46C61BCC50C}"/>
    <cellStyle name="汇总 3 3 3 2 2" xfId="7060" xr:uid="{A3E1DF20-F048-4418-A748-AF9BDCEB37A3}"/>
    <cellStyle name="汇总 3 3 3 2 3" xfId="8479" xr:uid="{D693C66C-4348-4075-8B97-D6D0625CA469}"/>
    <cellStyle name="汇总 3 3 3 2 4" xfId="10182" xr:uid="{DFF9AF99-D955-4E59-8538-84D709407C9B}"/>
    <cellStyle name="汇总 3 3 3 2 5" xfId="11678" xr:uid="{E2210CEA-237A-4C3C-A720-EEADBCE0AAB1}"/>
    <cellStyle name="汇总 3 3 3 2 6" xfId="13156" xr:uid="{8A0F4AB6-D039-4984-93BA-D18CA557443E}"/>
    <cellStyle name="汇总 3 3 3 2 7" xfId="14825" xr:uid="{27107F33-D732-4A65-9597-57F848189904}"/>
    <cellStyle name="汇总 3 3 3 2 8" xfId="16496" xr:uid="{637F2025-741F-4379-935A-9D0529AEDFED}"/>
    <cellStyle name="汇总 3 3 3 3" xfId="6282" xr:uid="{8111F245-4702-4E12-A366-9425AE81DCEF}"/>
    <cellStyle name="汇总 3 3 3 4" xfId="5109" xr:uid="{48F879CA-B61E-4BF4-B2FC-58323CF409F0}"/>
    <cellStyle name="汇总 3 3 3 5" xfId="9186" xr:uid="{78272BDA-B54C-4455-AFD7-5DBEB75DFE09}"/>
    <cellStyle name="汇总 3 3 3 6" xfId="10912" xr:uid="{D6902484-F4C5-4F17-89F0-CDD8693768D6}"/>
    <cellStyle name="汇总 3 3 3 7" xfId="12178" xr:uid="{A446E6C3-FC3D-4D76-936B-07F694A9D08F}"/>
    <cellStyle name="汇总 3 3 3 8" xfId="13829" xr:uid="{CC24D545-5D6F-4B4D-95E5-CCC471A618E8}"/>
    <cellStyle name="汇总 3 3 3 9" xfId="15518" xr:uid="{4CDB6D0F-3863-42A7-B75A-9B7E01EC174F}"/>
    <cellStyle name="汇总 3 3 4" xfId="5079" xr:uid="{A0C082D6-24F2-4393-8E09-91C3A0F040AA}"/>
    <cellStyle name="汇总 3 4" xfId="3238" xr:uid="{C12836E4-188A-4F5C-A039-E5C61432BDFB}"/>
    <cellStyle name="汇总 3 4 2" xfId="4118" xr:uid="{678D72C5-96E4-4120-9E63-B34E88C9A92D}"/>
    <cellStyle name="汇总 3 4 2 2" xfId="4922" xr:uid="{2D233933-5026-4E3F-ADF4-493A166098B9}"/>
    <cellStyle name="汇总 3 4 2 2 2" xfId="7417" xr:uid="{6BDC81BF-4148-4389-9446-B11658994756}"/>
    <cellStyle name="汇总 3 4 2 2 3" xfId="8829" xr:uid="{5B267632-04CE-47CA-98DC-FB1EF9BEB85C}"/>
    <cellStyle name="汇总 3 4 2 2 4" xfId="10539" xr:uid="{A51C890E-4139-4788-B257-23F93D42D23E}"/>
    <cellStyle name="汇总 3 4 2 2 5" xfId="12035" xr:uid="{755EF9FA-4391-4228-9AD1-6AE2EC696B59}"/>
    <cellStyle name="汇总 3 4 2 2 6" xfId="13506" xr:uid="{310279BA-0E69-48A3-9E5D-74080F3FE1DE}"/>
    <cellStyle name="汇总 3 4 2 2 7" xfId="15182" xr:uid="{161145C5-32C4-4D21-9CED-72165815824D}"/>
    <cellStyle name="汇总 3 4 2 2 8" xfId="16846" xr:uid="{A3495D3C-8B9C-4084-BAA3-1471103E4E54}"/>
    <cellStyle name="汇总 3 4 2 3" xfId="6693" xr:uid="{C37595FA-7816-464B-81EA-3CD85566F797}"/>
    <cellStyle name="汇总 3 4 2 4" xfId="8043" xr:uid="{1D3DEAD4-54F8-48E2-B43F-32026D8630F4}"/>
    <cellStyle name="汇总 3 4 2 5" xfId="9737" xr:uid="{C2902076-1716-4048-A597-7DC9FA3BDC04}"/>
    <cellStyle name="汇总 3 4 2 6" xfId="11321" xr:uid="{48E470B5-F273-4DA2-B5A2-4B61FC3C631E}"/>
    <cellStyle name="汇总 3 4 2 7" xfId="12722" xr:uid="{61F5C39B-8E0B-4B30-8BF0-42416D8FB2D2}"/>
    <cellStyle name="汇总 3 4 2 8" xfId="14380" xr:uid="{B4EC43AD-6501-4AC2-869E-F03FC1A9D286}"/>
    <cellStyle name="汇总 3 4 2 9" xfId="16062" xr:uid="{80F48269-F30E-470F-AED9-790DDCD7F4A0}"/>
    <cellStyle name="汇总 3 4 3" xfId="3680" xr:uid="{CE00EA9B-D57C-41E4-AF00-E9FA61346BEE}"/>
    <cellStyle name="汇总 3 4 3 2" xfId="4636" xr:uid="{0919B17B-6AF5-422D-9231-F796BA0CE0CF}"/>
    <cellStyle name="汇总 3 4 3 2 2" xfId="7131" xr:uid="{52FD9C2D-CE65-47AE-8421-7D01D86B0801}"/>
    <cellStyle name="汇总 3 4 3 2 3" xfId="8549" xr:uid="{DD594135-50AD-4F5A-ADB3-32E5DE0AE362}"/>
    <cellStyle name="汇总 3 4 3 2 4" xfId="10253" xr:uid="{CC1BD6E1-70DB-43BB-87BC-572E7E4A9786}"/>
    <cellStyle name="汇总 3 4 3 2 5" xfId="11749" xr:uid="{51B4E6AA-AA68-4BFC-8912-C0CBD5818461}"/>
    <cellStyle name="汇总 3 4 3 2 6" xfId="13226" xr:uid="{4B5EF94C-518A-46F5-A771-ACB9DFAC8AF5}"/>
    <cellStyle name="汇总 3 4 3 2 7" xfId="14896" xr:uid="{FEFA0DC5-515B-4B51-94B3-04F9637FB173}"/>
    <cellStyle name="汇总 3 4 3 2 8" xfId="16566" xr:uid="{3CFEF532-73BB-44CE-9F93-546C275F6CCB}"/>
    <cellStyle name="汇总 3 4 3 3" xfId="6367" xr:uid="{E0F5D12D-85B6-4AEC-B8C1-8626FB4E2452}"/>
    <cellStyle name="汇总 3 4 3 4" xfId="7611" xr:uid="{2485FC49-3F6D-4C7C-96AD-02CE7D7F3E76}"/>
    <cellStyle name="汇总 3 4 3 5" xfId="9299" xr:uid="{4E8EA183-BDDD-46A7-92AE-951CC430B9A7}"/>
    <cellStyle name="汇总 3 4 3 6" xfId="10994" xr:uid="{86578125-F189-4C33-AD80-497671154C39}"/>
    <cellStyle name="汇总 3 4 3 7" xfId="12290" xr:uid="{8726CACB-466C-4E1B-A648-D46B4B3DD738}"/>
    <cellStyle name="汇总 3 4 3 8" xfId="13942" xr:uid="{864FD06E-3FF6-42EA-B58C-78D026DBD479}"/>
    <cellStyle name="汇总 3 4 3 9" xfId="15630" xr:uid="{9A513ED5-E133-425E-87F5-CBA9121130B5}"/>
    <cellStyle name="汇总 3 4 4" xfId="6911" xr:uid="{BA6DFCEA-BD8B-40BE-BB97-C7AE453098BD}"/>
    <cellStyle name="汇总 3 5" xfId="3088" xr:uid="{6493D2B9-E156-4706-8C25-FD125B39AF53}"/>
    <cellStyle name="汇总 3 5 2" xfId="3968" xr:uid="{51EA07C1-15FB-41E8-9CD8-D3969397D557}"/>
    <cellStyle name="汇总 3 5 2 2" xfId="4825" xr:uid="{E572A6F0-E17F-488E-84AF-1E29B52D096B}"/>
    <cellStyle name="汇总 3 5 2 2 2" xfId="7320" xr:uid="{5850E096-F94F-4880-AE08-95979A39DD76}"/>
    <cellStyle name="汇总 3 5 2 2 3" xfId="8733" xr:uid="{A2A1DB25-B98B-4511-B4F6-47A3ADEB8608}"/>
    <cellStyle name="汇总 3 5 2 2 4" xfId="10442" xr:uid="{6D90F079-A783-4D02-A261-CB8C190CEC1C}"/>
    <cellStyle name="汇总 3 5 2 2 5" xfId="11938" xr:uid="{57D54952-6472-4319-8B20-54A5F064F999}"/>
    <cellStyle name="汇总 3 5 2 2 6" xfId="13410" xr:uid="{2E554E26-42FC-4B5A-972A-3FA184E7D994}"/>
    <cellStyle name="汇总 3 5 2 2 7" xfId="15085" xr:uid="{0C2A1694-3C69-4B5B-A524-78354758A421}"/>
    <cellStyle name="汇总 3 5 2 2 8" xfId="16750" xr:uid="{B43F7D91-89DB-4BB2-88DE-66283F00F91A}"/>
    <cellStyle name="汇总 3 5 2 3" xfId="6584" xr:uid="{0EBF6A34-2C6C-4603-9224-8E4FE92AF400}"/>
    <cellStyle name="汇总 3 5 2 4" xfId="7894" xr:uid="{793EA3BF-0CAA-40C1-B921-7C2D9341336F}"/>
    <cellStyle name="汇总 3 5 2 5" xfId="9587" xr:uid="{25F5E58F-CB64-45F1-A4FE-3A4D137BD7CA}"/>
    <cellStyle name="汇总 3 5 2 6" xfId="11212" xr:uid="{2FB7C5D3-AF00-47E0-8A73-8F5D5F54FE71}"/>
    <cellStyle name="汇总 3 5 2 7" xfId="12573" xr:uid="{FFB0BA6A-3EE5-4736-B3BB-F1E4D9C32B6C}"/>
    <cellStyle name="汇总 3 5 2 8" xfId="14230" xr:uid="{F5CC72A0-F839-42D2-93AA-7548ED592553}"/>
    <cellStyle name="汇总 3 5 2 9" xfId="15913" xr:uid="{4F72B326-F87C-46C8-86BA-415C212A74E2}"/>
    <cellStyle name="汇总 3 5 3" xfId="3530" xr:uid="{B02BF563-86A8-4E7F-A7CA-4091D2DEF62E}"/>
    <cellStyle name="汇总 3 5 3 2" xfId="4539" xr:uid="{8CB700F1-440F-4650-93E5-A6C4339048AC}"/>
    <cellStyle name="汇总 3 5 3 2 2" xfId="7034" xr:uid="{1CC68244-E8ED-4FC6-A8B2-68AA6F48F032}"/>
    <cellStyle name="汇总 3 5 3 2 3" xfId="8453" xr:uid="{7B5A214C-62EC-4A20-B44A-CB67C5668425}"/>
    <cellStyle name="汇总 3 5 3 2 4" xfId="10156" xr:uid="{7BC10857-72DE-4EC5-8F96-384DCA6A374B}"/>
    <cellStyle name="汇总 3 5 3 2 5" xfId="11652" xr:uid="{AB829D1B-4369-40B1-940C-F4B92D2DF2A1}"/>
    <cellStyle name="汇总 3 5 3 2 6" xfId="13130" xr:uid="{834CF3DC-600C-49D1-B2E3-54B0A3026447}"/>
    <cellStyle name="汇总 3 5 3 2 7" xfId="14799" xr:uid="{4F534FEF-427D-42FE-B2D1-40362AFD1966}"/>
    <cellStyle name="汇总 3 5 3 2 8" xfId="16470" xr:uid="{FD27ABA2-A2C1-494E-98E8-6277B75EDE91}"/>
    <cellStyle name="汇总 3 5 3 3" xfId="6253" xr:uid="{847AE849-B9CF-462C-A092-F882E2B035C3}"/>
    <cellStyle name="汇总 3 5 3 4" xfId="5086" xr:uid="{7FF2ECBF-88A6-417A-A02B-133A5D7F385E}"/>
    <cellStyle name="汇总 3 5 3 5" xfId="9149" xr:uid="{4185DC70-F8F6-48E7-8E8F-80C096A1E02B}"/>
    <cellStyle name="汇总 3 5 3 6" xfId="10883" xr:uid="{4365C3FA-48B3-4F46-BC30-D75D24F19CC1}"/>
    <cellStyle name="汇总 3 5 3 7" xfId="12141" xr:uid="{B2189184-28D1-4135-B0C2-E842B951B70B}"/>
    <cellStyle name="汇总 3 5 3 8" xfId="13792" xr:uid="{DF7D27AB-45B4-4CC9-9D4C-46E00A2C0C93}"/>
    <cellStyle name="汇总 3 5 3 9" xfId="15481" xr:uid="{112D92C6-FBAB-49EF-BAFC-DA1DB34BAD64}"/>
    <cellStyle name="汇总 3 5 4" xfId="5594" xr:uid="{5F67D8BC-EF85-438E-8B9F-76972C5F554A}"/>
    <cellStyle name="汇总 3 6" xfId="3108" xr:uid="{4429BEE3-2898-4579-B9E6-713A31ABC2FA}"/>
    <cellStyle name="汇总 3 6 10" xfId="6637" xr:uid="{DEFA6E80-A97B-45A1-92FD-9E0EC72BCA69}"/>
    <cellStyle name="汇总 3 6 2" xfId="3988" xr:uid="{0DF8ECB6-C1FE-4DF5-9A01-242C135F9D79}"/>
    <cellStyle name="汇总 3 6 2 2" xfId="4839" xr:uid="{88ADE7C2-9E3C-4055-BF9E-3B7067D0C883}"/>
    <cellStyle name="汇总 3 6 2 2 2" xfId="7334" xr:uid="{42D3E18A-A77D-4D74-AAB7-3E6862E20A33}"/>
    <cellStyle name="汇总 3 6 2 2 3" xfId="8747" xr:uid="{05342549-E55F-44FD-8B25-791109931053}"/>
    <cellStyle name="汇总 3 6 2 2 4" xfId="10456" xr:uid="{9DD8DFF3-4E1A-4C4E-84A3-9973F4C89031}"/>
    <cellStyle name="汇总 3 6 2 2 5" xfId="11952" xr:uid="{DBBC9E84-CFEF-4DB9-A257-57D7012F61D8}"/>
    <cellStyle name="汇总 3 6 2 2 6" xfId="13424" xr:uid="{F664A7F6-7393-4579-9984-73E8C43F67D3}"/>
    <cellStyle name="汇总 3 6 2 2 7" xfId="15099" xr:uid="{E2CACC75-F37A-4EB4-BED8-63D1007CAF44}"/>
    <cellStyle name="汇总 3 6 2 2 8" xfId="16764" xr:uid="{2A035DEA-5977-43C8-BEB0-FE8A3F33EBA4}"/>
    <cellStyle name="汇总 3 6 2 3" xfId="6599" xr:uid="{F1C149C1-15EA-40B0-ABA8-ACBD0518FA4B}"/>
    <cellStyle name="汇总 3 6 2 4" xfId="7914" xr:uid="{11A38D86-4FDB-4E4D-9322-5BB2C002CBD6}"/>
    <cellStyle name="汇总 3 6 2 5" xfId="9607" xr:uid="{24E5B0BD-DB17-4D6F-99C5-9189B76F301D}"/>
    <cellStyle name="汇总 3 6 2 6" xfId="11226" xr:uid="{7D972083-5209-4BEB-A602-BE2AF901DEF4}"/>
    <cellStyle name="汇总 3 6 2 7" xfId="12593" xr:uid="{9516DC95-A91B-465B-86C2-31F2D85F8962}"/>
    <cellStyle name="汇总 3 6 2 8" xfId="14250" xr:uid="{1283D7C4-26A1-4954-B9EF-9AD79CE624EF}"/>
    <cellStyle name="汇总 3 6 2 9" xfId="15933" xr:uid="{C0A4932D-23A1-44A2-B7CA-88958679DE74}"/>
    <cellStyle name="汇总 3 6 3" xfId="3550" xr:uid="{F75731C5-012C-40DC-9289-5FA07A40C47B}"/>
    <cellStyle name="汇总 3 6 3 2" xfId="4553" xr:uid="{B1CB81D9-E7C1-47BD-A8DC-CBBCA93BABD3}"/>
    <cellStyle name="汇总 3 6 3 2 2" xfId="7048" xr:uid="{AFB7B33D-AD4A-44F5-8777-779261FB3EA2}"/>
    <cellStyle name="汇总 3 6 3 2 3" xfId="8467" xr:uid="{8C4085DE-5887-4CF3-9179-ECA7C05DA542}"/>
    <cellStyle name="汇总 3 6 3 2 4" xfId="10170" xr:uid="{F23FAB53-80CD-4266-BC89-63817E0A4181}"/>
    <cellStyle name="汇总 3 6 3 2 5" xfId="11666" xr:uid="{8835ECA4-BB40-4569-BC08-9F2238995278}"/>
    <cellStyle name="汇总 3 6 3 2 6" xfId="13144" xr:uid="{922B366C-3C67-46DF-95A9-6A28547AF6B4}"/>
    <cellStyle name="汇总 3 6 3 2 7" xfId="14813" xr:uid="{C550C092-4B7A-4B93-A3DD-3C525425541A}"/>
    <cellStyle name="汇总 3 6 3 2 8" xfId="16484" xr:uid="{5978C6D2-3D89-46B0-9729-8E8B2A3C5A1E}"/>
    <cellStyle name="汇总 3 6 3 3" xfId="6269" xr:uid="{033414F4-4A9A-4326-9021-41C2CF76C668}"/>
    <cellStyle name="汇总 3 6 3 4" xfId="5124" xr:uid="{745CBBB4-56C2-409B-9366-60BA2D0B8266}"/>
    <cellStyle name="汇总 3 6 3 5" xfId="9169" xr:uid="{2E8A0EF4-BB46-4C2F-9C33-5E45130BDB85}"/>
    <cellStyle name="汇总 3 6 3 6" xfId="10899" xr:uid="{903029D5-8FAB-43A5-BDCD-E2967644F72F}"/>
    <cellStyle name="汇总 3 6 3 7" xfId="12161" xr:uid="{51CFB7CA-8BA7-4206-BDC6-1D348F9DAB29}"/>
    <cellStyle name="汇总 3 6 3 8" xfId="13812" xr:uid="{BE02DCE3-A789-4CC7-872F-6DF7C3DFC794}"/>
    <cellStyle name="汇总 3 6 3 9" xfId="15501" xr:uid="{E7C3C620-B0FD-4AAF-9966-BCE051D89995}"/>
    <cellStyle name="汇总 3 6 4" xfId="4326" xr:uid="{A83D4C11-0170-4BD9-93EA-998AEB3227DB}"/>
    <cellStyle name="汇总 3 6 4 2" xfId="6849" xr:uid="{BC72EDE2-F156-4F18-85B7-73F16B2A2E29}"/>
    <cellStyle name="汇总 3 6 4 3" xfId="8246" xr:uid="{30EB3A30-AC61-49CF-9F56-689DF0F6B0C4}"/>
    <cellStyle name="汇总 3 6 4 4" xfId="9943" xr:uid="{0A8B661A-A2DA-44B3-A1D3-478BD316F03C}"/>
    <cellStyle name="汇总 3 6 4 5" xfId="11468" xr:uid="{2B1FB640-C94D-42C3-8386-A07CE238D520}"/>
    <cellStyle name="汇总 3 6 4 6" xfId="12923" xr:uid="{9C85240B-59A1-465B-82BA-587CAF22C36C}"/>
    <cellStyle name="汇总 3 6 4 7" xfId="14586" xr:uid="{4BD142CB-C28C-4DC0-AE63-95FBE95A7052}"/>
    <cellStyle name="汇总 3 6 4 8" xfId="16263" xr:uid="{6891FB26-659F-4980-9B68-EF3DDF0CBB8B}"/>
    <cellStyle name="汇总 3 6 5" xfId="5973" xr:uid="{411212E4-2C36-4BEB-B61B-02FEE74DAEB8}"/>
    <cellStyle name="汇总 3 6 6" xfId="5630" xr:uid="{17294058-75BD-46B6-9988-25CD954901CF}"/>
    <cellStyle name="汇总 3 6 7" xfId="6794" xr:uid="{B34BE5E7-FCFA-4F4B-857C-DFC7E3668D6F}"/>
    <cellStyle name="汇总 3 6 8" xfId="5038" xr:uid="{F6279B1C-2B87-4C54-A4B7-5894B38DB2C6}"/>
    <cellStyle name="汇总 3 6 9" xfId="11068" xr:uid="{D45B3F9F-4E79-4DE6-9627-76F03EA6B058}"/>
    <cellStyle name="汇总 3 7" xfId="3235" xr:uid="{4B6D607F-1845-4CB0-B315-FDD652AD1E95}"/>
    <cellStyle name="汇总 3 7 10" xfId="15287" xr:uid="{2C27FCAF-1776-4A3D-89A3-C99EE51249FE}"/>
    <cellStyle name="汇总 3 7 2" xfId="4115" xr:uid="{D967797A-389B-4E12-9851-5ADD6D1DEB5B}"/>
    <cellStyle name="汇总 3 7 2 2" xfId="4921" xr:uid="{9854B585-7BE5-408D-9EFE-96B42F1B9809}"/>
    <cellStyle name="汇总 3 7 2 2 2" xfId="7416" xr:uid="{8FB923C5-A54D-47EC-B3BA-E1C52B28B735}"/>
    <cellStyle name="汇总 3 7 2 2 3" xfId="8828" xr:uid="{AC836904-1A86-4990-9A81-358CAE5B88CC}"/>
    <cellStyle name="汇总 3 7 2 2 4" xfId="10538" xr:uid="{37EB7AD5-6A10-46F7-8CFE-99A57DEA176D}"/>
    <cellStyle name="汇总 3 7 2 2 5" xfId="12034" xr:uid="{81F25A78-F2AC-4462-8164-C720D5C1743A}"/>
    <cellStyle name="汇总 3 7 2 2 6" xfId="13505" xr:uid="{263BA610-7354-4784-914B-3DC7C54A4CF5}"/>
    <cellStyle name="汇总 3 7 2 2 7" xfId="15181" xr:uid="{DE34CE13-76D1-40FD-9B96-332716B25B0B}"/>
    <cellStyle name="汇总 3 7 2 2 8" xfId="16845" xr:uid="{77AEEFB1-313C-4ACD-ACD4-1F7FC51DD5C2}"/>
    <cellStyle name="汇总 3 7 2 3" xfId="6691" xr:uid="{2467C5B9-ADDD-4B62-B01A-315CB51B8C43}"/>
    <cellStyle name="汇总 3 7 2 4" xfId="8040" xr:uid="{1E31D1F4-67E8-42A8-B128-5072302889DB}"/>
    <cellStyle name="汇总 3 7 2 5" xfId="9734" xr:uid="{8EDCEF9F-0DD5-4ECB-AE3D-C3915512DAD6}"/>
    <cellStyle name="汇总 3 7 2 6" xfId="11319" xr:uid="{F607194C-597B-416B-A74C-909CA3F20FE2}"/>
    <cellStyle name="汇总 3 7 2 7" xfId="12719" xr:uid="{75F9B566-6138-4156-8D57-343CBFB71FF8}"/>
    <cellStyle name="汇总 3 7 2 8" xfId="14377" xr:uid="{F820C83F-D6F4-4257-AFE1-516A3003DD51}"/>
    <cellStyle name="汇总 3 7 2 9" xfId="16059" xr:uid="{45F05A4E-B453-4807-AFB8-13C7EF647D60}"/>
    <cellStyle name="汇总 3 7 3" xfId="3677" xr:uid="{7E2E5EF1-7C7D-4818-AAEE-D1484E60C887}"/>
    <cellStyle name="汇总 3 7 3 2" xfId="4635" xr:uid="{18055565-51D0-47BE-AFCE-EF36EDDF3508}"/>
    <cellStyle name="汇总 3 7 3 2 2" xfId="7130" xr:uid="{0B74C43E-9C26-43A1-9933-45AB15BC49BD}"/>
    <cellStyle name="汇总 3 7 3 2 3" xfId="8548" xr:uid="{C01CD303-150B-4091-BAAE-A885ED1902AB}"/>
    <cellStyle name="汇总 3 7 3 2 4" xfId="10252" xr:uid="{D3DDC453-E1C9-457F-86FA-D27FA9F16E70}"/>
    <cellStyle name="汇总 3 7 3 2 5" xfId="11748" xr:uid="{0474F400-5909-4645-B2A6-5B81E52E78C6}"/>
    <cellStyle name="汇总 3 7 3 2 6" xfId="13225" xr:uid="{851F24C2-A856-4BFF-A9F8-4ECD86F9A6BA}"/>
    <cellStyle name="汇总 3 7 3 2 7" xfId="14895" xr:uid="{43EF2BA1-6FE6-48BF-BD52-4EE08C275128}"/>
    <cellStyle name="汇总 3 7 3 2 8" xfId="16565" xr:uid="{72AC9B22-E3D4-4D28-96AC-F5705B2F2E7E}"/>
    <cellStyle name="汇总 3 7 3 3" xfId="6366" xr:uid="{A8DF6502-1717-475A-9F65-D401EE2CD729}"/>
    <cellStyle name="汇总 3 7 3 4" xfId="7608" xr:uid="{CE954BAB-21AB-44EB-8C98-7219136B2A83}"/>
    <cellStyle name="汇总 3 7 3 5" xfId="9296" xr:uid="{0AF14708-4B30-4AB1-A45F-7ACCE0662C81}"/>
    <cellStyle name="汇总 3 7 3 6" xfId="10992" xr:uid="{691CDDDB-8B6C-4863-A413-512267E9CB0A}"/>
    <cellStyle name="汇总 3 7 3 7" xfId="12287" xr:uid="{EB0EB3F3-7A60-4388-9077-2A8D1EA35270}"/>
    <cellStyle name="汇总 3 7 3 8" xfId="13939" xr:uid="{E972F49C-F729-4AC9-9A93-DE254555B6AC}"/>
    <cellStyle name="汇总 3 7 3 9" xfId="15627" xr:uid="{F45DB5C5-2988-4F49-9F92-400921A33A01}"/>
    <cellStyle name="汇总 3 7 4" xfId="4384" xr:uid="{FC82E3FE-9D62-47FF-892B-6691265159F1}"/>
    <cellStyle name="汇总 3 7 4 2" xfId="6893" xr:uid="{5A9D6826-CB9F-431E-BE2E-E22CB3F78094}"/>
    <cellStyle name="汇总 3 7 4 3" xfId="8303" xr:uid="{562A6F1E-F44B-4E7E-A315-E761070FBBC1}"/>
    <cellStyle name="汇总 3 7 4 4" xfId="10001" xr:uid="{5E7889AA-949B-413A-8F43-54D603985A5D}"/>
    <cellStyle name="汇总 3 7 4 5" xfId="11512" xr:uid="{3CC5C444-1158-40C5-A3B3-68BAC659FEE3}"/>
    <cellStyle name="汇总 3 7 4 6" xfId="12980" xr:uid="{7DA6742D-8BBC-4E47-88C2-3673EB05A35B}"/>
    <cellStyle name="汇总 3 7 4 7" xfId="14644" xr:uid="{6A52F3B5-0545-4071-A550-55731B92CF92}"/>
    <cellStyle name="汇总 3 7 4 8" xfId="16320" xr:uid="{005D4B84-5975-4B23-985A-A968F949A8A5}"/>
    <cellStyle name="汇总 3 7 5" xfId="6057" xr:uid="{E2758FD0-C842-48A6-8889-632B343ECB46}"/>
    <cellStyle name="汇总 3 7 6" xfId="5581" xr:uid="{670D5E34-5C8A-4E8D-87B5-3C6DA6DEAFB9}"/>
    <cellStyle name="汇总 3 7 7" xfId="10699" xr:uid="{AA04F81A-3199-4560-95DB-C6F8EF73002D}"/>
    <cellStyle name="汇总 3 7 8" xfId="5296" xr:uid="{302DCD6C-1AAF-47BC-BE81-888DB124DA89}"/>
    <cellStyle name="汇总 3 7 9" xfId="10969" xr:uid="{B01DD388-5E11-46C2-8610-51F1C5647F06}"/>
    <cellStyle name="汇总 3 8" xfId="3213" xr:uid="{94531477-D901-49B6-9DE8-267D2E060650}"/>
    <cellStyle name="汇总 3 8 10" xfId="8192" xr:uid="{CBF2FE89-F049-4C8B-BA7C-DE0E668086D8}"/>
    <cellStyle name="汇总 3 8 2" xfId="4093" xr:uid="{CA95088B-9379-4C17-A563-8B2941B5FC38}"/>
    <cellStyle name="汇总 3 8 2 2" xfId="4907" xr:uid="{A4BF36F4-631A-4635-847E-3F7074BA8584}"/>
    <cellStyle name="汇总 3 8 2 2 2" xfId="7402" xr:uid="{65C529A0-6DA5-44D4-AE80-A9C8988931B4}"/>
    <cellStyle name="汇总 3 8 2 2 3" xfId="8814" xr:uid="{5D6D86DB-D3FD-412E-BA5F-930B0AD47E26}"/>
    <cellStyle name="汇总 3 8 2 2 4" xfId="10524" xr:uid="{02ADBAD6-C251-4399-8699-5425D520DE72}"/>
    <cellStyle name="汇总 3 8 2 2 5" xfId="12020" xr:uid="{31E6BCCC-35B3-4599-A350-3794D7A08893}"/>
    <cellStyle name="汇总 3 8 2 2 6" xfId="13491" xr:uid="{8E337895-DC81-4E06-8323-1E22FECFB011}"/>
    <cellStyle name="汇总 3 8 2 2 7" xfId="15167" xr:uid="{A1BFE86D-A43A-4DEA-B15B-0187A58F79B9}"/>
    <cellStyle name="汇总 3 8 2 2 8" xfId="16831" xr:uid="{90949F07-B4B2-4F99-A373-1CA4B27CEFB9}"/>
    <cellStyle name="汇总 3 8 2 3" xfId="6675" xr:uid="{520EDEF9-B47D-48F8-A5F9-F39D1C7FD465}"/>
    <cellStyle name="汇总 3 8 2 4" xfId="8018" xr:uid="{974E0349-C9F1-49CF-8381-F6F9DAC502B1}"/>
    <cellStyle name="汇总 3 8 2 5" xfId="9712" xr:uid="{D3EB3119-8EEB-4105-801C-17AFA07CAE5F}"/>
    <cellStyle name="汇总 3 8 2 6" xfId="11303" xr:uid="{BE37BF0F-E5B4-440F-BEEB-423DF4EB4266}"/>
    <cellStyle name="汇总 3 8 2 7" xfId="12697" xr:uid="{4AF11505-59B5-439C-B95D-F1BA2E60202B}"/>
    <cellStyle name="汇总 3 8 2 8" xfId="14355" xr:uid="{DD5FD733-1636-4A29-9FB0-22DC8D1DF2B0}"/>
    <cellStyle name="汇总 3 8 2 9" xfId="16037" xr:uid="{FDAEC41A-9BBA-4A86-8253-067203E599F2}"/>
    <cellStyle name="汇总 3 8 3" xfId="3655" xr:uid="{3069914F-797D-420A-A526-ABB1B290C431}"/>
    <cellStyle name="汇总 3 8 3 2" xfId="4621" xr:uid="{3FF03FB9-45B6-4F30-A9B5-FE8355DF5F17}"/>
    <cellStyle name="汇总 3 8 3 2 2" xfId="7116" xr:uid="{075A9A46-ADF0-4794-A38B-D77C670E83E0}"/>
    <cellStyle name="汇总 3 8 3 2 3" xfId="8534" xr:uid="{45443EE0-DB44-4467-A41D-F52520B01DC2}"/>
    <cellStyle name="汇总 3 8 3 2 4" xfId="10238" xr:uid="{24456953-E72C-4ACA-9828-822CCDF37D3A}"/>
    <cellStyle name="汇总 3 8 3 2 5" xfId="11734" xr:uid="{4878CDC0-B3E5-458B-B9F4-522FD4593627}"/>
    <cellStyle name="汇总 3 8 3 2 6" xfId="13211" xr:uid="{D5CD14A1-1209-4F23-BAF3-E86855427630}"/>
    <cellStyle name="汇总 3 8 3 2 7" xfId="14881" xr:uid="{B8CCF0A9-C94D-4BEF-A91D-05CF9F0011B3}"/>
    <cellStyle name="汇总 3 8 3 2 8" xfId="16551" xr:uid="{F61E909B-8194-449D-BB84-1C4ACE40E0D6}"/>
    <cellStyle name="汇总 3 8 3 3" xfId="6348" xr:uid="{85411440-5FAC-4124-AA0E-A94B5B479732}"/>
    <cellStyle name="汇总 3 8 3 4" xfId="7586" xr:uid="{1A7842F1-CF16-420B-827A-177EFC4A6A88}"/>
    <cellStyle name="汇总 3 8 3 5" xfId="9274" xr:uid="{E95B4A0A-FE93-4E9D-AA1B-1EE3ACB1ACA7}"/>
    <cellStyle name="汇总 3 8 3 6" xfId="10975" xr:uid="{F1782F13-C346-47DE-829F-24AC0D2860A6}"/>
    <cellStyle name="汇总 3 8 3 7" xfId="12265" xr:uid="{9689681F-FBC6-42A1-B7E6-64544B688074}"/>
    <cellStyle name="汇总 3 8 3 8" xfId="13917" xr:uid="{E57E6611-469E-492B-B2B9-76739FE810DD}"/>
    <cellStyle name="汇总 3 8 3 9" xfId="15605" xr:uid="{8A927354-8920-4DBE-9F31-49872D490B71}"/>
    <cellStyle name="汇总 3 8 4" xfId="4370" xr:uid="{9F864681-C2FA-443E-8AF5-9F234528E377}"/>
    <cellStyle name="汇总 3 8 4 2" xfId="6882" xr:uid="{474A2F07-2C0B-4C5D-BDD2-07CB643F4FED}"/>
    <cellStyle name="汇总 3 8 4 3" xfId="8289" xr:uid="{596626D3-83C8-4D6A-B342-8E7F12BC8265}"/>
    <cellStyle name="汇总 3 8 4 4" xfId="9987" xr:uid="{B4CD2820-E5A7-4CB9-830E-E2A11920C304}"/>
    <cellStyle name="汇总 3 8 4 5" xfId="11501" xr:uid="{FA1BF304-94B2-40AB-AA7D-4E29BE2BA083}"/>
    <cellStyle name="汇总 3 8 4 6" xfId="12966" xr:uid="{68952398-8F47-49DE-B5EF-96CA52512B9D}"/>
    <cellStyle name="汇总 3 8 4 7" xfId="14630" xr:uid="{BDC1EB47-22A0-4D47-9A75-6330D7F2E40E}"/>
    <cellStyle name="汇总 3 8 4 8" xfId="16306" xr:uid="{E7AC710A-0DED-4162-9C54-B612D8837785}"/>
    <cellStyle name="汇总 3 8 5" xfId="6037" xr:uid="{B17B0D75-881D-424F-A796-3962CF26FAC2}"/>
    <cellStyle name="汇总 3 8 6" xfId="5582" xr:uid="{1924D118-95C9-4B14-B966-078A21FD94AA}"/>
    <cellStyle name="汇总 3 8 7" xfId="10682" xr:uid="{A6A76B57-1846-454B-9850-F1242704BE8D}"/>
    <cellStyle name="汇总 3 8 8" xfId="5419" xr:uid="{6CBF4F61-537A-41D5-B92A-641C241538CE}"/>
    <cellStyle name="汇总 3 8 9" xfId="11360" xr:uid="{23CC6AA2-4B49-4EAE-A105-EF5F02BDDA53}"/>
    <cellStyle name="汇总 3 9" xfId="3849" xr:uid="{6B61172D-66FB-45C1-B876-4FC96A10AF19}"/>
    <cellStyle name="汇总 3 9 2" xfId="4745" xr:uid="{353B4AAA-0B03-457D-88DB-038C990DADE8}"/>
    <cellStyle name="汇总 3 9 2 2" xfId="7240" xr:uid="{7DF39A42-4430-457A-860B-CEA36CE89A67}"/>
    <cellStyle name="汇总 3 9 2 3" xfId="8656" xr:uid="{00812CF8-7868-421C-BD71-3C01CDCF619C}"/>
    <cellStyle name="汇总 3 9 2 4" xfId="10362" xr:uid="{782A1296-F24B-4BB3-A674-A5C4B7DD5E50}"/>
    <cellStyle name="汇总 3 9 2 5" xfId="11858" xr:uid="{6D805479-B131-45DB-843D-759A1782B357}"/>
    <cellStyle name="汇总 3 9 2 6" xfId="13333" xr:uid="{42702EE2-CD78-4E02-9F7C-E42285239E66}"/>
    <cellStyle name="汇总 3 9 2 7" xfId="15005" xr:uid="{23A8494B-A6A7-4A91-BDEC-B85A6334E8EE}"/>
    <cellStyle name="汇总 3 9 2 8" xfId="16673" xr:uid="{4FB79F74-3F77-43B1-8101-6878F947AB60}"/>
    <cellStyle name="汇总 3 9 3" xfId="6492" xr:uid="{EB7A7EED-9F1C-4B1D-BBA4-A12801F89FE9}"/>
    <cellStyle name="汇总 3 9 4" xfId="7778" xr:uid="{1ECD561C-535E-4774-94D0-3A8E86A2348B}"/>
    <cellStyle name="汇总 3 9 5" xfId="9468" xr:uid="{5862DCAF-78B9-4F4F-8D66-3B7718270FD3}"/>
    <cellStyle name="汇总 3 9 6" xfId="11122" xr:uid="{3A6FFD42-DC31-42AD-B3BC-7D27EAE7076C}"/>
    <cellStyle name="汇总 3 9 7" xfId="12457" xr:uid="{841526F8-0B53-4EBF-8634-44EC3584EAA9}"/>
    <cellStyle name="汇总 3 9 8" xfId="14111" xr:uid="{61B7112C-081A-4CA8-A8DE-1764D68B24F6}"/>
    <cellStyle name="汇总 3 9 9" xfId="15797" xr:uid="{FEAB1E73-4F82-41DF-8E82-39DE7426B2C9}"/>
    <cellStyle name="汇总 4" xfId="3100" xr:uid="{000C14F4-5B79-4A02-A5ED-D0B0708C4F5A}"/>
    <cellStyle name="汇总 4 2" xfId="3980" xr:uid="{6BCFEC33-8B20-4A78-AA76-52323172953D}"/>
    <cellStyle name="汇总 4 2 2" xfId="4833" xr:uid="{771495E7-4695-4BDA-9CAA-F5FA0A7675DE}"/>
    <cellStyle name="汇总 4 2 2 2" xfId="7328" xr:uid="{6E7063AC-E3AC-4D78-86DF-07F700A68A3E}"/>
    <cellStyle name="汇总 4 2 2 3" xfId="8741" xr:uid="{81A90F11-BC9C-4B19-B08F-8F76E7B0D60F}"/>
    <cellStyle name="汇总 4 2 2 4" xfId="10450" xr:uid="{3456DE0E-E395-443F-A706-3158FBC13DF8}"/>
    <cellStyle name="汇总 4 2 2 5" xfId="11946" xr:uid="{367F2BB1-6456-449A-AA66-3315A31A751A}"/>
    <cellStyle name="汇总 4 2 2 6" xfId="13418" xr:uid="{A5C0B6AE-24ED-4A0B-9C32-DF80B1E43819}"/>
    <cellStyle name="汇总 4 2 2 7" xfId="15093" xr:uid="{29113774-7E36-4C78-987B-786C7BC9FA34}"/>
    <cellStyle name="汇总 4 2 2 8" xfId="16758" xr:uid="{CEE9F852-BCD8-4FC6-B583-33EE76ED37BD}"/>
    <cellStyle name="汇总 4 2 3" xfId="6593" xr:uid="{125E74C9-9844-4BF2-9489-0FC556A8C078}"/>
    <cellStyle name="汇总 4 2 4" xfId="7906" xr:uid="{21E78CC8-392E-492A-8D07-09F666F97F57}"/>
    <cellStyle name="汇总 4 2 5" xfId="9599" xr:uid="{0ACCB469-DF40-4F0F-BE2B-2354B87BB97B}"/>
    <cellStyle name="汇总 4 2 6" xfId="11220" xr:uid="{678A6BCB-F2DB-4C9E-B3B1-817BF0B7C8D7}"/>
    <cellStyle name="汇总 4 2 7" xfId="12585" xr:uid="{7D6894C2-9AED-4B19-858B-3AA6C1E8599C}"/>
    <cellStyle name="汇总 4 2 8" xfId="14242" xr:uid="{3D2DF821-24C2-47D4-A0AC-902EC867A05B}"/>
    <cellStyle name="汇总 4 2 9" xfId="15925" xr:uid="{373D14D9-6104-4E5C-9299-B2B4E426859B}"/>
    <cellStyle name="汇总 4 3" xfId="3542" xr:uid="{1396DDA8-E077-4AF4-BB67-7686E01CFF4D}"/>
    <cellStyle name="汇总 4 3 2" xfId="4547" xr:uid="{C5A9C0C0-5BAC-44C9-A5AD-3230F3F77E59}"/>
    <cellStyle name="汇总 4 3 2 2" xfId="7042" xr:uid="{D0AA0FA4-E374-48CB-ABAC-45B168D5CFDF}"/>
    <cellStyle name="汇总 4 3 2 3" xfId="8461" xr:uid="{0EB2D418-F0AC-4447-BCF2-92030724EEF9}"/>
    <cellStyle name="汇总 4 3 2 4" xfId="10164" xr:uid="{3D1D2320-47F5-4177-98F2-FE4776BAFE4C}"/>
    <cellStyle name="汇总 4 3 2 5" xfId="11660" xr:uid="{0785A5D7-2B32-4DCE-90BD-BE86BF1A41A1}"/>
    <cellStyle name="汇总 4 3 2 6" xfId="13138" xr:uid="{4FAE55AA-83BF-43F6-BDC2-516DB2517603}"/>
    <cellStyle name="汇总 4 3 2 7" xfId="14807" xr:uid="{9D41AEB0-2A3B-4E6F-974E-6B07D6F1EA7E}"/>
    <cellStyle name="汇总 4 3 2 8" xfId="16478" xr:uid="{909DC86F-A2E7-47EC-9118-C88D9136C52B}"/>
    <cellStyle name="汇总 4 3 3" xfId="6262" xr:uid="{DB7885EF-487B-4FB4-8148-C2540FF09F90}"/>
    <cellStyle name="汇总 4 3 4" xfId="5093" xr:uid="{75549A0B-FE52-4B43-8D1F-16F0D7129E98}"/>
    <cellStyle name="汇总 4 3 5" xfId="9161" xr:uid="{539E79C3-459E-4A85-B1C0-8D8A98BADA26}"/>
    <cellStyle name="汇总 4 3 6" xfId="10893" xr:uid="{A48F1208-FB11-47CA-8570-D4FD54D47864}"/>
    <cellStyle name="汇总 4 3 7" xfId="12153" xr:uid="{228E594B-1C47-4675-8598-2F2767BB2D2E}"/>
    <cellStyle name="汇总 4 3 8" xfId="13804" xr:uid="{B66E927A-E86A-4793-9EB4-19A89E03CC5B}"/>
    <cellStyle name="汇总 4 3 9" xfId="15493" xr:uid="{6C1B1B5A-5F50-4D7F-9817-40D9A144E05E}"/>
    <cellStyle name="汇总 4 4" xfId="5628" xr:uid="{FB4E30C3-7C46-40D1-B8EB-C40C3C9AADE2}"/>
    <cellStyle name="汇总 5" xfId="3208" xr:uid="{9EEF6518-E50E-44DD-B84A-A8D1569C4102}"/>
    <cellStyle name="汇总 5 10" xfId="11277" xr:uid="{792FE66A-2D3B-4BEB-96A8-E5CFFB7D338C}"/>
    <cellStyle name="汇总 5 2" xfId="4088" xr:uid="{26E5E609-2E54-4EA7-8D31-9F75A98ACC8F}"/>
    <cellStyle name="汇总 5 2 2" xfId="4904" xr:uid="{95B97C68-0566-4042-B19F-12D01505F80D}"/>
    <cellStyle name="汇总 5 2 2 2" xfId="7399" xr:uid="{C3C6C78A-7D6D-4C14-8F03-BC5369DDEDE8}"/>
    <cellStyle name="汇总 5 2 2 3" xfId="8811" xr:uid="{0FE9CA16-1B64-4F72-94AE-F2069750DBD1}"/>
    <cellStyle name="汇总 5 2 2 4" xfId="10521" xr:uid="{1425C3B5-FFDE-4F06-9F8E-D0A548F3C65B}"/>
    <cellStyle name="汇总 5 2 2 5" xfId="12017" xr:uid="{99ED4215-A6B9-452F-9E8B-5748F56880F9}"/>
    <cellStyle name="汇总 5 2 2 6" xfId="13488" xr:uid="{81239B27-1BFF-4345-86BB-460A0636A157}"/>
    <cellStyle name="汇总 5 2 2 7" xfId="15164" xr:uid="{4D6C56A7-ACAF-4665-B5D1-668A36AFAFF2}"/>
    <cellStyle name="汇总 5 2 2 8" xfId="16828" xr:uid="{0689C666-706D-49DB-802F-7E67B7995222}"/>
    <cellStyle name="汇总 5 2 3" xfId="6672" xr:uid="{8B7D1BDB-76BA-48DC-BEEF-D18029643D04}"/>
    <cellStyle name="汇总 5 2 4" xfId="8013" xr:uid="{2B9216A1-B77B-4DA3-981E-3662CBD6A791}"/>
    <cellStyle name="汇总 5 2 5" xfId="9707" xr:uid="{A53AFB2F-42D5-46E3-9B3F-B25CA4B37FF1}"/>
    <cellStyle name="汇总 5 2 6" xfId="11300" xr:uid="{B2B8B84B-7A43-41C6-A237-2E8DB302345A}"/>
    <cellStyle name="汇总 5 2 7" xfId="12692" xr:uid="{6DE7CA13-1437-44D5-A038-F189B2560E0D}"/>
    <cellStyle name="汇总 5 2 8" xfId="14350" xr:uid="{DB423116-1735-459E-B366-832C5A6E28E2}"/>
    <cellStyle name="汇总 5 2 9" xfId="16032" xr:uid="{7281E053-2B0B-4D91-8B07-E725E7639A5F}"/>
    <cellStyle name="汇总 5 3" xfId="3650" xr:uid="{2F54633F-CC02-4F61-AD4B-91A2B98E3CF0}"/>
    <cellStyle name="汇总 5 3 2" xfId="4618" xr:uid="{EB09CB5F-AE19-473E-B25D-494076D848D2}"/>
    <cellStyle name="汇总 5 3 2 2" xfId="7113" xr:uid="{C6266A96-BA63-45BE-A7C6-1EBF6F59FAB2}"/>
    <cellStyle name="汇总 5 3 2 3" xfId="8531" xr:uid="{8515FE1F-341B-4743-802E-F51E4463BE3F}"/>
    <cellStyle name="汇总 5 3 2 4" xfId="10235" xr:uid="{E622B13E-940C-44BC-80F5-A10174F32953}"/>
    <cellStyle name="汇总 5 3 2 5" xfId="11731" xr:uid="{4859D1EB-F2F8-4C3A-BDDE-257D978EB791}"/>
    <cellStyle name="汇总 5 3 2 6" xfId="13208" xr:uid="{BA579AE2-0AB5-4296-AE21-9DA2DD79D690}"/>
    <cellStyle name="汇总 5 3 2 7" xfId="14878" xr:uid="{5640D5F5-2453-4474-AC11-74931D2DFF9D}"/>
    <cellStyle name="汇总 5 3 2 8" xfId="16548" xr:uid="{BC83E5ED-0894-4F5B-8CE6-49AF02B551D8}"/>
    <cellStyle name="汇总 5 3 3" xfId="6345" xr:uid="{54E5B22F-8ED1-4032-BAFB-66A52241ECD8}"/>
    <cellStyle name="汇总 5 3 4" xfId="7581" xr:uid="{5786F9B7-BCA2-47F1-A79F-1D00142D2D63}"/>
    <cellStyle name="汇总 5 3 5" xfId="9269" xr:uid="{B3447474-392A-461C-B771-ECDFD0D29EC2}"/>
    <cellStyle name="汇总 5 3 6" xfId="10972" xr:uid="{E54730C2-30EF-42E8-AA82-564A5090FDE9}"/>
    <cellStyle name="汇总 5 3 7" xfId="12260" xr:uid="{94DB8EE2-F175-4305-88E1-4DA16AA3BF6A}"/>
    <cellStyle name="汇总 5 3 8" xfId="13912" xr:uid="{B980DAB1-9C74-4EC6-A6A0-FFFF7AF5F986}"/>
    <cellStyle name="汇总 5 3 9" xfId="15600" xr:uid="{F9E514FD-31EE-4A2F-A2B7-DBE0A866BF63}"/>
    <cellStyle name="汇总 5 4" xfId="4366" xr:uid="{B33C0E96-0E35-4B46-B022-E1217DDF0555}"/>
    <cellStyle name="汇总 5 4 2" xfId="6880" xr:uid="{0CD973D9-EC22-4B01-8976-05284C5827E2}"/>
    <cellStyle name="汇总 5 4 3" xfId="8285" xr:uid="{0E70864A-36C3-4EEE-AEFE-BC5317296A1D}"/>
    <cellStyle name="汇总 5 4 4" xfId="9983" xr:uid="{EFCDF5CA-21E9-4FC3-8CB6-AF6C1B698619}"/>
    <cellStyle name="汇总 5 4 5" xfId="11499" xr:uid="{63F2E77F-6F62-4ED7-83C0-C3269E75092E}"/>
    <cellStyle name="汇总 5 4 6" xfId="12962" xr:uid="{11E130D4-2F70-4A17-B06D-31A64E42DDAB}"/>
    <cellStyle name="汇总 5 4 7" xfId="14626" xr:uid="{8F45CEBA-9571-48A7-9ABC-93E761C5D36E}"/>
    <cellStyle name="汇总 5 4 8" xfId="16302" xr:uid="{951BEF91-7905-41BB-BCE1-019A3FC58C26}"/>
    <cellStyle name="汇总 5 5" xfId="6033" xr:uid="{A5C6171B-37C3-4E63-AF12-FF94D1F45BD3}"/>
    <cellStyle name="汇总 5 6" xfId="5229" xr:uid="{E7C07E0C-7C2D-42CB-B8F2-551B70883F1D}"/>
    <cellStyle name="汇总 5 7" xfId="10678" xr:uid="{EA09B6A4-0D01-47B1-99CA-324CEFC343B0}"/>
    <cellStyle name="汇总 5 8" xfId="5558" xr:uid="{36AA6EB3-F6B8-4420-BC0F-85B1FCED48FC}"/>
    <cellStyle name="汇总 5 9" xfId="11475" xr:uid="{1602F210-C6AC-4BF9-A9B1-526A6097938F}"/>
    <cellStyle name="汇总 6" xfId="3035" xr:uid="{2D8CB865-B36C-4BDC-8110-BEDD6AA1698B}"/>
    <cellStyle name="汇总 6 10" xfId="10848" xr:uid="{D23272F2-CD12-433B-B3FB-24DFA2F4670C}"/>
    <cellStyle name="汇总 6 2" xfId="3915" xr:uid="{4367C4F3-B4F8-4463-8AC8-0827A85B47B9}"/>
    <cellStyle name="汇总 6 2 2" xfId="4789" xr:uid="{77FC2640-81C1-402D-97CE-5BE9F0C496A2}"/>
    <cellStyle name="汇总 6 2 2 2" xfId="7284" xr:uid="{A2CBFAB5-9893-4DEC-9F41-436FFA2CB557}"/>
    <cellStyle name="汇总 6 2 2 3" xfId="8699" xr:uid="{FBDB122F-5918-4A59-9BFE-A2ED375A0252}"/>
    <cellStyle name="汇总 6 2 2 4" xfId="10406" xr:uid="{C3EDCC1E-0F49-42D1-B5FB-EEA029B26F93}"/>
    <cellStyle name="汇总 6 2 2 5" xfId="11902" xr:uid="{C83DD7CD-A061-409F-A296-F97405D69FB9}"/>
    <cellStyle name="汇总 6 2 2 6" xfId="13376" xr:uid="{DECAA27D-3B46-4F82-B72C-0F58F0C83E05}"/>
    <cellStyle name="汇总 6 2 2 7" xfId="15049" xr:uid="{B74309F7-590A-42F0-89B0-2449AAEA03C4}"/>
    <cellStyle name="汇总 6 2 2 8" xfId="16716" xr:uid="{E541D1DA-D0CD-426D-8CBC-10EB887A205E}"/>
    <cellStyle name="汇总 6 2 3" xfId="6543" xr:uid="{137B2B05-5054-4EA6-BABD-9CEEC6A82440}"/>
    <cellStyle name="汇总 6 2 4" xfId="7843" xr:uid="{8DB4A867-181A-4DCE-977B-A708485B2696}"/>
    <cellStyle name="汇总 6 2 5" xfId="9534" xr:uid="{51241808-A27C-4F11-8D39-55D04BEFAE5E}"/>
    <cellStyle name="汇总 6 2 6" xfId="11174" xr:uid="{CB4F524C-EF29-45C5-BB5C-A969EEE4C3BD}"/>
    <cellStyle name="汇总 6 2 7" xfId="12522" xr:uid="{1F7E7ED3-06D7-4E8C-8D57-FBD2720CA4E7}"/>
    <cellStyle name="汇总 6 2 8" xfId="14177" xr:uid="{3CD6BC0E-A046-43FF-B67C-3FB1002507F6}"/>
    <cellStyle name="汇总 6 2 9" xfId="15862" xr:uid="{4FAF7AD7-9575-4DD8-9EC5-7D3C190E5C12}"/>
    <cellStyle name="汇总 6 3" xfId="3477" xr:uid="{A53668CD-7C3C-4493-911D-B93909A7D86B}"/>
    <cellStyle name="汇总 6 3 2" xfId="4503" xr:uid="{923848D2-4AFA-4553-8185-A66F02EABB98}"/>
    <cellStyle name="汇总 6 3 2 2" xfId="6998" xr:uid="{F1F8D745-50D6-4CDC-A578-6BA9482502E4}"/>
    <cellStyle name="汇总 6 3 2 3" xfId="8419" xr:uid="{AB2A8DA9-E72A-4E2E-8B3B-7E313863C94E}"/>
    <cellStyle name="汇总 6 3 2 4" xfId="10120" xr:uid="{48D47497-4ED1-4BC6-832B-B0EB06C499C4}"/>
    <cellStyle name="汇总 6 3 2 5" xfId="11616" xr:uid="{5949A0A9-9061-4E4B-BAA4-A8A5ACB1B259}"/>
    <cellStyle name="汇总 6 3 2 6" xfId="13096" xr:uid="{CDA1E8E8-6019-439D-B39E-649FFEE4FA02}"/>
    <cellStyle name="汇总 6 3 2 7" xfId="14763" xr:uid="{3A3C158A-BAA0-48B6-8C1A-CD8DE1B828F5}"/>
    <cellStyle name="汇总 6 3 2 8" xfId="16436" xr:uid="{DEFAAC2F-9460-4A20-9214-37284154E442}"/>
    <cellStyle name="汇总 6 3 3" xfId="6211" xr:uid="{86EAB17C-3F7E-407B-BD50-05359A0F5741}"/>
    <cellStyle name="汇总 6 3 4" xfId="5068" xr:uid="{5BC82D01-F1CE-4548-9F08-57ADF09DA2B9}"/>
    <cellStyle name="汇总 6 3 5" xfId="9096" xr:uid="{489E84D6-7DC0-4B63-8309-A43EE32C81EB}"/>
    <cellStyle name="汇总 6 3 6" xfId="10845" xr:uid="{EF8983C9-272B-4274-91F0-220A31DD517B}"/>
    <cellStyle name="汇总 6 3 7" xfId="5341" xr:uid="{7554852F-0B67-4326-A920-3EAC11389B15}"/>
    <cellStyle name="汇总 6 3 8" xfId="13739" xr:uid="{A01B8295-2762-45BF-A23B-CF7DB7940935}"/>
    <cellStyle name="汇总 6 3 9" xfId="15430" xr:uid="{009D33A9-9D6F-49F8-B6FC-4A085061B81A}"/>
    <cellStyle name="汇总 6 4" xfId="4286" xr:uid="{9A7D4B65-3627-484E-82F5-40D560BCBD32}"/>
    <cellStyle name="汇总 6 4 2" xfId="6816" xr:uid="{06CD31E9-D8EA-4DBD-A8FF-B9728CE4925A}"/>
    <cellStyle name="汇总 6 4 3" xfId="8208" xr:uid="{71AC92F9-7154-45FB-B057-42C9AE01203E}"/>
    <cellStyle name="汇总 6 4 4" xfId="9903" xr:uid="{47CB3E78-1494-42CB-A5E5-4F883171A085}"/>
    <cellStyle name="汇总 6 4 5" xfId="11436" xr:uid="{615F0722-07E7-4048-BEC8-D9EE34D75EDF}"/>
    <cellStyle name="汇总 6 4 6" xfId="12885" xr:uid="{288A5945-C0CB-40CF-99AF-A520CADA2DBC}"/>
    <cellStyle name="汇总 6 4 7" xfId="14546" xr:uid="{35CC53F9-B252-4453-BDEE-75C767CB1521}"/>
    <cellStyle name="汇总 6 4 8" xfId="16225" xr:uid="{99336DC2-1AAB-42BB-ADB3-8B4A6A86B0DC}"/>
    <cellStyle name="汇总 6 5" xfId="5920" xr:uid="{ED98A1EF-F447-4EF8-98C5-2D9C3151052A}"/>
    <cellStyle name="汇总 6 6" xfId="5258" xr:uid="{DFE024A8-32C1-425A-B7AB-7265EC1CBEF2}"/>
    <cellStyle name="汇总 6 7" xfId="5807" xr:uid="{FF44B29B-1F25-4492-8918-7042B35B4EE7}"/>
    <cellStyle name="汇总 6 8" xfId="5506" xr:uid="{2F2542FE-D83C-45A5-9E5E-BB396C79B0EA}"/>
    <cellStyle name="汇总 6 9" xfId="5368" xr:uid="{4B5BEE69-6D85-4AAD-9328-DE1826D63DE9}"/>
    <cellStyle name="汇总 7" xfId="3831" xr:uid="{45DE91ED-9ABC-4307-A575-7A2D118DD583}"/>
    <cellStyle name="汇总 7 2" xfId="4731" xr:uid="{80CC4BB7-C352-4BDE-B702-832220FEAD19}"/>
    <cellStyle name="汇总 7 2 2" xfId="7226" xr:uid="{6A78913D-864E-4C98-B331-336B038F1FCF}"/>
    <cellStyle name="汇总 7 2 3" xfId="8642" xr:uid="{607ED2D4-F893-402E-88EF-FDC27D56AC80}"/>
    <cellStyle name="汇总 7 2 4" xfId="10348" xr:uid="{B4445C01-0FD3-4E03-B480-5D7E297C189C}"/>
    <cellStyle name="汇总 7 2 5" xfId="11844" xr:uid="{D8DE9ACA-85FA-47A2-9A8C-0BDEF9FC63C8}"/>
    <cellStyle name="汇总 7 2 6" xfId="13319" xr:uid="{61756995-5353-4AF7-9A28-7FCAA16CF955}"/>
    <cellStyle name="汇总 7 2 7" xfId="14991" xr:uid="{443BCA8E-4D3E-4D7F-8D28-F82FB55309B3}"/>
    <cellStyle name="汇总 7 2 8" xfId="16659" xr:uid="{0FC69CBE-03D8-4350-BDAC-080F152F28A4}"/>
    <cellStyle name="汇总 7 3" xfId="6477" xr:uid="{EB0A5197-C96A-446E-AF87-1D1AB481D7F1}"/>
    <cellStyle name="汇总 7 4" xfId="7760" xr:uid="{FDACFF4D-EBEA-402C-AA8D-1D42D9529EBE}"/>
    <cellStyle name="汇总 7 5" xfId="9450" xr:uid="{CA6C395F-BD12-4AC3-80BC-DFCC688D8765}"/>
    <cellStyle name="汇总 7 6" xfId="11108" xr:uid="{6F3F8571-0A0D-42A6-B900-8C393A0AD7AD}"/>
    <cellStyle name="汇总 7 7" xfId="12439" xr:uid="{0E53A338-C8E6-4AAF-841C-841B8CFC7EB9}"/>
    <cellStyle name="汇总 7 8" xfId="14093" xr:uid="{C8ACB665-412B-4AC2-A2E8-1779B197A00A}"/>
    <cellStyle name="汇总 7 9" xfId="15779" xr:uid="{82E0DA4A-C005-4ACA-A3C6-2B668DB40753}"/>
    <cellStyle name="汇总 8" xfId="3394" xr:uid="{729BAF33-21B7-4DE6-9B65-5C57C529B44B}"/>
    <cellStyle name="汇总 8 2" xfId="4446" xr:uid="{FC51355B-542E-4F58-9548-621AE8EED32E}"/>
    <cellStyle name="汇总 8 2 2" xfId="6941" xr:uid="{D02A8B1C-EAAC-4134-9C1C-E5F8139385F3}"/>
    <cellStyle name="汇总 8 2 3" xfId="8362" xr:uid="{3C1562DE-752F-428D-9AB5-0E02BE840BD3}"/>
    <cellStyle name="汇总 8 2 4" xfId="10063" xr:uid="{3942F105-06D1-4954-A5D6-BD329596AA1F}"/>
    <cellStyle name="汇总 8 2 5" xfId="11559" xr:uid="{CF3076B5-057F-4EFB-A459-4E79634EA623}"/>
    <cellStyle name="汇总 8 2 6" xfId="13039" xr:uid="{9F238BD6-3D5B-4C51-B70F-D1877F964E0B}"/>
    <cellStyle name="汇总 8 2 7" xfId="14706" xr:uid="{1F8E4B98-200B-4B2C-9D07-6627FE86E344}"/>
    <cellStyle name="汇总 8 2 8" xfId="16379" xr:uid="{B836BE71-D43B-480F-B00B-63B0089B1597}"/>
    <cellStyle name="汇总 8 3" xfId="6148" xr:uid="{CD0FA6FF-C093-40B5-B835-48B4D3455C6D}"/>
    <cellStyle name="汇总 8 4" xfId="5966" xr:uid="{E61B4B40-97D6-45BE-B2D4-562940867E47}"/>
    <cellStyle name="汇总 8 5" xfId="9013" xr:uid="{D2C56519-E49D-4AE2-9B41-59B20B27168A}"/>
    <cellStyle name="汇总 8 6" xfId="10780" xr:uid="{A96AA4CD-E0AB-44DC-B569-734C14E3C5D4}"/>
    <cellStyle name="汇总 8 7" xfId="5528" xr:uid="{D7B0A9DE-AF5A-4DD3-A4D5-8B416F3876EE}"/>
    <cellStyle name="汇总 8 8" xfId="13656" xr:uid="{F0E21772-34B4-4116-B567-811845EF4F0C}"/>
    <cellStyle name="汇总 8 9" xfId="15347" xr:uid="{78768B1E-80F7-4113-9398-A1F274AF1126}"/>
    <cellStyle name="汇总 9" xfId="5239" xr:uid="{917ACAB3-1163-4D3B-A2DA-CAB2627F8685}"/>
    <cellStyle name="注释" xfId="234" xr:uid="{2A184A5A-EEF4-4EAA-A456-4665CE7EC7B9}"/>
    <cellStyle name="注释 10" xfId="5266" xr:uid="{8E208DEA-14BA-482A-BD65-6F90437D8589}"/>
    <cellStyle name="注释 11" xfId="17337" xr:uid="{8CB43DCF-87AA-4333-BB4F-BCBA53C8D16F}"/>
    <cellStyle name="注释 2" xfId="2986" xr:uid="{75F157F1-BC05-42CF-BAC5-2E48932AF4C5}"/>
    <cellStyle name="注释 2 10" xfId="3431" xr:uid="{A51B5F2C-0F3B-4E7A-81A2-DB4B98ABA99D}"/>
    <cellStyle name="注释 2 10 2" xfId="4475" xr:uid="{536BA752-D854-4436-AF45-8D9CFC7A9941}"/>
    <cellStyle name="注释 2 10 2 2" xfId="6970" xr:uid="{9A663329-F2A2-4360-B9A4-493958517F97}"/>
    <cellStyle name="注释 2 10 2 3" xfId="8391" xr:uid="{B0789742-5734-451D-8F91-3930ECB0B5D5}"/>
    <cellStyle name="注释 2 10 2 4" xfId="10092" xr:uid="{E0677913-E4E6-4856-8CC6-B2DCD5DE8122}"/>
    <cellStyle name="注释 2 10 2 5" xfId="11588" xr:uid="{B6592A50-3382-4E9D-9A06-82DF2A4AFB8B}"/>
    <cellStyle name="注释 2 10 2 6" xfId="13068" xr:uid="{A03FF8C2-A683-476C-9655-F3EEF2B2CA8D}"/>
    <cellStyle name="注释 2 10 2 7" xfId="14735" xr:uid="{33C547BC-9720-46AD-9F04-3239A5F9D592}"/>
    <cellStyle name="注释 2 10 2 8" xfId="16408" xr:uid="{EC9F766A-6338-4CC5-BE2E-46E1A36E91A3}"/>
    <cellStyle name="注释 2 10 3" xfId="6178" xr:uid="{1AF87E6B-0691-432B-8A27-792A561BC8D8}"/>
    <cellStyle name="注释 2 10 4" xfId="5209" xr:uid="{0798671E-B281-46D8-A636-4A2A3A865DDF}"/>
    <cellStyle name="注释 2 10 5" xfId="9050" xr:uid="{2B81BE44-B35E-4B55-B697-4493127B3768}"/>
    <cellStyle name="注释 2 10 6" xfId="10812" xr:uid="{70708FCB-1123-4DB7-A186-386892E87908}"/>
    <cellStyle name="注释 2 10 7" xfId="5324" xr:uid="{25E5413A-0144-4033-8383-7981FF057150}"/>
    <cellStyle name="注释 2 10 8" xfId="13693" xr:uid="{51E3B3AD-E141-4652-83FF-F2C8E15E59DD}"/>
    <cellStyle name="注释 2 10 9" xfId="15384" xr:uid="{6249F503-4CAD-4366-BA82-0D9753C142A1}"/>
    <cellStyle name="注释 2 11" xfId="5842" xr:uid="{A921DE0F-5C0C-4FCB-91D5-156D57C19DFA}"/>
    <cellStyle name="注释 2 12" xfId="6102" xr:uid="{A2AF900F-712B-4F74-9BDF-D22F152A23FF}"/>
    <cellStyle name="注释 2 2" xfId="3272" xr:uid="{82215DCD-E30A-42C6-B18A-B3E1C265FB39}"/>
    <cellStyle name="注释 2 2 2" xfId="4152" xr:uid="{31409903-884E-4838-B9A8-233F97CF1003}"/>
    <cellStyle name="注释 2 2 2 2" xfId="4946" xr:uid="{8F1154C0-2B96-47F5-A921-46BFD15EF447}"/>
    <cellStyle name="注释 2 2 2 2 2" xfId="7441" xr:uid="{28584F33-5DCC-4183-AE41-C1F6CC779CAC}"/>
    <cellStyle name="注释 2 2 2 2 3" xfId="8853" xr:uid="{81503AA7-9202-44F5-A84A-4BEA172F86A2}"/>
    <cellStyle name="注释 2 2 2 2 4" xfId="10563" xr:uid="{274A18C1-9F8B-42D6-B717-269D4C4E0361}"/>
    <cellStyle name="注释 2 2 2 2 5" xfId="12059" xr:uid="{5C6C9739-B3D5-48FA-9FCA-0A8CDABFBD24}"/>
    <cellStyle name="注释 2 2 2 2 6" xfId="13530" xr:uid="{B8690AE0-6DDE-4D32-973C-380BC454B549}"/>
    <cellStyle name="注释 2 2 2 2 7" xfId="15206" xr:uid="{6C09C52A-5191-4B42-A7C0-C51FD1A5F771}"/>
    <cellStyle name="注释 2 2 2 2 8" xfId="16870" xr:uid="{23B85566-4ED1-4B4E-A9BA-7C3AEB04D65E}"/>
    <cellStyle name="注释 2 2 2 3" xfId="6721" xr:uid="{082FC56D-CAB9-49E2-91FF-C795E1733165}"/>
    <cellStyle name="注释 2 2 2 4" xfId="8077" xr:uid="{AA8F7236-7308-4CCD-A9C8-B23A4C86207F}"/>
    <cellStyle name="注释 2 2 2 5" xfId="9771" xr:uid="{1453A677-8DD2-486A-9E71-E0EAC88F6498}"/>
    <cellStyle name="注释 2 2 2 6" xfId="11348" xr:uid="{903C99A7-4107-4051-935D-6552591B3E07}"/>
    <cellStyle name="注释 2 2 2 7" xfId="12756" xr:uid="{43979A39-6A10-402C-AB19-45FDAD01D5F5}"/>
    <cellStyle name="注释 2 2 2 8" xfId="14414" xr:uid="{A5D1C130-ABC5-4918-A031-1A07D6171B1D}"/>
    <cellStyle name="注释 2 2 2 9" xfId="16096" xr:uid="{BA7203E3-3F9C-4526-853F-1A89C932956B}"/>
    <cellStyle name="注释 2 2 3" xfId="3714" xr:uid="{1FABEE14-A3F4-4BC4-835A-B2AE798FF752}"/>
    <cellStyle name="注释 2 2 3 2" xfId="4660" xr:uid="{813EB0EB-56FC-477D-BB78-BC63516BE0A8}"/>
    <cellStyle name="注释 2 2 3 2 2" xfId="7155" xr:uid="{EE392CCE-7F07-4229-87E6-AD1FEDFA2803}"/>
    <cellStyle name="注释 2 2 3 2 3" xfId="8573" xr:uid="{2CA4C76C-0360-4AE0-86D8-A72965231498}"/>
    <cellStyle name="注释 2 2 3 2 4" xfId="10277" xr:uid="{C840AF7F-0EEF-455B-9339-6053D2C52EA7}"/>
    <cellStyle name="注释 2 2 3 2 5" xfId="11773" xr:uid="{F0360A5D-14F8-4B66-A95A-FE517773DF48}"/>
    <cellStyle name="注释 2 2 3 2 6" xfId="13250" xr:uid="{B5CA31F9-5532-4391-8793-3B2CD496D006}"/>
    <cellStyle name="注释 2 2 3 2 7" xfId="14920" xr:uid="{8BE77A59-936C-4EE5-9A02-A331B126D4AC}"/>
    <cellStyle name="注释 2 2 3 2 8" xfId="16590" xr:uid="{EECEBAE0-697C-4800-BD1B-1D2980FC80C1}"/>
    <cellStyle name="注释 2 2 3 3" xfId="6395" xr:uid="{677103AF-A9FA-4377-8DF1-F752B16BA4BA}"/>
    <cellStyle name="注释 2 2 3 4" xfId="7645" xr:uid="{C83F4AD5-CB20-466A-8F24-339E395B0F92}"/>
    <cellStyle name="注释 2 2 3 5" xfId="9333" xr:uid="{0BD18036-CA4C-4764-BB2F-F0DDF9D1C74E}"/>
    <cellStyle name="注释 2 2 3 6" xfId="11021" xr:uid="{367280C1-CCF5-415C-8B55-054430EE2EB4}"/>
    <cellStyle name="注释 2 2 3 7" xfId="12324" xr:uid="{D14651DA-9307-405D-A160-9B2A929FC461}"/>
    <cellStyle name="注释 2 2 3 8" xfId="13976" xr:uid="{3BACBC40-7B85-4FB4-905A-E478CF8C6F7B}"/>
    <cellStyle name="注释 2 2 3 9" xfId="15664" xr:uid="{EFA765BC-A686-476D-B9BA-A05A7DB1B4D5}"/>
    <cellStyle name="注释 2 2 4" xfId="8939" xr:uid="{C72769D2-7DEA-4961-A88E-60364619DC25}"/>
    <cellStyle name="注释 2 3" xfId="3140" xr:uid="{1CBB86A5-FAD2-4100-BFEB-D0D6BE5E8966}"/>
    <cellStyle name="注释 2 3 2" xfId="4020" xr:uid="{F45D3C05-E849-448A-A64F-EAA31CC2DD1D}"/>
    <cellStyle name="注释 2 3 2 2" xfId="4864" xr:uid="{B8C1D441-9EEF-47F8-B715-A22C9003E018}"/>
    <cellStyle name="注释 2 3 2 2 2" xfId="7359" xr:uid="{FA86164B-3A8D-4207-8EB5-EEE59BB116A2}"/>
    <cellStyle name="注释 2 3 2 2 3" xfId="8772" xr:uid="{A15CF611-3BEF-4B90-BA2E-E6CAF4DD7AFD}"/>
    <cellStyle name="注释 2 3 2 2 4" xfId="10481" xr:uid="{6A5D5AB6-13B8-4701-A2D6-ADC670CD2117}"/>
    <cellStyle name="注释 2 3 2 2 5" xfId="11977" xr:uid="{3A3E1561-3941-4321-8F1D-5C66E9E5BFEB}"/>
    <cellStyle name="注释 2 3 2 2 6" xfId="13449" xr:uid="{CFBF380E-7968-4BBA-88C8-8EDE0BC5ED93}"/>
    <cellStyle name="注释 2 3 2 2 7" xfId="15124" xr:uid="{7F9D5FA0-8240-4CA8-9970-A32FA8801244}"/>
    <cellStyle name="注释 2 3 2 2 8" xfId="16789" xr:uid="{0D17593F-8549-4F96-A4CB-6A5CC915F1DB}"/>
    <cellStyle name="注释 2 3 2 3" xfId="6625" xr:uid="{05514428-6F1E-4E1D-B7B4-432FBB88A4CB}"/>
    <cellStyle name="注释 2 3 2 4" xfId="7946" xr:uid="{7DBFD2A7-96E5-43D4-9924-04C4DC522988}"/>
    <cellStyle name="注释 2 3 2 5" xfId="9639" xr:uid="{18762D05-AA82-4AFE-8188-9AED536FE22C}"/>
    <cellStyle name="注释 2 3 2 6" xfId="11251" xr:uid="{6A5F45BD-8998-41EC-873D-2F34442D2562}"/>
    <cellStyle name="注释 2 3 2 7" xfId="12625" xr:uid="{BFC1E7A7-CA15-402B-B6DC-B45860F80FC8}"/>
    <cellStyle name="注释 2 3 2 8" xfId="14282" xr:uid="{3AD32E26-0020-41F4-9E2C-89216431901F}"/>
    <cellStyle name="注释 2 3 2 9" xfId="15965" xr:uid="{69D07B6C-1702-4143-B3AD-BEDF7B666BBF}"/>
    <cellStyle name="注释 2 3 3" xfId="3582" xr:uid="{9EEE72B7-1B6C-4F7F-AAC4-58602A6D2408}"/>
    <cellStyle name="注释 2 3 3 2" xfId="4578" xr:uid="{15533D9D-B1A8-4F7A-8B52-65BE5BB3D2C5}"/>
    <cellStyle name="注释 2 3 3 2 2" xfId="7073" xr:uid="{75756196-013D-49CE-96C4-7558880F74D3}"/>
    <cellStyle name="注释 2 3 3 2 3" xfId="8492" xr:uid="{00A1BC3B-2736-4523-975C-017229B69B23}"/>
    <cellStyle name="注释 2 3 3 2 4" xfId="10195" xr:uid="{8099A6D8-9637-44CC-B8B2-23C53F0A8873}"/>
    <cellStyle name="注释 2 3 3 2 5" xfId="11691" xr:uid="{D5F7BFBE-F212-402A-936D-9AC6A74FAC9D}"/>
    <cellStyle name="注释 2 3 3 2 6" xfId="13169" xr:uid="{C443E532-A562-42AD-9D6B-827CBF1FE0C5}"/>
    <cellStyle name="注释 2 3 3 2 7" xfId="14838" xr:uid="{81BE6925-98D4-416D-814D-426385149613}"/>
    <cellStyle name="注释 2 3 3 2 8" xfId="16509" xr:uid="{9FB28EBC-CA57-4829-A635-1B225A008E46}"/>
    <cellStyle name="注释 2 3 3 3" xfId="6295" xr:uid="{26BF064F-F2F4-4340-8C5E-BF12A80C7E84}"/>
    <cellStyle name="注释 2 3 3 4" xfId="7514" xr:uid="{D3EECFBE-F39D-4966-AB05-41ECAB4F1696}"/>
    <cellStyle name="注释 2 3 3 5" xfId="9201" xr:uid="{CC38CAD9-9BEA-48D8-B451-21AB4EF5D2FD}"/>
    <cellStyle name="注释 2 3 3 6" xfId="10925" xr:uid="{A86CE0B6-2CF6-46AD-BACF-46E8DDB461F3}"/>
    <cellStyle name="注释 2 3 3 7" xfId="12193" xr:uid="{554BF382-D017-468F-A5F9-6EB74D03930D}"/>
    <cellStyle name="注释 2 3 3 8" xfId="13844" xr:uid="{42D5DDD2-4ACD-43D2-809D-E7E001A1889B}"/>
    <cellStyle name="注释 2 3 3 9" xfId="15533" xr:uid="{921B3CB4-3CDB-4D47-8160-A400ED752D3E}"/>
    <cellStyle name="注释 2 3 4" xfId="6191" xr:uid="{BC418D45-C1BB-4397-BD70-10E6957E4952}"/>
    <cellStyle name="注释 2 4" xfId="3051" xr:uid="{E0E67209-D023-4A0B-9876-19971A9055FC}"/>
    <cellStyle name="注释 2 4 2" xfId="3931" xr:uid="{84F7023D-8965-48B6-8064-AC18AD031309}"/>
    <cellStyle name="注释 2 4 2 2" xfId="4800" xr:uid="{30CBA0D6-2CC0-451D-850A-0E7BF87F85FC}"/>
    <cellStyle name="注释 2 4 2 2 2" xfId="7295" xr:uid="{15B79106-A4EC-4116-ADC0-029986A3E11E}"/>
    <cellStyle name="注释 2 4 2 2 3" xfId="8710" xr:uid="{8799F76C-8D75-4093-80C4-F37F237CABC5}"/>
    <cellStyle name="注释 2 4 2 2 4" xfId="10417" xr:uid="{BA223EF3-4089-4DDB-AEF1-5F5571626159}"/>
    <cellStyle name="注释 2 4 2 2 5" xfId="11913" xr:uid="{8B9F1C68-C674-4067-8386-7B4F692523DB}"/>
    <cellStyle name="注释 2 4 2 2 6" xfId="13387" xr:uid="{7E0BE15E-A3B7-4060-919A-ACB461826F02}"/>
    <cellStyle name="注释 2 4 2 2 7" xfId="15060" xr:uid="{65F27EAA-1FE1-4B43-BFD8-6043E2578EB6}"/>
    <cellStyle name="注释 2 4 2 2 8" xfId="16727" xr:uid="{39D1DB3E-F9BD-49EA-81B8-232EC2615129}"/>
    <cellStyle name="注释 2 4 2 3" xfId="6555" xr:uid="{60742AB3-DE6E-4B61-B537-DC82FA1CB17C}"/>
    <cellStyle name="注释 2 4 2 4" xfId="7859" xr:uid="{E2361646-548C-4F3F-B025-74570E3FFDC9}"/>
    <cellStyle name="注释 2 4 2 5" xfId="9550" xr:uid="{109A0B4E-C2BD-46E8-9312-705694EF81CA}"/>
    <cellStyle name="注释 2 4 2 6" xfId="11186" xr:uid="{6647C14A-09F9-41B8-8A4F-DFE04A808BC5}"/>
    <cellStyle name="注释 2 4 2 7" xfId="12538" xr:uid="{1F38AD0E-46F5-4211-9D75-4651888E78D8}"/>
    <cellStyle name="注释 2 4 2 8" xfId="14193" xr:uid="{0B1716FA-928E-462E-82DE-771CCB4225F2}"/>
    <cellStyle name="注释 2 4 2 9" xfId="15878" xr:uid="{6914E41D-884C-424F-AC86-8C65BC568D22}"/>
    <cellStyle name="注释 2 4 3" xfId="3493" xr:uid="{F34CD2AE-83A8-4E84-B6FB-8D796B2B2328}"/>
    <cellStyle name="注释 2 4 3 2" xfId="4514" xr:uid="{765B2444-B020-4C75-8CA7-368393AF21A1}"/>
    <cellStyle name="注释 2 4 3 2 2" xfId="7009" xr:uid="{5D37B882-D09E-4865-96DA-00870C1F09BA}"/>
    <cellStyle name="注释 2 4 3 2 3" xfId="8430" xr:uid="{04D30263-54DD-4901-8960-F8DB46574B8A}"/>
    <cellStyle name="注释 2 4 3 2 4" xfId="10131" xr:uid="{A81D53F3-9E95-490C-AB32-32C758AA7BB2}"/>
    <cellStyle name="注释 2 4 3 2 5" xfId="11627" xr:uid="{6E7AD5CD-3FFA-4D1B-8033-B69C247D0B7E}"/>
    <cellStyle name="注释 2 4 3 2 6" xfId="13107" xr:uid="{89EC1ABF-88BA-44E9-A223-D0D6D6946F11}"/>
    <cellStyle name="注释 2 4 3 2 7" xfId="14774" xr:uid="{C624244E-1870-48BC-A1B9-7042767D289E}"/>
    <cellStyle name="注释 2 4 3 2 8" xfId="16447" xr:uid="{2C591261-7CFA-4A29-8310-6D1BEF0C1601}"/>
    <cellStyle name="注释 2 4 3 3" xfId="6224" xr:uid="{54106191-C242-4213-9A55-DB4C429C25E1}"/>
    <cellStyle name="注释 2 4 3 4" xfId="5163" xr:uid="{29BB6134-5132-4257-98F6-AE181CAEE4B2}"/>
    <cellStyle name="注释 2 4 3 5" xfId="9112" xr:uid="{79220CCC-6DC5-44F7-990C-BCB120933220}"/>
    <cellStyle name="注释 2 4 3 6" xfId="10858" xr:uid="{4F53987E-70EB-48D6-B0E0-EAD335375F8F}"/>
    <cellStyle name="注释 2 4 3 7" xfId="5515" xr:uid="{F51EFF0F-A8C1-4629-B1BA-59FFD133BE58}"/>
    <cellStyle name="注释 2 4 3 8" xfId="13755" xr:uid="{2A4A225E-3422-4026-8FDB-A6F348FF2203}"/>
    <cellStyle name="注释 2 4 3 9" xfId="15446" xr:uid="{E460E4E9-0209-4D18-9A85-496F97CC62D7}"/>
    <cellStyle name="注释 2 4 4" xfId="5815" xr:uid="{F9516CDC-F455-4A97-9321-4BCD4C112687}"/>
    <cellStyle name="注释 2 5" xfId="3310" xr:uid="{693883C4-A027-4E8F-BFCC-213EA5274B18}"/>
    <cellStyle name="注释 2 5 2" xfId="4190" xr:uid="{1747B32D-3056-4B8F-9FC7-9BA2176A607E}"/>
    <cellStyle name="注释 2 5 2 2" xfId="4975" xr:uid="{F7DB158F-7C3D-4227-AE71-435773B7B427}"/>
    <cellStyle name="注释 2 5 2 2 2" xfId="7470" xr:uid="{BB52A253-9DF4-42C6-95D8-A3F3EFD1A6BE}"/>
    <cellStyle name="注释 2 5 2 2 3" xfId="8881" xr:uid="{C3A91635-1BD4-4E73-B71D-785CA3D5151E}"/>
    <cellStyle name="注释 2 5 2 2 4" xfId="10592" xr:uid="{CEC587CD-309E-4212-B832-E1EE4D6C2DF0}"/>
    <cellStyle name="注释 2 5 2 2 5" xfId="12088" xr:uid="{D29266DD-6759-4580-A789-EECB9D641EDC}"/>
    <cellStyle name="注释 2 5 2 2 6" xfId="13558" xr:uid="{332FB828-DB16-4AB0-889D-3917CB5E207C}"/>
    <cellStyle name="注释 2 5 2 2 7" xfId="15235" xr:uid="{EA870E89-3B2A-4972-8335-3363BC30E769}"/>
    <cellStyle name="注释 2 5 2 2 8" xfId="16898" xr:uid="{AD739128-83A6-4452-8B6B-E54835BFB493}"/>
    <cellStyle name="注释 2 5 2 3" xfId="6750" xr:uid="{29EC8052-E8A0-4B38-93F3-439F27DFEEA2}"/>
    <cellStyle name="注释 2 5 2 4" xfId="8114" xr:uid="{BA8835FA-F78D-47E6-9514-85222FCB9EE6}"/>
    <cellStyle name="注释 2 5 2 5" xfId="9809" xr:uid="{2EE1F2EB-6122-435C-9204-60EDE5B5A2E9}"/>
    <cellStyle name="注释 2 5 2 6" xfId="11379" xr:uid="{F74A1C06-CFEF-4CB0-8B91-70F6C6A4A463}"/>
    <cellStyle name="注释 2 5 2 7" xfId="12793" xr:uid="{AAB1AF53-7924-4B9F-8021-DA8D972138C1}"/>
    <cellStyle name="注释 2 5 2 8" xfId="14452" xr:uid="{47B2F742-5CA2-49D6-AECA-213256ACBAC2}"/>
    <cellStyle name="注释 2 5 2 9" xfId="16133" xr:uid="{7E96C66C-8E9B-4EAC-9C27-F7F6A0DD474C}"/>
    <cellStyle name="注释 2 5 3" xfId="3751" xr:uid="{130402F9-B533-43BB-972E-F7E1E4953899}"/>
    <cellStyle name="注释 2 5 3 2" xfId="4688" xr:uid="{00C28A74-D912-46C1-A06F-F611C65A064B}"/>
    <cellStyle name="注释 2 5 3 2 2" xfId="7183" xr:uid="{0C7F4426-3BB6-470A-AAF8-D048E1B02129}"/>
    <cellStyle name="注释 2 5 3 2 3" xfId="8601" xr:uid="{E0747C2C-0736-4E62-A62F-533FEC736B08}"/>
    <cellStyle name="注释 2 5 3 2 4" xfId="10305" xr:uid="{00A51581-621E-4471-9888-D6DBF7B8261A}"/>
    <cellStyle name="注释 2 5 3 2 5" xfId="11801" xr:uid="{D714B09C-B0A5-43F6-8F6B-FCADEDD3EBCF}"/>
    <cellStyle name="注释 2 5 3 2 6" xfId="13278" xr:uid="{4CF57230-D753-4B7B-A47A-BA23EF7D4AE1}"/>
    <cellStyle name="注释 2 5 3 2 7" xfId="14948" xr:uid="{31547DAA-C453-4A01-9D5E-4612AE29638C}"/>
    <cellStyle name="注释 2 5 3 2 8" xfId="16618" xr:uid="{B062B489-A38F-4067-B9A2-4D0567066088}"/>
    <cellStyle name="注释 2 5 3 3" xfId="6424" xr:uid="{973E6151-2067-4601-B4AD-1AC8FAB59384}"/>
    <cellStyle name="注释 2 5 3 4" xfId="7682" xr:uid="{63FC5B0B-34BB-4D59-BA14-6A9F43198372}"/>
    <cellStyle name="注释 2 5 3 5" xfId="9370" xr:uid="{EACC8B2B-E799-4C1A-83DE-236B492EF4EA}"/>
    <cellStyle name="注释 2 5 3 6" xfId="11052" xr:uid="{60394202-7F61-4DAF-9D5D-DEB035C818A7}"/>
    <cellStyle name="注释 2 5 3 7" xfId="12361" xr:uid="{474853D6-089A-45B7-8E65-64221A1C12F2}"/>
    <cellStyle name="注释 2 5 3 8" xfId="14013" xr:uid="{F8921BA9-A16C-4546-89CB-44F716003DC3}"/>
    <cellStyle name="注释 2 5 3 9" xfId="15701" xr:uid="{38ACA3EE-72FB-4A4E-BE80-9320C87B3B55}"/>
    <cellStyle name="注释 2 5 4" xfId="8973" xr:uid="{9605D07E-2755-4BAC-8CB8-BA46ED961F89}"/>
    <cellStyle name="注释 2 6" xfId="3250" xr:uid="{A6A9FB5C-CBD8-462A-8A9C-A9FD99543AC6}"/>
    <cellStyle name="注释 2 6 10" xfId="15295" xr:uid="{4318DCBE-6029-4F28-8442-9E35E7F9BB08}"/>
    <cellStyle name="注释 2 6 2" xfId="4130" xr:uid="{5A029240-B553-431D-A7F5-454ADB8A8D18}"/>
    <cellStyle name="注释 2 6 2 2" xfId="4929" xr:uid="{29CC6A60-E45A-4201-8050-925824E2FAF4}"/>
    <cellStyle name="注释 2 6 2 2 2" xfId="7424" xr:uid="{CE56AD82-F9D6-4E7D-A895-781525EBD2DC}"/>
    <cellStyle name="注释 2 6 2 2 3" xfId="8836" xr:uid="{ABDEE53D-6E22-42D7-9275-F8835C1A9697}"/>
    <cellStyle name="注释 2 6 2 2 4" xfId="10546" xr:uid="{E50F72D4-4430-44CB-9EBD-17FC784C1088}"/>
    <cellStyle name="注释 2 6 2 2 5" xfId="12042" xr:uid="{78029361-56F4-40E5-B17F-A221670AF0FE}"/>
    <cellStyle name="注释 2 6 2 2 6" xfId="13513" xr:uid="{6620D107-1D95-4DF1-9EB0-C3B45843B7FD}"/>
    <cellStyle name="注释 2 6 2 2 7" xfId="15189" xr:uid="{E1E2C0AE-7DFA-47D7-A9CA-5C0FC6D7F109}"/>
    <cellStyle name="注释 2 6 2 2 8" xfId="16853" xr:uid="{D171B844-3C74-4EEB-A74E-329BEB1533FC}"/>
    <cellStyle name="注释 2 6 2 3" xfId="6702" xr:uid="{80227A4B-F6FE-4447-92A0-87D09691EA6C}"/>
    <cellStyle name="注释 2 6 2 4" xfId="8055" xr:uid="{D21718AD-B703-45CF-8FAE-15F8CD00BEF3}"/>
    <cellStyle name="注释 2 6 2 5" xfId="9749" xr:uid="{D63E4791-3FD3-4540-8ED1-E69521699424}"/>
    <cellStyle name="注释 2 6 2 6" xfId="11330" xr:uid="{877E26D2-3C4F-4645-A19B-A1CC97F7523C}"/>
    <cellStyle name="注释 2 6 2 7" xfId="12734" xr:uid="{F8BC61A0-607D-4586-80DD-B4D33144322E}"/>
    <cellStyle name="注释 2 6 2 8" xfId="14392" xr:uid="{78FA9926-83F1-4700-85D4-5708894655FD}"/>
    <cellStyle name="注释 2 6 2 9" xfId="16074" xr:uid="{440E0FA9-73B6-4AB4-AA32-AA79B5952371}"/>
    <cellStyle name="注释 2 6 3" xfId="3692" xr:uid="{F85CEE08-0CD9-48DA-A093-8F5A0C0E5A6F}"/>
    <cellStyle name="注释 2 6 3 2" xfId="4643" xr:uid="{2E48541C-D1DB-4073-A2C9-02CDEB7A1515}"/>
    <cellStyle name="注释 2 6 3 2 2" xfId="7138" xr:uid="{7A655D32-4F3B-4B82-9C84-9327C5CA63FA}"/>
    <cellStyle name="注释 2 6 3 2 3" xfId="8556" xr:uid="{06E8AC66-D413-49A0-9C89-05CACD96BB9A}"/>
    <cellStyle name="注释 2 6 3 2 4" xfId="10260" xr:uid="{A514AFE9-AFA5-4D07-A721-0FFA8302A686}"/>
    <cellStyle name="注释 2 6 3 2 5" xfId="11756" xr:uid="{CD5F94D9-CAFE-403F-9F08-DC3551FC0C4A}"/>
    <cellStyle name="注释 2 6 3 2 6" xfId="13233" xr:uid="{CF14A055-9A23-427A-8820-08C972EFABB7}"/>
    <cellStyle name="注释 2 6 3 2 7" xfId="14903" xr:uid="{8E81A659-1BF8-4536-82A2-434B983367C6}"/>
    <cellStyle name="注释 2 6 3 2 8" xfId="16573" xr:uid="{D5513796-1DE9-4B02-9939-062780689932}"/>
    <cellStyle name="注释 2 6 3 3" xfId="6375" xr:uid="{5B062202-FEA1-484D-82C1-A7CAFB28B6FF}"/>
    <cellStyle name="注释 2 6 3 4" xfId="7623" xr:uid="{CA560FA0-B293-4FA1-9EE4-A365A05DE3C1}"/>
    <cellStyle name="注释 2 6 3 5" xfId="9311" xr:uid="{4046855A-D702-4DCD-8096-890CC72841A4}"/>
    <cellStyle name="注释 2 6 3 6" xfId="11002" xr:uid="{03324C27-58BB-4DBF-8E81-1509EDBFE043}"/>
    <cellStyle name="注释 2 6 3 7" xfId="12302" xr:uid="{E7CC324D-DC10-48CF-91B9-2424DF4989FE}"/>
    <cellStyle name="注释 2 6 3 8" xfId="13954" xr:uid="{3E29297F-1794-4A3A-8463-588682F04835}"/>
    <cellStyle name="注释 2 6 3 9" xfId="15642" xr:uid="{A0A89F8D-5A56-40DC-8A35-632239033EFD}"/>
    <cellStyle name="注释 2 6 4" xfId="4392" xr:uid="{146DA249-4C2F-4965-8C67-B3457ED0AEBF}"/>
    <cellStyle name="注释 2 6 4 2" xfId="6900" xr:uid="{EC7A5B44-97FA-4A46-8BB8-F54899EA5B60}"/>
    <cellStyle name="注释 2 6 4 3" xfId="8311" xr:uid="{E0C4325F-705E-41EF-BDC2-C330E5DB7045}"/>
    <cellStyle name="注释 2 6 4 4" xfId="10009" xr:uid="{EA961E8E-B635-4AB6-8E2D-1B0BCCC6473A}"/>
    <cellStyle name="注释 2 6 4 5" xfId="11520" xr:uid="{AB600F39-78B1-46A0-A0E8-32C26DB32FB5}"/>
    <cellStyle name="注释 2 6 4 6" xfId="12988" xr:uid="{4A2FA571-48B5-4DAE-9B4A-28DE7B49A22A}"/>
    <cellStyle name="注释 2 6 4 7" xfId="14652" xr:uid="{BAE97F67-9C62-4BDD-A4C7-55BE53941066}"/>
    <cellStyle name="注释 2 6 4 8" xfId="16328" xr:uid="{DF00C46D-25DA-456E-9603-B18F196CEE73}"/>
    <cellStyle name="注释 2 6 5" xfId="6067" xr:uid="{8922020F-FCA9-4CF6-AC50-3D93DA73745D}"/>
    <cellStyle name="注释 2 6 6" xfId="5578" xr:uid="{E9DDE995-2512-47C5-8448-B55045A3E2D3}"/>
    <cellStyle name="注释 2 6 7" xfId="10710" xr:uid="{01023F3C-16C0-4DA6-B21E-90A0BF2E1439}"/>
    <cellStyle name="注释 2 6 8" xfId="5460" xr:uid="{45BE8336-48E5-4BD2-91B5-E32EAAABD4DA}"/>
    <cellStyle name="注释 2 6 9" xfId="5496" xr:uid="{F15C3FCA-7C48-4B16-BCAA-21E899C3CF4B}"/>
    <cellStyle name="注释 2 7" xfId="3122" xr:uid="{CAB6EAA1-C3D3-41DB-AD52-0509B53F3A02}"/>
    <cellStyle name="注释 2 7 10" xfId="5022" xr:uid="{E5D43364-7E90-4D73-8962-4565FB1561E8}"/>
    <cellStyle name="注释 2 7 2" xfId="4002" xr:uid="{24382320-9A1A-465D-84B3-6B9577F655F8}"/>
    <cellStyle name="注释 2 7 2 2" xfId="4848" xr:uid="{2054FD8F-DA33-47EA-A65A-C507ADC5B0DA}"/>
    <cellStyle name="注释 2 7 2 2 2" xfId="7343" xr:uid="{BD391EDB-ECB2-4214-A9D1-2C38E450F833}"/>
    <cellStyle name="注释 2 7 2 2 3" xfId="8756" xr:uid="{6ADC498E-808F-4427-931C-9B067467907A}"/>
    <cellStyle name="注释 2 7 2 2 4" xfId="10465" xr:uid="{B8DCC503-97F4-4DAF-8E25-00C59BB78509}"/>
    <cellStyle name="注释 2 7 2 2 5" xfId="11961" xr:uid="{059D4CC7-B889-4A64-A1D6-647091D5EBB9}"/>
    <cellStyle name="注释 2 7 2 2 6" xfId="13433" xr:uid="{1389BFE0-2215-49BA-9700-4F1D36DEEEE0}"/>
    <cellStyle name="注释 2 7 2 2 7" xfId="15108" xr:uid="{6AC71221-27A8-4CB7-81EC-BF2D7D444401}"/>
    <cellStyle name="注释 2 7 2 2 8" xfId="16773" xr:uid="{FF45BBFE-2694-42F3-A327-F628ECEAFDCC}"/>
    <cellStyle name="注释 2 7 2 3" xfId="6609" xr:uid="{296DD202-FFAE-4ED1-89CF-452AF5631333}"/>
    <cellStyle name="注释 2 7 2 4" xfId="7928" xr:uid="{AF9DE148-9F89-45AB-AEC2-C0383958B223}"/>
    <cellStyle name="注释 2 7 2 5" xfId="9621" xr:uid="{B79F524B-B26F-4DD9-974A-C7370455E1A4}"/>
    <cellStyle name="注释 2 7 2 6" xfId="11235" xr:uid="{52A243F7-4FF5-45F2-895E-2B16B5A02242}"/>
    <cellStyle name="注释 2 7 2 7" xfId="12607" xr:uid="{079C564F-C6C7-4CCD-B7B6-E9823580A3BF}"/>
    <cellStyle name="注释 2 7 2 8" xfId="14264" xr:uid="{8C5C8D06-21D2-42D1-A60A-FE05AD9DEDB0}"/>
    <cellStyle name="注释 2 7 2 9" xfId="15947" xr:uid="{728CFC61-48D2-497D-81CE-9316FB248DFD}"/>
    <cellStyle name="注释 2 7 3" xfId="3564" xr:uid="{D15FD5E2-9E93-448B-8C38-AB56846AB204}"/>
    <cellStyle name="注释 2 7 3 2" xfId="4562" xr:uid="{60D74FAD-EF86-4585-92C8-5E3C62D75AE5}"/>
    <cellStyle name="注释 2 7 3 2 2" xfId="7057" xr:uid="{864E6BF8-506B-4806-AE7B-57F8AB753C57}"/>
    <cellStyle name="注释 2 7 3 2 3" xfId="8476" xr:uid="{9B2F630D-6675-4BE0-B8DC-96AE84488092}"/>
    <cellStyle name="注释 2 7 3 2 4" xfId="10179" xr:uid="{1A8BC564-1CB5-45C0-AD2E-344C84BA17B2}"/>
    <cellStyle name="注释 2 7 3 2 5" xfId="11675" xr:uid="{4CF65E67-7478-4396-8F6B-CFD482051AFE}"/>
    <cellStyle name="注释 2 7 3 2 6" xfId="13153" xr:uid="{E420C4D1-175C-44DE-B61B-2393B00FF1DF}"/>
    <cellStyle name="注释 2 7 3 2 7" xfId="14822" xr:uid="{17FA406A-0F2D-43C0-BB38-1FF79662E553}"/>
    <cellStyle name="注释 2 7 3 2 8" xfId="16493" xr:uid="{29BC8F6B-317D-467C-A61D-C63EE7DC11F0}"/>
    <cellStyle name="注释 2 7 3 3" xfId="6279" xr:uid="{137A8AFF-2421-48BC-B85D-D88019AA4ACE}"/>
    <cellStyle name="注释 2 7 3 4" xfId="5112" xr:uid="{DCF97928-AE45-4832-BCAC-1745ABF409F8}"/>
    <cellStyle name="注释 2 7 3 5" xfId="9183" xr:uid="{E8B2D236-1560-48E8-8C55-CA1F23ADED3F}"/>
    <cellStyle name="注释 2 7 3 6" xfId="10909" xr:uid="{00841675-B4D1-4BA6-8907-2216E331B6F2}"/>
    <cellStyle name="注释 2 7 3 7" xfId="12175" xr:uid="{86E1AED1-68B2-4E1D-B2B0-CB32991C4D67}"/>
    <cellStyle name="注释 2 7 3 8" xfId="13826" xr:uid="{944A2F14-C122-4A89-A89B-895AF165FD0D}"/>
    <cellStyle name="注释 2 7 3 9" xfId="15515" xr:uid="{3A329BB6-BA59-4010-99E3-AA645548A883}"/>
    <cellStyle name="注释 2 7 4" xfId="4333" xr:uid="{C8D6A53A-BF47-4B2E-B953-6D294326A8A7}"/>
    <cellStyle name="注释 2 7 4 2" xfId="6854" xr:uid="{EFF6AE89-F98E-4826-A78D-E2FF3663F8D2}"/>
    <cellStyle name="注释 2 7 4 3" xfId="8253" xr:uid="{9014322C-14C7-4E88-B759-391537B95CD7}"/>
    <cellStyle name="注释 2 7 4 4" xfId="9950" xr:uid="{EF10AB29-5501-4C24-8E7B-77916B2EF281}"/>
    <cellStyle name="注释 2 7 4 5" xfId="11473" xr:uid="{02DEFDE9-00D4-4FE9-944B-586F94E628BA}"/>
    <cellStyle name="注释 2 7 4 6" xfId="12930" xr:uid="{9A9ED2B1-93FF-40E9-A01E-9877E3C668C7}"/>
    <cellStyle name="注释 2 7 4 7" xfId="14593" xr:uid="{FA137FC2-DA2C-440E-A48D-F3985B729110}"/>
    <cellStyle name="注释 2 7 4 8" xfId="16270" xr:uid="{D55A3F93-0554-4752-A1D1-876054E6CA23}"/>
    <cellStyle name="注释 2 7 5" xfId="5983" xr:uid="{BF9DB743-7508-4697-8F2E-27DCD312AAA5}"/>
    <cellStyle name="注释 2 7 6" xfId="5569" xr:uid="{0E94CF00-D1E8-4E0A-912E-6B2C4E287F0A}"/>
    <cellStyle name="注释 2 7 7" xfId="10635" xr:uid="{E271C438-E8BE-49F1-B19C-636D005079AC}"/>
    <cellStyle name="注释 2 7 8" xfId="5404" xr:uid="{181CB613-BB05-40C5-AC3F-22B5EA3AB292}"/>
    <cellStyle name="注释 2 7 9" xfId="10976" xr:uid="{4DFB752B-2952-453E-91AE-5AC716DE6D50}"/>
    <cellStyle name="注释 2 8" xfId="3371" xr:uid="{942F5320-4D02-4B80-8A96-3AE0EF0287D5}"/>
    <cellStyle name="注释 2 8 10" xfId="15328" xr:uid="{0483214B-9171-4E5B-A530-F1E9EF17FDDE}"/>
    <cellStyle name="注释 2 8 2" xfId="4251" xr:uid="{45D14BDB-8801-4152-AA73-FBBE5BC14139}"/>
    <cellStyle name="注释 2 8 2 2" xfId="5004" xr:uid="{345B8E21-077E-44CC-815C-3C4B2C56C95B}"/>
    <cellStyle name="注释 2 8 2 2 2" xfId="7499" xr:uid="{73F5A7EC-5E09-4CBC-9F4F-42AC12F85415}"/>
    <cellStyle name="注释 2 8 2 2 3" xfId="8909" xr:uid="{6F1F4569-7A4B-4BAE-9A8F-0B8BA92A472C}"/>
    <cellStyle name="注释 2 8 2 2 4" xfId="10621" xr:uid="{CAC4EC1F-5954-4D7F-929F-BF5B9CAA0261}"/>
    <cellStyle name="注释 2 8 2 2 5" xfId="12117" xr:uid="{6A3B3712-B2DD-452B-85D2-2A65E12FAB77}"/>
    <cellStyle name="注释 2 8 2 2 6" xfId="13586" xr:uid="{7CFED5D4-F67F-4559-80F6-713357040817}"/>
    <cellStyle name="注释 2 8 2 2 7" xfId="15264" xr:uid="{DCD73663-7658-4470-A1EC-B8A3D0253989}"/>
    <cellStyle name="注释 2 8 2 2 8" xfId="16926" xr:uid="{BA9753B4-AFCE-423D-A955-1F2F6BE18305}"/>
    <cellStyle name="注释 2 8 2 3" xfId="6791" xr:uid="{3D833ED6-7BFC-4A39-823B-16A423D0879A}"/>
    <cellStyle name="注释 2 8 2 4" xfId="8174" xr:uid="{7BE1837C-C071-4565-B7D2-E9C58E5E7AD8}"/>
    <cellStyle name="注释 2 8 2 5" xfId="9870" xr:uid="{D674A94D-3B26-4F3B-B80C-4B75A28782A7}"/>
    <cellStyle name="注释 2 8 2 6" xfId="11410" xr:uid="{7F198F12-2171-445C-8317-8DA5BB3D3167}"/>
    <cellStyle name="注释 2 8 2 7" xfId="12853" xr:uid="{4F13E3E2-6626-4327-A989-E0DD48F8EDEE}"/>
    <cellStyle name="注释 2 8 2 8" xfId="14513" xr:uid="{30DA7742-FF80-431E-B2F2-61FCFE64B969}"/>
    <cellStyle name="注释 2 8 2 9" xfId="16193" xr:uid="{581BC368-7CE6-4B6F-99D7-515893DE4814}"/>
    <cellStyle name="注释 2 8 3" xfId="3811" xr:uid="{A97AE3F0-24AF-4A4A-A4F3-202C25AF6A9C}"/>
    <cellStyle name="注释 2 8 3 2" xfId="4716" xr:uid="{CF3A6F6D-8B41-4AD6-9947-6729FB9AA507}"/>
    <cellStyle name="注释 2 8 3 2 2" xfId="7211" xr:uid="{51B37075-F27B-4B1D-940A-5D902C0F46D8}"/>
    <cellStyle name="注释 2 8 3 2 3" xfId="8629" xr:uid="{5BBBBB0B-63BD-4788-80EB-73FA54FCD2AB}"/>
    <cellStyle name="注释 2 8 3 2 4" xfId="10333" xr:uid="{FDAFD93B-5456-45CD-A534-7F2528CB0180}"/>
    <cellStyle name="注释 2 8 3 2 5" xfId="11829" xr:uid="{317F1272-1A44-4DAD-AD7A-A7B27AF76740}"/>
    <cellStyle name="注释 2 8 3 2 6" xfId="13306" xr:uid="{32B19035-DFEC-460C-8E3C-610D5282F448}"/>
    <cellStyle name="注释 2 8 3 2 7" xfId="14976" xr:uid="{9E2ACC23-BD24-499B-A8A5-B1D116732794}"/>
    <cellStyle name="注释 2 8 3 2 8" xfId="16646" xr:uid="{4F0B3275-E933-41B0-822F-085950C7E6F7}"/>
    <cellStyle name="注释 2 8 3 3" xfId="6462" xr:uid="{99A21E2D-3405-45EC-ADCC-A185BD0E8AE6}"/>
    <cellStyle name="注释 2 8 3 4" xfId="7742" xr:uid="{E41BD6A1-54B1-4CB6-8051-691075F36BD7}"/>
    <cellStyle name="注释 2 8 3 5" xfId="9430" xr:uid="{78C89BDD-2994-4EB8-A4A4-1DC80E151FE5}"/>
    <cellStyle name="注释 2 8 3 6" xfId="11090" xr:uid="{B29999BB-F74D-40BB-BD62-E4DCAD7D539E}"/>
    <cellStyle name="注释 2 8 3 7" xfId="12421" xr:uid="{FCB3A7F6-C6F8-4AFA-A7D7-4AD5478FE964}"/>
    <cellStyle name="注释 2 8 3 8" xfId="14073" xr:uid="{84DF8BD7-CEE7-43CA-8ED5-52B38CA3DC38}"/>
    <cellStyle name="注释 2 8 3 9" xfId="15761" xr:uid="{E7179DF5-3B21-41BF-B888-0A51717E07C6}"/>
    <cellStyle name="注释 2 8 4" xfId="4427" xr:uid="{0A7E5A34-E3A5-4F37-83A3-E03AAE4C1F95}"/>
    <cellStyle name="注释 2 8 4 2" xfId="6926" xr:uid="{CA985BA5-A367-4AB5-9481-D05C2AFA05DF}"/>
    <cellStyle name="注释 2 8 4 3" xfId="8344" xr:uid="{56E4ECC8-F91E-428C-AAC4-4BE439656665}"/>
    <cellStyle name="注释 2 8 4 4" xfId="10044" xr:uid="{C79E433E-9754-4363-ADE9-03075F4ACDA6}"/>
    <cellStyle name="注释 2 8 4 5" xfId="11542" xr:uid="{37CD5DF9-036F-43CE-81FF-8FEA42A5165B}"/>
    <cellStyle name="注释 2 8 4 6" xfId="13021" xr:uid="{4D85F3AC-18FC-4DEB-B4BE-E94BE6009264}"/>
    <cellStyle name="注释 2 8 4 7" xfId="14687" xr:uid="{C0E5799B-7130-41E0-8B2B-C75312FCCEFF}"/>
    <cellStyle name="注释 2 8 4 8" xfId="16361" xr:uid="{1EDD400E-1F16-4CC0-BF5B-A12766CEA6B6}"/>
    <cellStyle name="注释 2 8 5" xfId="6129" xr:uid="{844E3E31-1A49-4857-AAF5-7A11B2F103CD}"/>
    <cellStyle name="注释 2 8 6" xfId="5724" xr:uid="{C0594D14-3CAD-4A42-A40C-682D26F61A89}"/>
    <cellStyle name="注释 2 8 7" xfId="10761" xr:uid="{FF59BA7F-2EC5-4070-A746-ECBF21FA17D9}"/>
    <cellStyle name="注释 2 8 8" xfId="5303" xr:uid="{A851EDFF-3DF1-455D-AE0A-E41F102C862C}"/>
    <cellStyle name="注释 2 8 9" xfId="13637" xr:uid="{22AB6EBF-6D5F-4AD2-9E4F-98C275DC8317}"/>
    <cellStyle name="注释 2 9" xfId="3869" xr:uid="{B84ECFCF-4423-46D7-A97E-DB9400AD443C}"/>
    <cellStyle name="注释 2 9 2" xfId="4761" xr:uid="{84CE2108-2908-48E0-97C5-7A461B0FF250}"/>
    <cellStyle name="注释 2 9 2 2" xfId="7256" xr:uid="{349CD5F1-09CE-41C4-A7A9-0129AE046B65}"/>
    <cellStyle name="注释 2 9 2 3" xfId="8671" xr:uid="{0B917EE4-4E0B-421E-A063-95C96F99908D}"/>
    <cellStyle name="注释 2 9 2 4" xfId="10378" xr:uid="{F72A3C27-11B3-4F16-BDD8-FE4BE7D1B1AE}"/>
    <cellStyle name="注释 2 9 2 5" xfId="11874" xr:uid="{F1677CBA-0810-4ED7-A349-0D282F66C9F8}"/>
    <cellStyle name="注释 2 9 2 6" xfId="13348" xr:uid="{B9911235-0297-4C39-9176-CE098249339A}"/>
    <cellStyle name="注释 2 9 2 7" xfId="15021" xr:uid="{EAD1434D-61E5-4E0F-A2F1-5C722D7E7578}"/>
    <cellStyle name="注释 2 9 2 8" xfId="16688" xr:uid="{6EAEE100-BA53-40DD-983C-DC7A1C942826}"/>
    <cellStyle name="注释 2 9 3" xfId="6510" xr:uid="{5688549F-06D0-443F-9F32-BCD2BD349B38}"/>
    <cellStyle name="注释 2 9 4" xfId="7797" xr:uid="{A45BF8EF-5A10-444A-9C5F-6EC8F9E7EC14}"/>
    <cellStyle name="注释 2 9 5" xfId="9488" xr:uid="{E8DDE8EE-34B6-41F6-AF27-4A66E2505997}"/>
    <cellStyle name="注释 2 9 6" xfId="11141" xr:uid="{563C308A-7838-4A6F-9295-7A68B088D44F}"/>
    <cellStyle name="注释 2 9 7" xfId="12476" xr:uid="{F2B5CB87-6777-45CC-8726-7DC952921F18}"/>
    <cellStyle name="注释 2 9 8" xfId="14131" xr:uid="{DB6A0260-7F2E-4E23-9E72-E0C7C648A02F}"/>
    <cellStyle name="注释 2 9 9" xfId="15816" xr:uid="{5C25B3AC-B321-48B8-846B-1A28B737B3E0}"/>
    <cellStyle name="注释 3" xfId="2966" xr:uid="{ED1EE909-0418-43E0-A0A8-5147BCEFA029}"/>
    <cellStyle name="注释 3 10" xfId="3413" xr:uid="{33CB8D52-504D-44C4-8630-36C8316614AF}"/>
    <cellStyle name="注释 3 10 2" xfId="4461" xr:uid="{F300066D-3CA6-4F0C-AD2B-2B37B58A3A3E}"/>
    <cellStyle name="注释 3 10 2 2" xfId="6956" xr:uid="{19493684-1D59-48DE-9A6A-2FF7F0434C30}"/>
    <cellStyle name="注释 3 10 2 3" xfId="8377" xr:uid="{C07850B5-5C14-45E4-ACB0-46BAB487AF13}"/>
    <cellStyle name="注释 3 10 2 4" xfId="10078" xr:uid="{7D8B68AC-37D7-49CA-8822-C1D50325BFE3}"/>
    <cellStyle name="注释 3 10 2 5" xfId="11574" xr:uid="{3FB625F1-4898-43F8-AB46-6C5899316889}"/>
    <cellStyle name="注释 3 10 2 6" xfId="13054" xr:uid="{BD4D7FA7-FA59-4A99-99C0-E1C37C1DC3F2}"/>
    <cellStyle name="注释 3 10 2 7" xfId="14721" xr:uid="{A5AC21E1-66DD-4872-91D8-9E4B62D7466C}"/>
    <cellStyle name="注释 3 10 2 8" xfId="16394" xr:uid="{11D7F99D-D05D-4C84-9B0E-759D723CF04B}"/>
    <cellStyle name="注释 3 10 3" xfId="6164" xr:uid="{1E8679C5-AD22-4E02-89AB-514C6F282827}"/>
    <cellStyle name="注释 3 10 4" xfId="6047" xr:uid="{A777B981-53BB-497D-B8F8-2EF256EC3F4A}"/>
    <cellStyle name="注释 3 10 5" xfId="9032" xr:uid="{6BA870F3-9C94-4A99-BD70-76F255FC43B9}"/>
    <cellStyle name="注释 3 10 6" xfId="10796" xr:uid="{408C7660-C120-4851-AA0C-AE730878BEFF}"/>
    <cellStyle name="注释 3 10 7" xfId="5502" xr:uid="{181A2612-6912-44F2-BF80-CE3708DF2CBC}"/>
    <cellStyle name="注释 3 10 8" xfId="13675" xr:uid="{EFF44A2C-2E71-4133-BD4C-E8FD4411D040}"/>
    <cellStyle name="注释 3 10 9" xfId="15366" xr:uid="{C4BC02B7-59D0-42F6-BA8F-9A945AF57C0C}"/>
    <cellStyle name="注释 3 11" xfId="6443" xr:uid="{13213302-A80E-4A1D-B6B2-57EDD169AE91}"/>
    <cellStyle name="注释 3 12" xfId="5704" xr:uid="{0A9A646E-67E9-43FB-94C8-2684CBE36DE0}"/>
    <cellStyle name="注释 3 2" xfId="3254" xr:uid="{1E0E85C3-A08D-4712-B7A7-9277BE5B3303}"/>
    <cellStyle name="注释 3 2 2" xfId="4134" xr:uid="{25984E37-19DA-45EA-8693-1F23B910AB8A}"/>
    <cellStyle name="注释 3 2 2 2" xfId="4932" xr:uid="{42BC528A-F441-417F-B78F-2B68E3C4F63E}"/>
    <cellStyle name="注释 3 2 2 2 2" xfId="7427" xr:uid="{68BB7830-A898-4568-9B84-17CD65B46AFF}"/>
    <cellStyle name="注释 3 2 2 2 3" xfId="8839" xr:uid="{431CFDD1-84AD-4048-B807-73EC34419B93}"/>
    <cellStyle name="注释 3 2 2 2 4" xfId="10549" xr:uid="{74176801-FEE7-4A37-953A-27AD23F18175}"/>
    <cellStyle name="注释 3 2 2 2 5" xfId="12045" xr:uid="{607816FF-38B3-4DCD-A93D-0BD559BBB5F8}"/>
    <cellStyle name="注释 3 2 2 2 6" xfId="13516" xr:uid="{C9B16472-2678-45D2-9A39-12F48D20F01E}"/>
    <cellStyle name="注释 3 2 2 2 7" xfId="15192" xr:uid="{ED32AD2D-2878-4C58-8A39-39A8E971876A}"/>
    <cellStyle name="注释 3 2 2 2 8" xfId="16856" xr:uid="{2FBE72C2-926A-4712-8B1D-5988BA5889A1}"/>
    <cellStyle name="注释 3 2 2 3" xfId="6706" xr:uid="{34A70811-F85E-4A31-9999-2A285DB7CE94}"/>
    <cellStyle name="注释 3 2 2 4" xfId="8059" xr:uid="{64169502-A5C6-45C1-91CB-E71A9D3B8D43}"/>
    <cellStyle name="注释 3 2 2 5" xfId="9753" xr:uid="{1BF60DCF-E19D-486B-9E47-820E665AE55C}"/>
    <cellStyle name="注释 3 2 2 6" xfId="11334" xr:uid="{56BB9719-878D-4F0D-926F-C21169A1A2EB}"/>
    <cellStyle name="注释 3 2 2 7" xfId="12738" xr:uid="{0E61F4A5-1119-4C7C-8DBB-27394588FA30}"/>
    <cellStyle name="注释 3 2 2 8" xfId="14396" xr:uid="{C27FD068-64F1-44B3-A24E-DC1601FC1EFC}"/>
    <cellStyle name="注释 3 2 2 9" xfId="16078" xr:uid="{C836FFAB-33BE-40CC-B722-8646026D2096}"/>
    <cellStyle name="注释 3 2 3" xfId="3696" xr:uid="{9750EF41-26BA-442C-B852-AF4AF04DFB37}"/>
    <cellStyle name="注释 3 2 3 2" xfId="4646" xr:uid="{86519AB8-E429-4E02-899F-966DDF6E18FA}"/>
    <cellStyle name="注释 3 2 3 2 2" xfId="7141" xr:uid="{8782C602-E4D6-46A4-B38A-19AB813043E2}"/>
    <cellStyle name="注释 3 2 3 2 3" xfId="8559" xr:uid="{2875F602-36F1-44C6-94D9-982FC4C2D6E0}"/>
    <cellStyle name="注释 3 2 3 2 4" xfId="10263" xr:uid="{B5762F0A-6B5F-401E-AD3F-BB2A0791873F}"/>
    <cellStyle name="注释 3 2 3 2 5" xfId="11759" xr:uid="{0F02C674-B3F7-4773-B3EA-44B8D90DE278}"/>
    <cellStyle name="注释 3 2 3 2 6" xfId="13236" xr:uid="{0077A6FA-76DB-457E-ABD2-82871226EB73}"/>
    <cellStyle name="注释 3 2 3 2 7" xfId="14906" xr:uid="{EE109ADF-BDF5-4D1E-B950-5A9821CC0F11}"/>
    <cellStyle name="注释 3 2 3 2 8" xfId="16576" xr:uid="{936932CD-5C95-4EE9-BB66-B25CC880B8AF}"/>
    <cellStyle name="注释 3 2 3 3" xfId="6379" xr:uid="{19D21BA0-1BC3-46EE-88E6-5D7F41FE2E40}"/>
    <cellStyle name="注释 3 2 3 4" xfId="7627" xr:uid="{3E4A8CAE-CD89-43F8-AF57-40769A8D166D}"/>
    <cellStyle name="注释 3 2 3 5" xfId="9315" xr:uid="{4F816ED2-0E3F-43AA-93F3-7E4317DE7ADE}"/>
    <cellStyle name="注释 3 2 3 6" xfId="11006" xr:uid="{70679CA4-E4C7-4E10-B478-909324876D7E}"/>
    <cellStyle name="注释 3 2 3 7" xfId="12306" xr:uid="{17BD5A4A-43B0-46A1-9C3E-AE1D11611729}"/>
    <cellStyle name="注释 3 2 3 8" xfId="13958" xr:uid="{29792EC5-5D10-44A3-AB36-BFF818DD1D6F}"/>
    <cellStyle name="注释 3 2 3 9" xfId="15646" xr:uid="{D804D50B-45DC-4344-A0C5-2E69FB67A382}"/>
    <cellStyle name="注释 3 2 4" xfId="6392" xr:uid="{13F7891C-433F-495D-BF29-8436BE60A12A}"/>
    <cellStyle name="注释 3 3" xfId="3126" xr:uid="{7323C5D2-7125-4A4C-8FE9-A6F04DDCA411}"/>
    <cellStyle name="注释 3 3 2" xfId="4006" xr:uid="{A81CCC75-1CF1-4F70-9287-8E83C14B0DB8}"/>
    <cellStyle name="注释 3 3 2 2" xfId="4852" xr:uid="{E640B2BF-27A8-49BC-B792-F68D152B829F}"/>
    <cellStyle name="注释 3 3 2 2 2" xfId="7347" xr:uid="{02CCE849-097C-4838-A0DF-6C32B5A8C2B9}"/>
    <cellStyle name="注释 3 3 2 2 3" xfId="8760" xr:uid="{D2244940-2B03-434F-9492-C2C99ADFD17D}"/>
    <cellStyle name="注释 3 3 2 2 4" xfId="10469" xr:uid="{67A2EACE-CBBD-483B-8722-B02907E63165}"/>
    <cellStyle name="注释 3 3 2 2 5" xfId="11965" xr:uid="{30C8573E-BF60-43DB-9934-509AB9829DC0}"/>
    <cellStyle name="注释 3 3 2 2 6" xfId="13437" xr:uid="{6D6EB789-7D9E-4BDA-8C34-15E4487E6B08}"/>
    <cellStyle name="注释 3 3 2 2 7" xfId="15112" xr:uid="{B59C3B67-2578-4B16-9E1F-91757858103E}"/>
    <cellStyle name="注释 3 3 2 2 8" xfId="16777" xr:uid="{BF0CD4E4-00AC-4595-B7A1-8F10FB196978}"/>
    <cellStyle name="注释 3 3 2 3" xfId="6613" xr:uid="{8987B554-3553-4B3C-9895-C806201A8AA2}"/>
    <cellStyle name="注释 3 3 2 4" xfId="7932" xr:uid="{0E077AC1-96B0-4191-A356-243D5D875325}"/>
    <cellStyle name="注释 3 3 2 5" xfId="9625" xr:uid="{69A5FC37-9995-405D-996C-D951E384124A}"/>
    <cellStyle name="注释 3 3 2 6" xfId="11239" xr:uid="{373CA259-375F-4E57-BDF1-2EE68D1927B2}"/>
    <cellStyle name="注释 3 3 2 7" xfId="12611" xr:uid="{6C44F4EB-7226-40AB-9F0B-DE6F23E254E5}"/>
    <cellStyle name="注释 3 3 2 8" xfId="14268" xr:uid="{4355832D-8A6E-47B9-8348-11283DE60A07}"/>
    <cellStyle name="注释 3 3 2 9" xfId="15951" xr:uid="{2118DF38-C2BD-4CA9-9F04-DF05E39FD9C4}"/>
    <cellStyle name="注释 3 3 3" xfId="3568" xr:uid="{219BC9BE-1495-4C10-947B-7E78104EC689}"/>
    <cellStyle name="注释 3 3 3 2" xfId="4566" xr:uid="{BB74F33E-DA0D-4D24-A639-A11AF161106D}"/>
    <cellStyle name="注释 3 3 3 2 2" xfId="7061" xr:uid="{4197BD04-E855-400E-968E-34ECA26BCE54}"/>
    <cellStyle name="注释 3 3 3 2 3" xfId="8480" xr:uid="{4FACE7D6-C2DC-4D36-B33D-543FAA17E49A}"/>
    <cellStyle name="注释 3 3 3 2 4" xfId="10183" xr:uid="{0085272A-6C59-43CC-8489-D5FD3BC50566}"/>
    <cellStyle name="注释 3 3 3 2 5" xfId="11679" xr:uid="{5AA48A50-96EE-4607-9E3E-CC91A5316429}"/>
    <cellStyle name="注释 3 3 3 2 6" xfId="13157" xr:uid="{D5936911-5DB4-4DFB-B66B-4AF12EDAC9C3}"/>
    <cellStyle name="注释 3 3 3 2 7" xfId="14826" xr:uid="{506129B3-6593-46D0-809E-DFEE37095607}"/>
    <cellStyle name="注释 3 3 3 2 8" xfId="16497" xr:uid="{10F68A70-B729-4B52-ADE1-7D7F6A6B088F}"/>
    <cellStyle name="注释 3 3 3 3" xfId="6283" xr:uid="{0A7DE451-208C-4F1B-A1F4-B7D84D86793D}"/>
    <cellStyle name="注释 3 3 3 4" xfId="5108" xr:uid="{0C8499C5-375F-4B7A-8596-B298C11944EC}"/>
    <cellStyle name="注释 3 3 3 5" xfId="9187" xr:uid="{52597F33-E4C9-4089-90B2-4682E625B009}"/>
    <cellStyle name="注释 3 3 3 6" xfId="10913" xr:uid="{7F52D990-BC0E-46A2-977B-6E1A732C125F}"/>
    <cellStyle name="注释 3 3 3 7" xfId="12179" xr:uid="{37A43292-D125-4FEA-8C46-7502A6D67D1C}"/>
    <cellStyle name="注释 3 3 3 8" xfId="13830" xr:uid="{A5E33DEE-F444-4470-9B17-5102873801BD}"/>
    <cellStyle name="注释 3 3 3 9" xfId="15519" xr:uid="{C920E302-5046-4C43-AE35-9F3ED2DB3D8F}"/>
    <cellStyle name="注释 3 3 4" xfId="5529" xr:uid="{134CA2E0-7BCC-40F8-A595-B9A22DC8453F}"/>
    <cellStyle name="注释 3 4" xfId="3181" xr:uid="{AA98482D-F6B7-43CC-B8D4-9C759CE4D4F0}"/>
    <cellStyle name="注释 3 4 2" xfId="4061" xr:uid="{F5F762CF-554E-48A5-9A8D-DEE872ED118C}"/>
    <cellStyle name="注释 3 4 2 2" xfId="4887" xr:uid="{2E436CD3-CF2A-4D71-B61B-FE3F0E4CAF1C}"/>
    <cellStyle name="注释 3 4 2 2 2" xfId="7382" xr:uid="{3F741881-C4F7-4107-869B-3AA6CE66293F}"/>
    <cellStyle name="注释 3 4 2 2 3" xfId="8794" xr:uid="{EB180E3C-5B92-4C73-8F3D-ED9E12407626}"/>
    <cellStyle name="注释 3 4 2 2 4" xfId="10504" xr:uid="{3055C47D-AB42-4057-A6CB-F4F193709D59}"/>
    <cellStyle name="注释 3 4 2 2 5" xfId="12000" xr:uid="{63D47783-CFE3-45A4-AB33-876DC1270620}"/>
    <cellStyle name="注释 3 4 2 2 6" xfId="13471" xr:uid="{82F12838-7B41-4ED1-9B8A-33508B436E87}"/>
    <cellStyle name="注释 3 4 2 2 7" xfId="15147" xr:uid="{3D1BFC35-C75A-4BF3-95DB-4BCE139D8EED}"/>
    <cellStyle name="注释 3 4 2 2 8" xfId="16811" xr:uid="{2B47D031-7BD6-4215-8A96-89EAF49D6102}"/>
    <cellStyle name="注释 3 4 2 3" xfId="6654" xr:uid="{5769F876-060D-4000-8B17-2930BBFD4B80}"/>
    <cellStyle name="注释 3 4 2 4" xfId="7986" xr:uid="{260F817A-44F8-4466-B350-48730352BCAE}"/>
    <cellStyle name="注释 3 4 2 5" xfId="9680" xr:uid="{F2107FDC-A46C-4951-9B14-A58AF41FB45C}"/>
    <cellStyle name="注释 3 4 2 6" xfId="11281" xr:uid="{41CC6761-0794-4C23-A45D-A8E672FA0A52}"/>
    <cellStyle name="注释 3 4 2 7" xfId="12665" xr:uid="{A124CC47-10FF-4063-8058-AF49E0128AB0}"/>
    <cellStyle name="注释 3 4 2 8" xfId="14323" xr:uid="{61D3E126-E62E-46C3-B34E-6214D05A4A50}"/>
    <cellStyle name="注释 3 4 2 9" xfId="16005" xr:uid="{603CF2C1-A5C3-4650-B410-92EABA7F9B86}"/>
    <cellStyle name="注释 3 4 3" xfId="3623" xr:uid="{F907E7E8-2D43-4A97-88E1-D44FCB9C04A9}"/>
    <cellStyle name="注释 3 4 3 2" xfId="4601" xr:uid="{FDCA8FD8-CCDC-4C31-90B2-A78B1EDDAB02}"/>
    <cellStyle name="注释 3 4 3 2 2" xfId="7096" xr:uid="{8D1D9461-A634-467B-9439-DF1F88201B0A}"/>
    <cellStyle name="注释 3 4 3 2 3" xfId="8514" xr:uid="{1544001E-EB0C-40F9-8FA8-3D46B11905B5}"/>
    <cellStyle name="注释 3 4 3 2 4" xfId="10218" xr:uid="{7107A17E-99AD-4612-8BAC-FB152169D6F8}"/>
    <cellStyle name="注释 3 4 3 2 5" xfId="11714" xr:uid="{605A3EDF-F4F4-408B-A679-6A78ED500179}"/>
    <cellStyle name="注释 3 4 3 2 6" xfId="13191" xr:uid="{EAD57C0B-2E28-436E-9F5B-ECCF0C31513F}"/>
    <cellStyle name="注释 3 4 3 2 7" xfId="14861" xr:uid="{FA901B56-84FB-48E2-BC79-721271C9831B}"/>
    <cellStyle name="注释 3 4 3 2 8" xfId="16531" xr:uid="{47E8209F-2497-4C58-9E5D-29ABD1B2F077}"/>
    <cellStyle name="注释 3 4 3 3" xfId="6327" xr:uid="{06E7EA93-2A54-4DC6-AD09-131AF97A036E}"/>
    <cellStyle name="注释 3 4 3 4" xfId="7554" xr:uid="{3F0D666C-4E12-4D02-B129-69372134507A}"/>
    <cellStyle name="注释 3 4 3 5" xfId="9242" xr:uid="{AF2E7A1D-EEE8-4A7C-AF7D-FE7A0CCA4A16}"/>
    <cellStyle name="注释 3 4 3 6" xfId="10954" xr:uid="{D8EA08B8-B355-4576-9D1F-88881295FA72}"/>
    <cellStyle name="注释 3 4 3 7" xfId="12233" xr:uid="{0A0C7FFC-7E89-4E80-9259-55B51F733C48}"/>
    <cellStyle name="注释 3 4 3 8" xfId="13885" xr:uid="{77CDD417-6403-4CA4-BAE6-D52E18F8187D}"/>
    <cellStyle name="注释 3 4 3 9" xfId="15573" xr:uid="{7E9C1994-CE3B-43E1-878A-7B72F9214D02}"/>
    <cellStyle name="注释 3 4 4" xfId="5993" xr:uid="{E27225EC-EE64-4852-93A2-A00F42F73B8F}"/>
    <cellStyle name="注释 3 5" xfId="3031" xr:uid="{3FB00614-FFDC-4473-983A-97E4C83B4C8D}"/>
    <cellStyle name="注释 3 5 2" xfId="3911" xr:uid="{7C4823B6-D7AF-4ECB-A36F-EBEA747CE012}"/>
    <cellStyle name="注释 3 5 2 2" xfId="4786" xr:uid="{0A6D1071-4FD5-44BC-A7E3-487BE226C39C}"/>
    <cellStyle name="注释 3 5 2 2 2" xfId="7281" xr:uid="{94B50441-395E-405F-BE78-E1EF0747D70C}"/>
    <cellStyle name="注释 3 5 2 2 3" xfId="8696" xr:uid="{9118BE88-9ECA-4453-87E6-2680B5E6E434}"/>
    <cellStyle name="注释 3 5 2 2 4" xfId="10403" xr:uid="{2B3A408C-7F7B-48B3-BD00-E6D61605BECF}"/>
    <cellStyle name="注释 3 5 2 2 5" xfId="11899" xr:uid="{ADC69C31-884B-4177-9665-7F3FDA52DD4F}"/>
    <cellStyle name="注释 3 5 2 2 6" xfId="13373" xr:uid="{A59610A1-3BED-423F-A42F-CE9FC793A032}"/>
    <cellStyle name="注释 3 5 2 2 7" xfId="15046" xr:uid="{E34DBC54-EBA3-49A6-BEC5-45A157F2D9B8}"/>
    <cellStyle name="注释 3 5 2 2 8" xfId="16713" xr:uid="{4D0A0881-FC9A-4AC2-BEA7-DF046D6279CD}"/>
    <cellStyle name="注释 3 5 2 3" xfId="6540" xr:uid="{2405AD73-FBE1-43C8-83A1-AAF3BF232DDB}"/>
    <cellStyle name="注释 3 5 2 4" xfId="7839" xr:uid="{4E350838-5612-44AA-83B1-DA55FCC32F9E}"/>
    <cellStyle name="注释 3 5 2 5" xfId="9530" xr:uid="{AFEC5E7C-68D6-48B4-8258-D7F917F3C90A}"/>
    <cellStyle name="注释 3 5 2 6" xfId="11171" xr:uid="{055083CF-6C41-426A-A9B1-B81ED6E92A90}"/>
    <cellStyle name="注释 3 5 2 7" xfId="12518" xr:uid="{112D40C8-A5F6-4B58-A6B7-BEB3EA17A982}"/>
    <cellStyle name="注释 3 5 2 8" xfId="14173" xr:uid="{483474A8-A9C3-4996-BD05-49AC58BB8AC1}"/>
    <cellStyle name="注释 3 5 2 9" xfId="15858" xr:uid="{03B75064-77DB-4E20-80FD-39B40DABE530}"/>
    <cellStyle name="注释 3 5 3" xfId="3473" xr:uid="{17B7DF84-2E33-43CC-9ACD-7EA95E9CE5AF}"/>
    <cellStyle name="注释 3 5 3 2" xfId="4500" xr:uid="{4EA19192-12F6-469B-9382-4852115E5FBD}"/>
    <cellStyle name="注释 3 5 3 2 2" xfId="6995" xr:uid="{ED7ABBE8-E1DC-4A21-8C2F-F6AFBC88C64D}"/>
    <cellStyle name="注释 3 5 3 2 3" xfId="8416" xr:uid="{AFBEACB2-D6CC-4D2C-9193-165E27419C56}"/>
    <cellStyle name="注释 3 5 3 2 4" xfId="10117" xr:uid="{919DA3D0-0666-4235-9020-E64F40B6E356}"/>
    <cellStyle name="注释 3 5 3 2 5" xfId="11613" xr:uid="{EA217D9A-1025-4363-B572-AFF0F831A9FA}"/>
    <cellStyle name="注释 3 5 3 2 6" xfId="13093" xr:uid="{889CDE3F-4295-4C47-9AFA-31710BF13865}"/>
    <cellStyle name="注释 3 5 3 2 7" xfId="14760" xr:uid="{2861D434-3DBA-4077-AF04-2DC32D4D75B0}"/>
    <cellStyle name="注释 3 5 3 2 8" xfId="16433" xr:uid="{83DDE17B-8BFC-4770-9F69-3771384BCEE4}"/>
    <cellStyle name="注释 3 5 3 3" xfId="6208" xr:uid="{5A479435-10C8-47EB-9A32-B4FA1ADAB0CF}"/>
    <cellStyle name="注释 3 5 3 4" xfId="5540" xr:uid="{FE77CE9B-356F-4548-8630-278E35BAC28E}"/>
    <cellStyle name="注释 3 5 3 5" xfId="9092" xr:uid="{8FC6CC6A-5AE0-431B-A4D1-7CDE77896142}"/>
    <cellStyle name="注释 3 5 3 6" xfId="10842" xr:uid="{97F6B061-7535-4A11-A9C4-B34324DE3A4A}"/>
    <cellStyle name="注释 3 5 3 7" xfId="5465" xr:uid="{1800A621-0337-461D-9F26-379B87C0A495}"/>
    <cellStyle name="注释 3 5 3 8" xfId="13735" xr:uid="{DCA59E9E-B0C1-4F7A-B0D2-303484F493FD}"/>
    <cellStyle name="注释 3 5 3 9" xfId="15426" xr:uid="{2BD14D5D-33A3-4070-AB4A-9BE3C6103BB4}"/>
    <cellStyle name="注释 3 5 4" xfId="5821" xr:uid="{CE54A567-DCA8-4052-A51B-A06E4426A839}"/>
    <cellStyle name="注释 3 6" xfId="3192" xr:uid="{678CB196-057F-4B88-AAA1-CF478A9ABAB0}"/>
    <cellStyle name="注释 3 6 10" xfId="5560" xr:uid="{239C64BF-8278-4800-81AA-BBDCDF1BA281}"/>
    <cellStyle name="注释 3 6 2" xfId="4072" xr:uid="{E94BA9FA-56E9-4A83-95EE-2A5FD525858C}"/>
    <cellStyle name="注释 3 6 2 2" xfId="4894" xr:uid="{AB254739-DD82-4488-ACC0-7221D00B15EE}"/>
    <cellStyle name="注释 3 6 2 2 2" xfId="7389" xr:uid="{573FB93B-DED0-4403-BED5-6011C87C52FC}"/>
    <cellStyle name="注释 3 6 2 2 3" xfId="8801" xr:uid="{DDA7C232-D596-47A9-90AC-06F5B1E6EC99}"/>
    <cellStyle name="注释 3 6 2 2 4" xfId="10511" xr:uid="{0C39D1DA-7BC1-4BA1-861D-75394A5ED916}"/>
    <cellStyle name="注释 3 6 2 2 5" xfId="12007" xr:uid="{CBF3B631-6D9E-43F4-82CE-871538AF95B9}"/>
    <cellStyle name="注释 3 6 2 2 6" xfId="13478" xr:uid="{1AB1DAA8-476A-4FA9-A058-448C20E218F4}"/>
    <cellStyle name="注释 3 6 2 2 7" xfId="15154" xr:uid="{50822EF0-6536-4227-990E-85B5EC611B87}"/>
    <cellStyle name="注释 3 6 2 2 8" xfId="16818" xr:uid="{610736AB-8544-4B64-B252-CBAE08AD2AA2}"/>
    <cellStyle name="注释 3 6 2 3" xfId="6661" xr:uid="{397FDE38-6FD2-4E5E-9C53-C6EDDD24CD8A}"/>
    <cellStyle name="注释 3 6 2 4" xfId="7997" xr:uid="{92421F1A-7AFA-4C9E-875F-71BC36FCB0B6}"/>
    <cellStyle name="注释 3 6 2 5" xfId="9691" xr:uid="{C9493614-8ABF-40F0-A314-5A5F63FB53AD}"/>
    <cellStyle name="注释 3 6 2 6" xfId="11288" xr:uid="{9790C9A0-75FB-4428-B395-1B1A3100876E}"/>
    <cellStyle name="注释 3 6 2 7" xfId="12676" xr:uid="{13D2A3B3-2A56-415F-BA58-8C8EFC70EF7B}"/>
    <cellStyle name="注释 3 6 2 8" xfId="14334" xr:uid="{FDCFDF95-02EA-4713-80DF-808DC9DE1218}"/>
    <cellStyle name="注释 3 6 2 9" xfId="16016" xr:uid="{8597F285-CAB5-404C-8080-4B1325603570}"/>
    <cellStyle name="注释 3 6 3" xfId="3634" xr:uid="{872BC2AF-DEED-4D2B-BE53-A74382A23460}"/>
    <cellStyle name="注释 3 6 3 2" xfId="4608" xr:uid="{EA47145A-0C35-4D13-A280-14E23A6A802A}"/>
    <cellStyle name="注释 3 6 3 2 2" xfId="7103" xr:uid="{7084D270-E755-4A01-804D-336A32230776}"/>
    <cellStyle name="注释 3 6 3 2 3" xfId="8521" xr:uid="{B0038889-1020-4647-BF12-4ED06C21204F}"/>
    <cellStyle name="注释 3 6 3 2 4" xfId="10225" xr:uid="{96E636B6-627A-4DAC-856D-ABA37911A099}"/>
    <cellStyle name="注释 3 6 3 2 5" xfId="11721" xr:uid="{F8889D64-31D6-49E8-8D0F-161F48C333E3}"/>
    <cellStyle name="注释 3 6 3 2 6" xfId="13198" xr:uid="{D60AAFA6-1DF5-4FB6-900C-6F7299DE94F7}"/>
    <cellStyle name="注释 3 6 3 2 7" xfId="14868" xr:uid="{D817191A-195C-489A-BFA8-0E408AA249A3}"/>
    <cellStyle name="注释 3 6 3 2 8" xfId="16538" xr:uid="{AF0B124F-6BBD-4CCB-A488-F33CF2AFBC67}"/>
    <cellStyle name="注释 3 6 3 3" xfId="6334" xr:uid="{6D131704-00DA-4F6B-A201-71CB347EEF8C}"/>
    <cellStyle name="注释 3 6 3 4" xfId="7565" xr:uid="{F8F3E7A8-528E-4D70-8A09-15FE1E4A3B1C}"/>
    <cellStyle name="注释 3 6 3 5" xfId="9253" xr:uid="{4DF332CD-7123-4DFD-8812-CEDCFCC580FF}"/>
    <cellStyle name="注释 3 6 3 6" xfId="10961" xr:uid="{F1E65F85-23EA-4856-AACE-C48E277EF14A}"/>
    <cellStyle name="注释 3 6 3 7" xfId="12244" xr:uid="{1A1F1B93-4A34-464F-B421-4694CD3F7F0A}"/>
    <cellStyle name="注释 3 6 3 8" xfId="13896" xr:uid="{F28261E1-743E-4202-8F8B-8ED93226B153}"/>
    <cellStyle name="注释 3 6 3 9" xfId="15584" xr:uid="{95D5B702-5B65-4C87-B268-F2CD463D3724}"/>
    <cellStyle name="注释 3 6 4" xfId="4353" xr:uid="{8662052B-7836-4E12-ACFE-AB44FA9A9E83}"/>
    <cellStyle name="注释 3 6 4 2" xfId="6870" xr:uid="{8D497298-D87F-49E3-B044-437EA2AA0BA0}"/>
    <cellStyle name="注释 3 6 4 3" xfId="8272" xr:uid="{59184C87-D550-41C6-8D74-FFD8ECB3A126}"/>
    <cellStyle name="注释 3 6 4 4" xfId="9970" xr:uid="{8601137A-6182-4889-A512-3678D2D546AF}"/>
    <cellStyle name="注释 3 6 4 5" xfId="11489" xr:uid="{12567FB4-C196-4E40-9D92-4ACEB7F765B9}"/>
    <cellStyle name="注释 3 6 4 6" xfId="12949" xr:uid="{02271512-1176-4799-AE20-402A937CED4D}"/>
    <cellStyle name="注释 3 6 4 7" xfId="14613" xr:uid="{90DF4B33-9867-4BDD-AAD5-1F0522E69EA3}"/>
    <cellStyle name="注释 3 6 4 8" xfId="16289" xr:uid="{FC1D192C-170C-4716-A9E8-AAAA83079732}"/>
    <cellStyle name="注释 3 6 5" xfId="6019" xr:uid="{98649F9E-E5C7-43E7-A02A-912D5CD9302D}"/>
    <cellStyle name="注释 3 6 6" xfId="5589" xr:uid="{873E39CF-702D-404B-B95D-398EDD382E8D}"/>
    <cellStyle name="注释 3 6 7" xfId="10665" xr:uid="{A0550902-89E9-40C1-B04C-0F9C08F48EEA}"/>
    <cellStyle name="注释 3 6 8" xfId="5396" xr:uid="{82BA336B-DEC8-4927-A8B1-355EC88C0773}"/>
    <cellStyle name="注释 3 6 9" xfId="5271" xr:uid="{0FBD4C9E-227F-4CA3-A982-8D2178D4376F}"/>
    <cellStyle name="注释 3 7" xfId="3180" xr:uid="{6A9EECBC-4365-489C-AED7-BE97B8654F57}"/>
    <cellStyle name="注释 3 7 10" xfId="10701" xr:uid="{59B03C97-E3D6-429A-96D6-3DC05E76E6C9}"/>
    <cellStyle name="注释 3 7 2" xfId="4060" xr:uid="{8369413C-F34B-4203-AB1A-DE19534214DE}"/>
    <cellStyle name="注释 3 7 2 2" xfId="4886" xr:uid="{67E63DF1-90C6-494A-94F4-E4489628E85E}"/>
    <cellStyle name="注释 3 7 2 2 2" xfId="7381" xr:uid="{E478F296-7B9B-4792-93FF-418302AC4D39}"/>
    <cellStyle name="注释 3 7 2 2 3" xfId="8793" xr:uid="{D81E87D1-477D-44CA-AC80-52D9A4C569E5}"/>
    <cellStyle name="注释 3 7 2 2 4" xfId="10503" xr:uid="{4C411D0F-2761-40F4-9121-DD2D745B6497}"/>
    <cellStyle name="注释 3 7 2 2 5" xfId="11999" xr:uid="{1692F9D6-6771-406B-8495-6857A0BBD569}"/>
    <cellStyle name="注释 3 7 2 2 6" xfId="13470" xr:uid="{05B1B561-8202-487F-BC3A-DC886D8E7A74}"/>
    <cellStyle name="注释 3 7 2 2 7" xfId="15146" xr:uid="{AF83E4D0-8019-4BA6-886A-7909580E9701}"/>
    <cellStyle name="注释 3 7 2 2 8" xfId="16810" xr:uid="{542A091F-3855-4D1D-AC65-F697CDCB0CD4}"/>
    <cellStyle name="注释 3 7 2 3" xfId="6653" xr:uid="{F1F66821-E101-4C1B-8C0B-9402C4C04EE5}"/>
    <cellStyle name="注释 3 7 2 4" xfId="7985" xr:uid="{D52C565A-7AE3-4921-96B0-193F966B1C9A}"/>
    <cellStyle name="注释 3 7 2 5" xfId="9679" xr:uid="{1B489EE3-1703-409B-8964-3DFA48F4D60F}"/>
    <cellStyle name="注释 3 7 2 6" xfId="11280" xr:uid="{8D036159-75E9-4944-8C77-FA3752CA19C7}"/>
    <cellStyle name="注释 3 7 2 7" xfId="12664" xr:uid="{15E86CB2-5811-45E9-A2FF-776D3D28DE61}"/>
    <cellStyle name="注释 3 7 2 8" xfId="14322" xr:uid="{BF8EAA3F-94DE-4894-BAE4-C9217FE0EECF}"/>
    <cellStyle name="注释 3 7 2 9" xfId="16004" xr:uid="{5C3A88EE-D263-4052-A977-0E8BD1A2F0B1}"/>
    <cellStyle name="注释 3 7 3" xfId="3622" xr:uid="{C7FF767C-1485-4D34-8004-EF50857A768F}"/>
    <cellStyle name="注释 3 7 3 2" xfId="4600" xr:uid="{D635D0E9-F90C-40C9-84F2-57AE06D95562}"/>
    <cellStyle name="注释 3 7 3 2 2" xfId="7095" xr:uid="{C78E8632-272D-4CF7-AB9E-A21ED796774E}"/>
    <cellStyle name="注释 3 7 3 2 3" xfId="8513" xr:uid="{EA0A4996-11B8-49A3-8982-537F831914AC}"/>
    <cellStyle name="注释 3 7 3 2 4" xfId="10217" xr:uid="{F96AD592-7094-46DA-ADE8-675AAF71CB67}"/>
    <cellStyle name="注释 3 7 3 2 5" xfId="11713" xr:uid="{7658BD81-8F75-4373-995F-F7CAC27DE9A0}"/>
    <cellStyle name="注释 3 7 3 2 6" xfId="13190" xr:uid="{D08DCEA8-B9E7-4381-A8DA-AAD6FF93EFB3}"/>
    <cellStyle name="注释 3 7 3 2 7" xfId="14860" xr:uid="{075B1DF8-9880-47C5-A5A4-E95713D0A651}"/>
    <cellStyle name="注释 3 7 3 2 8" xfId="16530" xr:uid="{61B2112B-09E4-4143-A0C7-D7AC4260AB2F}"/>
    <cellStyle name="注释 3 7 3 3" xfId="6326" xr:uid="{B0646DA8-4B35-41A5-8E59-C2ED66B079A6}"/>
    <cellStyle name="注释 3 7 3 4" xfId="7553" xr:uid="{93EF38BB-DD8F-46C8-B414-B3A5CDD4EF42}"/>
    <cellStyle name="注释 3 7 3 5" xfId="9241" xr:uid="{55709FB8-9687-4940-A72F-1B278AE8662B}"/>
    <cellStyle name="注释 3 7 3 6" xfId="10953" xr:uid="{77338186-6BFB-4A65-B55B-AFAE2CA9A433}"/>
    <cellStyle name="注释 3 7 3 7" xfId="12232" xr:uid="{4BC08521-6FE5-45E7-8284-133D5BEF6358}"/>
    <cellStyle name="注释 3 7 3 8" xfId="13884" xr:uid="{03E2063D-A1FF-44C5-B88C-E5B3D2063D32}"/>
    <cellStyle name="注释 3 7 3 9" xfId="15572" xr:uid="{50320857-DBAF-4FD9-94E8-1786DED5D7DD}"/>
    <cellStyle name="注释 3 7 4" xfId="4346" xr:uid="{E336CF83-93C7-4016-A0CF-2E6DD4A2571D}"/>
    <cellStyle name="注释 3 7 4 2" xfId="6864" xr:uid="{3DE56CA4-B209-49D3-8136-F4DC03817BB7}"/>
    <cellStyle name="注释 3 7 4 3" xfId="8265" xr:uid="{5AC6AD77-C422-4996-930E-6EFF89553E1C}"/>
    <cellStyle name="注释 3 7 4 4" xfId="9963" xr:uid="{859450F0-7C20-4FCD-A924-EDF54C011EF8}"/>
    <cellStyle name="注释 3 7 4 5" xfId="11483" xr:uid="{70EC63EA-56B9-45B9-B644-F297460B58E6}"/>
    <cellStyle name="注释 3 7 4 6" xfId="12942" xr:uid="{7681517E-ACC7-469F-A6CC-CCFDB44FA1AD}"/>
    <cellStyle name="注释 3 7 4 7" xfId="14606" xr:uid="{F40FD5EA-B8BF-45C2-BAD8-323491D6EAB3}"/>
    <cellStyle name="注释 3 7 4 8" xfId="16282" xr:uid="{60C7B28C-F6F0-450E-9CEA-D5C45838807B}"/>
    <cellStyle name="注释 3 7 5" xfId="6010" xr:uid="{D51A4A13-4E1D-404C-962E-891644C3E60A}"/>
    <cellStyle name="注释 3 7 6" xfId="5736" xr:uid="{4B17B4A5-8FE0-49C0-BAF6-373C5D581AF3}"/>
    <cellStyle name="注释 3 7 7" xfId="10657" xr:uid="{87C36FC2-63EF-4C64-AB01-296A1CE864AF}"/>
    <cellStyle name="注释 3 7 8" xfId="5756" xr:uid="{DE75B8C1-F783-48D2-80C1-BCAEF4E16950}"/>
    <cellStyle name="注释 3 7 9" xfId="11272" xr:uid="{59F1595B-2A82-431A-94B0-412A5DBDBE5B}"/>
    <cellStyle name="注释 3 8" xfId="3227" xr:uid="{528D4C94-8F62-413F-B86E-26292B34F95D}"/>
    <cellStyle name="注释 3 8 10" xfId="15279" xr:uid="{F4F5A1FC-3510-4818-82BA-83A69BDBB1C6}"/>
    <cellStyle name="注释 3 8 2" xfId="4107" xr:uid="{C57CF179-C54D-421C-9839-FCE30842AE07}"/>
    <cellStyle name="注释 3 8 2 2" xfId="4916" xr:uid="{2A523ADB-B315-4A72-9A3D-43FC1FB7B41C}"/>
    <cellStyle name="注释 3 8 2 2 2" xfId="7411" xr:uid="{772EFEC5-F19B-4732-A6F6-2B509F3316B4}"/>
    <cellStyle name="注释 3 8 2 2 3" xfId="8823" xr:uid="{BF8175C9-4203-403B-BA0A-AACC34E20225}"/>
    <cellStyle name="注释 3 8 2 2 4" xfId="10533" xr:uid="{A0D8243F-66C3-4330-B3BD-D9E9501E5595}"/>
    <cellStyle name="注释 3 8 2 2 5" xfId="12029" xr:uid="{EEEFC2CC-EEE8-4525-8E16-483BAB10CB3B}"/>
    <cellStyle name="注释 3 8 2 2 6" xfId="13500" xr:uid="{D0E7DF04-78CC-4A5C-85AA-578F297A5A65}"/>
    <cellStyle name="注释 3 8 2 2 7" xfId="15176" xr:uid="{961FAD56-D492-442D-80A3-AF844A6B75C1}"/>
    <cellStyle name="注释 3 8 2 2 8" xfId="16840" xr:uid="{B1133FDF-C1F6-4088-9A78-1195FA4643FF}"/>
    <cellStyle name="注释 3 8 2 3" xfId="6686" xr:uid="{681C647B-1299-4438-A86F-B7400616FEC3}"/>
    <cellStyle name="注释 3 8 2 4" xfId="8032" xr:uid="{FBE738A7-AC73-498B-AFB8-B77F2273C21D}"/>
    <cellStyle name="注释 3 8 2 5" xfId="9726" xr:uid="{DABCF385-19E4-4BBA-910F-4B3161A7E830}"/>
    <cellStyle name="注释 3 8 2 6" xfId="11313" xr:uid="{C0A3012A-BD03-468A-8A67-BBF979C2E192}"/>
    <cellStyle name="注释 3 8 2 7" xfId="12711" xr:uid="{583C0915-EAB8-457D-B5F5-2653694E43F8}"/>
    <cellStyle name="注释 3 8 2 8" xfId="14369" xr:uid="{115444AC-45A3-4288-B5FA-DBA85BAA5427}"/>
    <cellStyle name="注释 3 8 2 9" xfId="16051" xr:uid="{C6546BD2-B316-49D4-9441-C05EF28DE9EC}"/>
    <cellStyle name="注释 3 8 3" xfId="3669" xr:uid="{6CD01B51-927B-4BC9-860B-7E47FD792022}"/>
    <cellStyle name="注释 3 8 3 2" xfId="4630" xr:uid="{FEA2CE94-9D13-4894-B4BA-3A73BE13901C}"/>
    <cellStyle name="注释 3 8 3 2 2" xfId="7125" xr:uid="{5E74F53B-6F0D-4C31-A808-747B7D1257BD}"/>
    <cellStyle name="注释 3 8 3 2 3" xfId="8543" xr:uid="{E37DD300-F789-46B5-9DD7-4F899C237E43}"/>
    <cellStyle name="注释 3 8 3 2 4" xfId="10247" xr:uid="{4F44BB4F-322E-4A93-AE33-5DFBDBD9EC2A}"/>
    <cellStyle name="注释 3 8 3 2 5" xfId="11743" xr:uid="{F6735602-D98B-4521-A5F6-73A52969765F}"/>
    <cellStyle name="注释 3 8 3 2 6" xfId="13220" xr:uid="{90A274C6-96E5-4D41-AC1D-AFA2E42709D2}"/>
    <cellStyle name="注释 3 8 3 2 7" xfId="14890" xr:uid="{E285B430-AA17-4BDC-807F-F7671AD904DB}"/>
    <cellStyle name="注释 3 8 3 2 8" xfId="16560" xr:uid="{015148F1-B440-4B22-80B9-7D8430E7C1A5}"/>
    <cellStyle name="注释 3 8 3 3" xfId="6360" xr:uid="{F0D52BC8-1B27-4ABD-AE52-00658A76C1BE}"/>
    <cellStyle name="注释 3 8 3 4" xfId="7600" xr:uid="{42148345-9127-4ACD-97DE-9CF05C29F5A1}"/>
    <cellStyle name="注释 3 8 3 5" xfId="9288" xr:uid="{42483DBD-ECA0-4304-A544-64A61C9B22B3}"/>
    <cellStyle name="注释 3 8 3 6" xfId="10985" xr:uid="{5150BBFC-528A-48CF-BCDC-B29100EE1278}"/>
    <cellStyle name="注释 3 8 3 7" xfId="12279" xr:uid="{9C470668-C3EA-47FB-9A30-07ED7F756DD3}"/>
    <cellStyle name="注释 3 8 3 8" xfId="13931" xr:uid="{6CBE1F9C-65B2-4ADF-A0E6-4DECDABBEA0F}"/>
    <cellStyle name="注释 3 8 3 9" xfId="15619" xr:uid="{29F49A83-4347-4F0C-BBA4-531200BFF117}"/>
    <cellStyle name="注释 3 8 4" xfId="4376" xr:uid="{633B5F56-6E22-4951-9671-23D5F92BC080}"/>
    <cellStyle name="注释 3 8 4 2" xfId="6888" xr:uid="{BC7151BD-0034-4C7C-AFBE-E417D2947AD5}"/>
    <cellStyle name="注释 3 8 4 3" xfId="8295" xr:uid="{AAC52DE3-1377-42CA-A28A-E3C933BFDF5F}"/>
    <cellStyle name="注释 3 8 4 4" xfId="9993" xr:uid="{833A6BA6-8E1F-4178-8E78-BE3602E96044}"/>
    <cellStyle name="注释 3 8 4 5" xfId="11506" xr:uid="{B30B265E-14FE-44BD-A338-F7EA12BE29ED}"/>
    <cellStyle name="注释 3 8 4 6" xfId="12972" xr:uid="{2F22FC43-4FDC-46A7-AD65-1DC2CAC3E9F1}"/>
    <cellStyle name="注释 3 8 4 7" xfId="14636" xr:uid="{65A709FE-5290-421B-8F50-5AA922451260}"/>
    <cellStyle name="注释 3 8 4 8" xfId="16312" xr:uid="{68068AAF-8401-4855-B29C-ADC6DCE90B04}"/>
    <cellStyle name="注释 3 8 5" xfId="6049" xr:uid="{B51E1E80-8960-401D-B960-4660C4A5701E}"/>
    <cellStyle name="注释 3 8 6" xfId="5742" xr:uid="{19AEBBAF-FF3F-475E-9C73-30307914C655}"/>
    <cellStyle name="注释 3 8 7" xfId="10691" xr:uid="{66916985-415B-454B-9033-771DDF2FCD80}"/>
    <cellStyle name="注释 3 8 8" xfId="5051" xr:uid="{79B642E1-2C23-4FB6-856E-14D214449692}"/>
    <cellStyle name="注释 3 8 9" xfId="5670" xr:uid="{01D93484-D32D-4669-87B3-42D6559DF078}"/>
    <cellStyle name="注释 3 9" xfId="3850" xr:uid="{95B1BDEA-F25C-41A2-AB0B-6D63CB1CA708}"/>
    <cellStyle name="注释 3 9 2" xfId="4746" xr:uid="{00E6886C-166C-45E0-9303-4934BF1B0957}"/>
    <cellStyle name="注释 3 9 2 2" xfId="7241" xr:uid="{6F4B5682-7599-4A8A-90D4-44D6AAAF1855}"/>
    <cellStyle name="注释 3 9 2 3" xfId="8657" xr:uid="{7520687D-1719-4C86-89F7-5C864AB41406}"/>
    <cellStyle name="注释 3 9 2 4" xfId="10363" xr:uid="{00F69D6C-FBAF-42A4-AD20-F446FA6BA41B}"/>
    <cellStyle name="注释 3 9 2 5" xfId="11859" xr:uid="{92242118-D59F-4354-80BF-26C5B96D2085}"/>
    <cellStyle name="注释 3 9 2 6" xfId="13334" xr:uid="{6EE7676A-E55D-4A2D-97C2-8FDA3292F79E}"/>
    <cellStyle name="注释 3 9 2 7" xfId="15006" xr:uid="{4470FD8C-DCCD-4B38-A6E4-1EEF5A56A252}"/>
    <cellStyle name="注释 3 9 2 8" xfId="16674" xr:uid="{1A7C865B-714C-4C50-BB49-AB4205B769B5}"/>
    <cellStyle name="注释 3 9 3" xfId="6493" xr:uid="{4E85A960-D24D-4B53-84F0-EC763ACB250D}"/>
    <cellStyle name="注释 3 9 4" xfId="7779" xr:uid="{8BB11E55-9515-4B0E-8B7B-B488198BEC22}"/>
    <cellStyle name="注释 3 9 5" xfId="9469" xr:uid="{E526C331-FABC-43AF-B6B0-6E43F6365919}"/>
    <cellStyle name="注释 3 9 6" xfId="11123" xr:uid="{6332C321-9E66-41CF-871F-A6025A6209F5}"/>
    <cellStyle name="注释 3 9 7" xfId="12458" xr:uid="{FDAB52FA-470B-45EC-AC26-20F7C32FADFD}"/>
    <cellStyle name="注释 3 9 8" xfId="14112" xr:uid="{BD70C338-9A6D-4347-A743-23383A934855}"/>
    <cellStyle name="注释 3 9 9" xfId="15798" xr:uid="{1F6F4F2E-3CB1-4C72-B952-EF092B3E49F2}"/>
    <cellStyle name="注释 4" xfId="3016" xr:uid="{DB509DA5-70C0-4026-AE54-A371853B5FF5}"/>
    <cellStyle name="注释 4 2" xfId="3896" xr:uid="{78732442-7C91-4954-8E67-A7AA5F383E58}"/>
    <cellStyle name="注释 4 2 2" xfId="4775" xr:uid="{9938AC46-8C5D-46A4-A477-D5EA7C4A018D}"/>
    <cellStyle name="注释 4 2 2 2" xfId="7270" xr:uid="{C23F285C-2A6E-47D8-B2CD-CCB1B515AB36}"/>
    <cellStyle name="注释 4 2 2 3" xfId="8685" xr:uid="{02233C19-3FC5-4F51-BE6E-4B5C9658A4DE}"/>
    <cellStyle name="注释 4 2 2 4" xfId="10392" xr:uid="{F28E93A6-DDE6-402F-8825-DB0A04B3465D}"/>
    <cellStyle name="注释 4 2 2 5" xfId="11888" xr:uid="{92CA9777-3060-43D4-8C02-5680BFC4440A}"/>
    <cellStyle name="注释 4 2 2 6" xfId="13362" xr:uid="{918E3332-0E3B-4E7C-9C28-0FAFA3E5B141}"/>
    <cellStyle name="注释 4 2 2 7" xfId="15035" xr:uid="{2057A821-02FE-4827-A724-520A644B2CCD}"/>
    <cellStyle name="注释 4 2 2 8" xfId="16702" xr:uid="{B126D0D1-02B6-4599-A1DC-2CBCAF008142}"/>
    <cellStyle name="注释 4 2 3" xfId="6529" xr:uid="{31D1DBEC-22DB-44A5-927C-1A3357C898E6}"/>
    <cellStyle name="注释 4 2 4" xfId="7824" xr:uid="{C5DDA59A-F35E-498F-903A-D5DD037E0ABF}"/>
    <cellStyle name="注释 4 2 5" xfId="9515" xr:uid="{5FB65769-E234-445A-A9EA-A02CD9C30FD4}"/>
    <cellStyle name="注释 4 2 6" xfId="11160" xr:uid="{C6AD7738-DB0F-4BAB-8F38-B89C477EF2DB}"/>
    <cellStyle name="注释 4 2 7" xfId="12503" xr:uid="{CFA53B53-6B9E-44EC-8205-445E82FE2977}"/>
    <cellStyle name="注释 4 2 8" xfId="14158" xr:uid="{3F5D0D79-CAED-4784-BF1B-7650D36E1142}"/>
    <cellStyle name="注释 4 2 9" xfId="15843" xr:uid="{CC701C4F-83EC-48DF-AE7C-CCBD9B5BD989}"/>
    <cellStyle name="注释 4 3" xfId="3458" xr:uid="{B1BA069A-9AEE-46B2-8175-B611F76C98E3}"/>
    <cellStyle name="注释 4 3 2" xfId="4489" xr:uid="{2021846E-A959-4B4E-A624-9F3863AABBA5}"/>
    <cellStyle name="注释 4 3 2 2" xfId="6984" xr:uid="{0E47D63D-A654-4B0C-ACC9-D4E928396A28}"/>
    <cellStyle name="注释 4 3 2 3" xfId="8405" xr:uid="{5AF7F442-FF2E-4A14-8E0E-F47D413B849F}"/>
    <cellStyle name="注释 4 3 2 4" xfId="10106" xr:uid="{9B929697-F529-4AE5-85C5-A3C68B52C23D}"/>
    <cellStyle name="注释 4 3 2 5" xfId="11602" xr:uid="{48659B74-A397-4BF9-B256-DBB9090FFC94}"/>
    <cellStyle name="注释 4 3 2 6" xfId="13082" xr:uid="{3E7A926B-7883-4A24-BC6A-68C9494213C4}"/>
    <cellStyle name="注释 4 3 2 7" xfId="14749" xr:uid="{1EB236D9-4837-4F58-A587-FA50ED49C6E7}"/>
    <cellStyle name="注释 4 3 2 8" xfId="16422" xr:uid="{F87AAFE1-2E7A-45DB-9FC0-E19DEE161AEA}"/>
    <cellStyle name="注释 4 3 3" xfId="6197" xr:uid="{0AF1A4C2-B5D3-44D1-ADA7-5E5C352B435A}"/>
    <cellStyle name="注释 4 3 4" xfId="5188" xr:uid="{E5100A44-79D7-4CAF-A42B-1F22FC1A7C28}"/>
    <cellStyle name="注释 4 3 5" xfId="9077" xr:uid="{7398031A-EAB2-4890-A540-23D93F532093}"/>
    <cellStyle name="注释 4 3 6" xfId="10831" xr:uid="{4374DFD7-292B-4891-845F-6C29D31F4E29}"/>
    <cellStyle name="注释 4 3 7" xfId="5727" xr:uid="{C2B00F41-915F-4C8E-8BDA-594B2A0841A9}"/>
    <cellStyle name="注释 4 3 8" xfId="13720" xr:uid="{EF434216-8C31-4504-9CF6-991A44E79258}"/>
    <cellStyle name="注释 4 3 9" xfId="15411" xr:uid="{5406B4A7-9DA1-44AB-9890-CBAF9A5FC9A8}"/>
    <cellStyle name="注释 4 4" xfId="5822" xr:uid="{15506BF9-A330-44EB-B59D-D6C73DC9BEE4}"/>
    <cellStyle name="注释 5" xfId="3071" xr:uid="{530A5759-5FF4-45FF-8E4B-41ABDC587622}"/>
    <cellStyle name="注释 5 10" xfId="11529" xr:uid="{13BCD721-B657-4C73-87AE-B19847896D1B}"/>
    <cellStyle name="注释 5 2" xfId="3951" xr:uid="{F90B7E8D-2F53-4C9E-A6C8-68E9C782AC0D}"/>
    <cellStyle name="注释 5 2 2" xfId="4815" xr:uid="{870FE84F-7BC7-4A82-8529-7EA4CF8AB4FD}"/>
    <cellStyle name="注释 5 2 2 2" xfId="7310" xr:uid="{23181422-FABD-4FD6-9A0E-7317ECFC6BE5}"/>
    <cellStyle name="注释 5 2 2 3" xfId="8724" xr:uid="{D6D9864F-2C9A-4D36-8995-547098068301}"/>
    <cellStyle name="注释 5 2 2 4" xfId="10432" xr:uid="{53E69234-310F-4780-815A-A108E85D67C4}"/>
    <cellStyle name="注释 5 2 2 5" xfId="11928" xr:uid="{65D8B4CA-C7EF-48A2-9347-59DF37721251}"/>
    <cellStyle name="注释 5 2 2 6" xfId="13401" xr:uid="{823C0B2E-114A-4FA7-9D90-0E9DF75FF757}"/>
    <cellStyle name="注释 5 2 2 7" xfId="15075" xr:uid="{98A9A32A-F20D-4A82-8CEA-E58CEA8DA0E8}"/>
    <cellStyle name="注释 5 2 2 8" xfId="16741" xr:uid="{DAF63652-041D-4C61-9291-6E7B42EFECD5}"/>
    <cellStyle name="注释 5 2 3" xfId="6572" xr:uid="{98C006FD-CD2D-416E-B9E2-E895EAF95B40}"/>
    <cellStyle name="注释 5 2 4" xfId="7878" xr:uid="{02FC13F0-22F4-4B9E-871F-F86F0B6857DB}"/>
    <cellStyle name="注释 5 2 5" xfId="9570" xr:uid="{70AD27C2-75C7-401E-AA39-0F3452F629C2}"/>
    <cellStyle name="注释 5 2 6" xfId="11202" xr:uid="{F5DF0FA0-2E77-4A02-987D-34BC5AC38DBC}"/>
    <cellStyle name="注释 5 2 7" xfId="12557" xr:uid="{F2389376-452D-45E5-9502-680C7BF07136}"/>
    <cellStyle name="注释 5 2 8" xfId="14213" xr:uid="{B3E80C33-93A5-48F6-9FBF-7270E9785231}"/>
    <cellStyle name="注释 5 2 9" xfId="15897" xr:uid="{4439A52B-6916-4472-A816-AC13894588D1}"/>
    <cellStyle name="注释 5 3" xfId="3513" xr:uid="{2F56B5A3-0FC2-40D0-8933-FEBF7BF29F9F}"/>
    <cellStyle name="注释 5 3 2" xfId="4529" xr:uid="{F7621150-18E0-4D28-B52A-081D27CA600E}"/>
    <cellStyle name="注释 5 3 2 2" xfId="7024" xr:uid="{DC8DF700-7D2A-48B1-84CE-39A2D9D5A462}"/>
    <cellStyle name="注释 5 3 2 3" xfId="8444" xr:uid="{C363FE92-8A19-40AE-A1BF-2EE16B34A873}"/>
    <cellStyle name="注释 5 3 2 4" xfId="10146" xr:uid="{0DA3056A-C70A-480D-BB00-E2D947A49176}"/>
    <cellStyle name="注释 5 3 2 5" xfId="11642" xr:uid="{25208B95-3893-4E0F-99D4-5C037C66E4E4}"/>
    <cellStyle name="注释 5 3 2 6" xfId="13121" xr:uid="{5000D8D4-FB9D-4042-A413-0102BE485A92}"/>
    <cellStyle name="注释 5 3 2 7" xfId="14789" xr:uid="{0E9D82DA-870C-49BE-92F0-DD4438E2B9C3}"/>
    <cellStyle name="注释 5 3 2 8" xfId="16461" xr:uid="{357754D2-3DB7-403D-A415-B7E5B9C94ADE}"/>
    <cellStyle name="注释 5 3 3" xfId="6242" xr:uid="{469FA1AA-391E-470C-8303-2D07E99E6BD5}"/>
    <cellStyle name="注释 5 3 4" xfId="5060" xr:uid="{7F31938C-FEDC-431A-8E6D-9D6A8DAC7AFD}"/>
    <cellStyle name="注释 5 3 5" xfId="9132" xr:uid="{3608853A-A3EF-47A0-82D3-7C19939F07B1}"/>
    <cellStyle name="注释 5 3 6" xfId="10873" xr:uid="{228FC506-B450-4301-9F35-723EFB1E6B3A}"/>
    <cellStyle name="注释 5 3 7" xfId="5527" xr:uid="{8669E99F-B80C-4B11-A06C-C659B02B2648}"/>
    <cellStyle name="注释 5 3 8" xfId="13775" xr:uid="{84A5EBFF-7660-459B-B8AD-BE4D3282ECCD}"/>
    <cellStyle name="注释 5 3 9" xfId="15465" xr:uid="{93FD7E19-54DA-49A2-A834-7849CBAF3174}"/>
    <cellStyle name="注释 5 4" xfId="4310" xr:uid="{CE94AE41-8637-448A-9824-0BC790870C7B}"/>
    <cellStyle name="注释 5 4 2" xfId="6836" xr:uid="{E8F0F2CE-B787-41FC-A5C7-35AF71F861C0}"/>
    <cellStyle name="注释 5 4 3" xfId="8231" xr:uid="{F282F4F3-32ED-4D6C-B21C-0897F1891E29}"/>
    <cellStyle name="注释 5 4 4" xfId="9927" xr:uid="{56E7E453-2773-4AEF-9236-82082D337E51}"/>
    <cellStyle name="注释 5 4 5" xfId="11455" xr:uid="{4802BB5F-66F6-469C-BBA1-7814C1297E74}"/>
    <cellStyle name="注释 5 4 6" xfId="12908" xr:uid="{F93BDF73-D421-458C-8CB0-EA8969FF6412}"/>
    <cellStyle name="注释 5 4 7" xfId="14570" xr:uid="{82B950C1-A4A8-4B6D-955E-5D4A423342F8}"/>
    <cellStyle name="注释 5 4 8" xfId="16248" xr:uid="{B937750E-FA27-423E-B8DC-B82298969E18}"/>
    <cellStyle name="注释 5 5" xfId="5949" xr:uid="{C7463327-0096-4D51-AB16-E925E8D7F63A}"/>
    <cellStyle name="注释 5 6" xfId="5701" xr:uid="{5644096A-C3F5-432F-9095-399F2ACF1484}"/>
    <cellStyle name="注释 5 7" xfId="5575" xr:uid="{FD07C094-7E4A-4BB2-A846-1AB1E8627C18}"/>
    <cellStyle name="注释 5 8" xfId="5843" xr:uid="{09D992E8-C233-43CA-BF26-DDD53C1538A7}"/>
    <cellStyle name="注释 5 9" xfId="5352" xr:uid="{CFD21E07-7842-4489-BF6D-C59A428D93A4}"/>
    <cellStyle name="注释 6" xfId="3337" xr:uid="{01B4042B-5465-402C-9EAA-1134A0A96FD8}"/>
    <cellStyle name="注释 6 10" xfId="15302" xr:uid="{9AA3305B-717F-4E95-AC5C-018C676D446C}"/>
    <cellStyle name="注释 6 2" xfId="4217" xr:uid="{2C233F53-C1F1-498B-B77C-B24B45F46C41}"/>
    <cellStyle name="注释 6 2 2" xfId="4990" xr:uid="{2E0EE84D-8E7F-476A-A6EB-D893C8E0DB19}"/>
    <cellStyle name="注释 6 2 2 2" xfId="7485" xr:uid="{1E6588D2-964D-4131-93EA-C5C548498D81}"/>
    <cellStyle name="注释 6 2 2 3" xfId="8895" xr:uid="{763CD8B5-CCBB-4E84-8113-A7185222F599}"/>
    <cellStyle name="注释 6 2 2 4" xfId="10607" xr:uid="{7AA74FA0-1D5A-4871-9EB9-A66EE642232F}"/>
    <cellStyle name="注释 6 2 2 5" xfId="12103" xr:uid="{56B634F2-7D0E-4B48-850D-74C3362C98D3}"/>
    <cellStyle name="注释 6 2 2 6" xfId="13572" xr:uid="{95792608-70B3-461A-B878-CA455D993E54}"/>
    <cellStyle name="注释 6 2 2 7" xfId="15250" xr:uid="{8106EBA7-FC41-4113-B794-3A18A3ADCB74}"/>
    <cellStyle name="注释 6 2 2 8" xfId="16912" xr:uid="{C673D10F-4B2F-4B7E-8717-7D1F798968B7}"/>
    <cellStyle name="注释 6 2 3" xfId="6770" xr:uid="{F20FB76A-0613-4A4F-97DC-D69C2E3AF3A2}"/>
    <cellStyle name="注释 6 2 4" xfId="8140" xr:uid="{C8631784-2133-44B3-BE47-CF6C400220CE}"/>
    <cellStyle name="注释 6 2 5" xfId="9836" xr:uid="{8A6AD6BE-3816-44E0-A498-11030BFEBD2E}"/>
    <cellStyle name="注释 6 2 6" xfId="11396" xr:uid="{B07C1084-DA91-450D-8099-BD8257F224D2}"/>
    <cellStyle name="注释 6 2 7" xfId="12819" xr:uid="{04F3A2E8-8501-4CAD-B7AE-3D76DD1CB094}"/>
    <cellStyle name="注释 6 2 8" xfId="14479" xr:uid="{5CE399DF-6DBC-4ECA-9E41-ED018FBC1586}"/>
    <cellStyle name="注释 6 2 9" xfId="16159" xr:uid="{425EEE5B-E1F2-44D1-9DE5-5E380585B11F}"/>
    <cellStyle name="注释 6 3" xfId="3777" xr:uid="{82C8C040-BFC9-49F9-9EC4-C651C9911694}"/>
    <cellStyle name="注释 6 3 2" xfId="4702" xr:uid="{09DAC9ED-376A-486F-BF42-CB3DAF8A3D95}"/>
    <cellStyle name="注释 6 3 2 2" xfId="7197" xr:uid="{FC1A1F64-1D4F-409C-8F1E-E8CB3F24D768}"/>
    <cellStyle name="注释 6 3 2 3" xfId="8615" xr:uid="{9DBE5167-A1CC-487E-BBAB-03EA688F8933}"/>
    <cellStyle name="注释 6 3 2 4" xfId="10319" xr:uid="{A2A04672-FB27-4051-B13F-22AC4186A762}"/>
    <cellStyle name="注释 6 3 2 5" xfId="11815" xr:uid="{22748974-556F-4BB1-BA23-B08B64532BBA}"/>
    <cellStyle name="注释 6 3 2 6" xfId="13292" xr:uid="{80CD3AF3-8AFB-42BD-AE00-1897EECF28B6}"/>
    <cellStyle name="注释 6 3 2 7" xfId="14962" xr:uid="{42B679FA-8474-4126-A2FB-4EF7B1505799}"/>
    <cellStyle name="注释 6 3 2 8" xfId="16632" xr:uid="{F4A2C5E4-0EDF-4FE9-8C6F-7EBD49C9990E}"/>
    <cellStyle name="注释 6 3 3" xfId="6441" xr:uid="{F8211C80-C427-4F96-A856-92A0E90F9567}"/>
    <cellStyle name="注释 6 3 4" xfId="7708" xr:uid="{BB5BE17D-C73F-4415-93A1-5EBC1527EB9A}"/>
    <cellStyle name="注释 6 3 5" xfId="9396" xr:uid="{A1C6C147-B6CD-41C2-A290-0117C9B600B3}"/>
    <cellStyle name="注释 6 3 6" xfId="11070" xr:uid="{3F7056AE-3507-4FC1-B68D-E4B0A375B0B2}"/>
    <cellStyle name="注释 6 3 7" xfId="12387" xr:uid="{55F003B3-9442-4DA0-91AB-68281A9A79B4}"/>
    <cellStyle name="注释 6 3 8" xfId="14039" xr:uid="{C3E285AA-E3A2-4AAD-BA3A-9B007DA55F64}"/>
    <cellStyle name="注释 6 3 9" xfId="15727" xr:uid="{C6DB4ADE-8DB1-4E10-8E52-9290F4ADFCBF}"/>
    <cellStyle name="注释 6 4" xfId="4401" xr:uid="{6334BD7A-1352-4D42-9CFF-FDACDF36C7A0}"/>
    <cellStyle name="注释 6 4 2" xfId="6907" xr:uid="{C150EE50-38D1-4739-91B0-2D867CE3B34E}"/>
    <cellStyle name="注释 6 4 3" xfId="8318" xr:uid="{67267A54-DF89-4E53-B77E-F8D2FA51658B}"/>
    <cellStyle name="注释 6 4 4" xfId="10018" xr:uid="{CADF21A3-B4C1-40AE-8B49-3663F107C98F}"/>
    <cellStyle name="注释 6 4 5" xfId="11527" xr:uid="{2A1CD2B5-834A-4690-A5D1-5FC4FD579220}"/>
    <cellStyle name="注释 6 4 6" xfId="12995" xr:uid="{C440E1C1-5F1E-417C-A91F-A9CC5BD65F60}"/>
    <cellStyle name="注释 6 4 7" xfId="14661" xr:uid="{E9E04209-5C01-42A5-88D3-DAF5E309C0D8}"/>
    <cellStyle name="注释 6 4 8" xfId="16335" xr:uid="{DCFDA8A3-9AC1-41F8-8C49-1DCD02BE9899}"/>
    <cellStyle name="注释 6 5" xfId="6101" xr:uid="{39FD69A0-7EF9-4EEE-8640-5E09A8725647}"/>
    <cellStyle name="注释 6 6" xfId="5673" xr:uid="{40D16C7D-68E9-4FA3-96BF-999AD4A82272}"/>
    <cellStyle name="注释 6 7" xfId="10733" xr:uid="{1B44E1BE-2849-43E3-9D33-ABAD61CC0160}"/>
    <cellStyle name="注释 6 8" xfId="5563" xr:uid="{298F9824-68B9-4F1B-BED6-FD50305F4935}"/>
    <cellStyle name="注释 6 9" xfId="13611" xr:uid="{B4C5BF9E-4088-463E-B558-96299673B121}"/>
    <cellStyle name="注释 7" xfId="3832" xr:uid="{5BD5870A-3589-4B4E-91E3-19DAE6ED392C}"/>
    <cellStyle name="注释 7 2" xfId="4732" xr:uid="{E308A2FE-304C-4AB7-BD3D-E03CBEBCF5BF}"/>
    <cellStyle name="注释 7 2 2" xfId="7227" xr:uid="{F6EDA2CF-16D9-4691-AA42-D0B840C5FA0C}"/>
    <cellStyle name="注释 7 2 3" xfId="8643" xr:uid="{4B4836B2-8CF8-41EA-A03D-E3025853D406}"/>
    <cellStyle name="注释 7 2 4" xfId="10349" xr:uid="{F277EE62-AD2B-4C13-8B76-7F40AF175A5F}"/>
    <cellStyle name="注释 7 2 5" xfId="11845" xr:uid="{ABA22043-33DE-443B-8B2C-73451211F6F7}"/>
    <cellStyle name="注释 7 2 6" xfId="13320" xr:uid="{6A0B8C84-60EA-42AD-BE77-577C516FD745}"/>
    <cellStyle name="注释 7 2 7" xfId="14992" xr:uid="{4E8BB232-0115-4D99-9283-BE1096625D94}"/>
    <cellStyle name="注释 7 2 8" xfId="16660" xr:uid="{6F6F240E-CD89-4A5F-B680-2CBD7BCBD4EF}"/>
    <cellStyle name="注释 7 3" xfId="6478" xr:uid="{CDD956D4-E29D-4155-827A-415A4ADF1F41}"/>
    <cellStyle name="注释 7 4" xfId="7761" xr:uid="{3A3C44AD-285C-4966-A3C0-BF0F53249F30}"/>
    <cellStyle name="注释 7 5" xfId="9451" xr:uid="{DB6D73B4-744A-46EE-8A70-28A15B49287A}"/>
    <cellStyle name="注释 7 6" xfId="11109" xr:uid="{60319447-39AF-4222-AAFB-0DC6F9D62450}"/>
    <cellStyle name="注释 7 7" xfId="12440" xr:uid="{9E96CEAF-241B-42DE-9A31-E18C82E17D12}"/>
    <cellStyle name="注释 7 8" xfId="14094" xr:uid="{B2679AE1-D315-4D69-9CCC-035D92507881}"/>
    <cellStyle name="注释 7 9" xfId="15780" xr:uid="{E4699583-AEA4-4C98-A889-D015300FD3B8}"/>
    <cellStyle name="注释 8" xfId="3395" xr:uid="{2A4AF3E4-6444-423A-A850-878CFC2039C6}"/>
    <cellStyle name="注释 8 2" xfId="4447" xr:uid="{22B54F06-8313-49E0-B255-63AAE88F940A}"/>
    <cellStyle name="注释 8 2 2" xfId="6942" xr:uid="{17D6F97B-DBA2-43D0-896B-0F59E219BA6D}"/>
    <cellStyle name="注释 8 2 3" xfId="8363" xr:uid="{2E228380-2F7D-4227-9410-60A3C13A1197}"/>
    <cellStyle name="注释 8 2 4" xfId="10064" xr:uid="{ABBA5F45-E02B-4E8B-A267-3B9A0CE41B04}"/>
    <cellStyle name="注释 8 2 5" xfId="11560" xr:uid="{43F6D921-20DB-43F7-889D-5C9A48BDE25F}"/>
    <cellStyle name="注释 8 2 6" xfId="13040" xr:uid="{19DBFDD2-33DC-42E8-803E-780CF6677CF7}"/>
    <cellStyle name="注释 8 2 7" xfId="14707" xr:uid="{5C518306-FD2B-4706-89F1-FF0AD3166A62}"/>
    <cellStyle name="注释 8 2 8" xfId="16380" xr:uid="{B2CA9E6C-CA55-401D-8FB8-D1ADBFB13130}"/>
    <cellStyle name="注释 8 3" xfId="6149" xr:uid="{09A724AC-59E8-4B84-A6F2-EA800792458C}"/>
    <cellStyle name="注释 8 4" xfId="6088" xr:uid="{36C4B1DD-214C-4CC3-88EA-596B5E0AC0C8}"/>
    <cellStyle name="注释 8 5" xfId="9014" xr:uid="{86D8C1AC-F08D-40ED-A260-0DA4F10C700F}"/>
    <cellStyle name="注释 8 6" xfId="10781" xr:uid="{375C23C2-33D1-43DF-AC9D-794C65AA6DCE}"/>
    <cellStyle name="注释 8 7" xfId="5245" xr:uid="{92C7B7EF-107F-4A2A-8F13-AF9281EF8B23}"/>
    <cellStyle name="注释 8 8" xfId="13657" xr:uid="{22A29A05-8B63-4AC6-B39B-5D46F53604AA}"/>
    <cellStyle name="注释 8 9" xfId="15348" xr:uid="{116F6CD2-2511-40DD-9401-EB63836A75A2}"/>
    <cellStyle name="注释 9" xfId="5576" xr:uid="{1DFAC1C4-A9FC-499A-9F22-74026CB10A09}"/>
    <cellStyle name="解释性文本" xfId="235" xr:uid="{9597C0DE-F6A3-4C76-8B7B-847B0DF2FFAF}"/>
    <cellStyle name="計算方式" xfId="17370" xr:uid="{ADBDCAEE-0EFD-4CA1-8026-0CB3BDD9CFFE}"/>
    <cellStyle name="說明文字" xfId="17371" xr:uid="{D76D0710-C9CA-4541-BC9C-78E0DFEE41DC}"/>
    <cellStyle name="警告文字" xfId="17372" xr:uid="{755570AE-1F19-4BEF-AB18-1B06B6B2116C}"/>
    <cellStyle name="警告文本" xfId="236" xr:uid="{2C8865A3-5BC5-4113-A5B2-95919CAEF3B5}"/>
    <cellStyle name="计算" xfId="237" xr:uid="{7D9FD27D-D3C9-42EE-9908-C17B25B24DC1}"/>
    <cellStyle name="计算 10" xfId="5557" xr:uid="{9EA6EBA9-D8F6-487F-9EA8-10C0ECB6BF11}"/>
    <cellStyle name="计算 11" xfId="17338" xr:uid="{CB04F68A-8FFC-4DC3-8DD5-A79C53E83248}"/>
    <cellStyle name="计算 2" xfId="2987" xr:uid="{D4A99B2C-278A-4C1C-9AE9-87F9A732F127}"/>
    <cellStyle name="计算 2 10" xfId="3432" xr:uid="{04742615-E5E1-4DF0-981F-8B04E0472768}"/>
    <cellStyle name="计算 2 10 2" xfId="4476" xr:uid="{2EE51DAF-24F4-434F-8F3E-69CAD6E17267}"/>
    <cellStyle name="计算 2 10 2 2" xfId="6971" xr:uid="{7CE4D8DF-FADD-419C-84AF-FB9A2330FE99}"/>
    <cellStyle name="计算 2 10 2 3" xfId="8392" xr:uid="{B08A68A8-13A0-4FED-8A7A-871F838FF1A0}"/>
    <cellStyle name="计算 2 10 2 4" xfId="10093" xr:uid="{1EAEF411-8B1F-4834-8C52-460B7651AB49}"/>
    <cellStyle name="计算 2 10 2 5" xfId="11589" xr:uid="{CE0E535F-BCE9-42F7-B0FC-CA2BD2A91917}"/>
    <cellStyle name="计算 2 10 2 6" xfId="13069" xr:uid="{F8FEA5F8-7D97-4DA3-AC19-CC14C64524B0}"/>
    <cellStyle name="计算 2 10 2 7" xfId="14736" xr:uid="{3E1A6027-8211-47F7-8878-35EAADA74078}"/>
    <cellStyle name="计算 2 10 2 8" xfId="16409" xr:uid="{04EE4944-3AF6-4D4C-9AED-2477CA9C1B3B}"/>
    <cellStyle name="计算 2 10 3" xfId="6179" xr:uid="{9FDD5ABF-C5D2-4C8A-9987-EA1D1291E16A}"/>
    <cellStyle name="计算 2 10 4" xfId="5208" xr:uid="{645C9649-1D48-461E-8D1F-3267A93E2D79}"/>
    <cellStyle name="计算 2 10 5" xfId="9051" xr:uid="{D3273424-4BF7-4970-8A9D-AC625EAA61EA}"/>
    <cellStyle name="计算 2 10 6" xfId="10813" xr:uid="{90E16952-C9BD-4EC5-A723-2DDD05A0E572}"/>
    <cellStyle name="计算 2 10 7" xfId="5325" xr:uid="{04C56611-5891-4491-B185-121E09E70DB4}"/>
    <cellStyle name="计算 2 10 8" xfId="13694" xr:uid="{02863E21-0868-46E6-B168-D9E929F72705}"/>
    <cellStyle name="计算 2 10 9" xfId="15385" xr:uid="{270FC892-BA2E-42BF-917B-277531007668}"/>
    <cellStyle name="计算 2 11" xfId="6667" xr:uid="{28DEBBFE-4671-4ABF-A607-DF25B11A598E}"/>
    <cellStyle name="计算 2 12" xfId="6437" xr:uid="{15ECC5FD-D17A-48C1-87B0-4D9973BC6577}"/>
    <cellStyle name="计算 2 2" xfId="3273" xr:uid="{B154BB2A-EE45-4FED-844A-A6F73F66DF37}"/>
    <cellStyle name="计算 2 2 2" xfId="4153" xr:uid="{B6A8158B-4CE9-4942-BFD4-CC2BAC75C5CD}"/>
    <cellStyle name="计算 2 2 2 2" xfId="4947" xr:uid="{C6FCC00C-6379-4F46-931D-D03D701491B9}"/>
    <cellStyle name="计算 2 2 2 2 2" xfId="7442" xr:uid="{517396A9-C918-4AB5-80F9-CC2355730D1D}"/>
    <cellStyle name="计算 2 2 2 2 3" xfId="8854" xr:uid="{FE9F551E-F27B-464D-994A-13870A58FE35}"/>
    <cellStyle name="计算 2 2 2 2 4" xfId="10564" xr:uid="{BD7662CA-4FA4-499C-B552-EB2131185754}"/>
    <cellStyle name="计算 2 2 2 2 5" xfId="12060" xr:uid="{8D089EF5-33E0-4202-96BD-C8159AD70701}"/>
    <cellStyle name="计算 2 2 2 2 6" xfId="13531" xr:uid="{C5A75388-A23D-423E-A362-7FB404C3D08B}"/>
    <cellStyle name="计算 2 2 2 2 7" xfId="15207" xr:uid="{6F8794E2-E104-40C4-BEA1-5313A6CB349C}"/>
    <cellStyle name="计算 2 2 2 2 8" xfId="16871" xr:uid="{5BFD9E48-09F8-40AC-A672-7FE241617F48}"/>
    <cellStyle name="计算 2 2 2 3" xfId="6722" xr:uid="{D48A3FA6-DFA0-434C-9257-83BDD62AC380}"/>
    <cellStyle name="计算 2 2 2 4" xfId="8078" xr:uid="{8CF7F55C-B0FA-468D-9066-E5BBE7A05A74}"/>
    <cellStyle name="计算 2 2 2 5" xfId="9772" xr:uid="{B2C70E5A-4F94-4620-BEE4-02531B56011A}"/>
    <cellStyle name="计算 2 2 2 6" xfId="11349" xr:uid="{FA1A378D-2F50-4D60-9AB1-8D44FCC539BA}"/>
    <cellStyle name="计算 2 2 2 7" xfId="12757" xr:uid="{6A96BCE7-24DB-41CC-8112-B8D728F8BDA3}"/>
    <cellStyle name="计算 2 2 2 8" xfId="14415" xr:uid="{B439A818-8EC0-43BE-9966-523C0F6D1A00}"/>
    <cellStyle name="计算 2 2 2 9" xfId="16097" xr:uid="{CDA5CA72-97AF-4C67-8B61-1CE944DB75B3}"/>
    <cellStyle name="计算 2 2 3" xfId="3715" xr:uid="{8D567D4C-007B-4FA5-B468-53F08B115B2D}"/>
    <cellStyle name="计算 2 2 3 2" xfId="4661" xr:uid="{B47ED6F5-036A-46C4-9766-96900EE7CF9C}"/>
    <cellStyle name="计算 2 2 3 2 2" xfId="7156" xr:uid="{893D0D24-31C2-4696-8104-3051498F6FB9}"/>
    <cellStyle name="计算 2 2 3 2 3" xfId="8574" xr:uid="{9190D323-5BA8-47D5-A034-AA529666CF4A}"/>
    <cellStyle name="计算 2 2 3 2 4" xfId="10278" xr:uid="{A78ED409-28D8-44EE-9C6F-E8A5875A82F0}"/>
    <cellStyle name="计算 2 2 3 2 5" xfId="11774" xr:uid="{44182933-AF6B-4CD9-80DA-62B2D12DFC1D}"/>
    <cellStyle name="计算 2 2 3 2 6" xfId="13251" xr:uid="{5FD0946B-8C73-4691-84DD-12E2DF16340D}"/>
    <cellStyle name="计算 2 2 3 2 7" xfId="14921" xr:uid="{B6527BEB-780D-42A2-B251-FDE24103DF25}"/>
    <cellStyle name="计算 2 2 3 2 8" xfId="16591" xr:uid="{536B5371-63E2-4171-8BC5-69814DE9C2B8}"/>
    <cellStyle name="计算 2 2 3 3" xfId="6396" xr:uid="{86F8BC24-0501-4313-A504-1D41E8E1F527}"/>
    <cellStyle name="计算 2 2 3 4" xfId="7646" xr:uid="{0E1B6F53-037E-4FF3-AA49-FDFED5EF1F9D}"/>
    <cellStyle name="计算 2 2 3 5" xfId="9334" xr:uid="{5E53EA2C-E9A4-4EDD-8841-7D7E81959BA1}"/>
    <cellStyle name="计算 2 2 3 6" xfId="11022" xr:uid="{1B523C43-8E58-4FA3-A52B-CF13811BF2E4}"/>
    <cellStyle name="计算 2 2 3 7" xfId="12325" xr:uid="{16BDB6D8-BE28-446A-B4CC-BA62AF2D7C8C}"/>
    <cellStyle name="计算 2 2 3 8" xfId="13977" xr:uid="{7FF27222-399C-44EA-8AE0-54EC73206B41}"/>
    <cellStyle name="计算 2 2 3 9" xfId="15665" xr:uid="{A9638349-F25A-4188-9574-EF20BCA8C3C4}"/>
    <cellStyle name="计算 2 2 4" xfId="8940" xr:uid="{60035972-EB52-4964-9BC4-7DEBD0D4C448}"/>
    <cellStyle name="计算 2 3" xfId="3167" xr:uid="{7C610CA2-8BD9-46BD-BB46-5A82683AC0F7}"/>
    <cellStyle name="计算 2 3 2" xfId="4047" xr:uid="{D07E4BFD-4080-410B-A06A-FFD5CA03604D}"/>
    <cellStyle name="计算 2 3 2 2" xfId="4877" xr:uid="{A520C4AF-E5B1-4F1D-B5AB-CE6AF35E01C1}"/>
    <cellStyle name="计算 2 3 2 2 2" xfId="7372" xr:uid="{8781EAB4-11CA-45CA-AF73-32EB03D1AFEF}"/>
    <cellStyle name="计算 2 3 2 2 3" xfId="8785" xr:uid="{E752AABC-FC70-4010-A0FA-40CF2B6D9734}"/>
    <cellStyle name="计算 2 3 2 2 4" xfId="10494" xr:uid="{1EF0B537-5A92-4795-9FF9-0587116937E7}"/>
    <cellStyle name="计算 2 3 2 2 5" xfId="11990" xr:uid="{1F6AB80D-DAA3-42EE-9D82-C2460BD7FB08}"/>
    <cellStyle name="计算 2 3 2 2 6" xfId="13462" xr:uid="{B638CE10-2FBF-4AE3-81BE-5A087D46D382}"/>
    <cellStyle name="计算 2 3 2 2 7" xfId="15137" xr:uid="{B81E9A6F-CDB7-47BD-88AB-49EA163366A9}"/>
    <cellStyle name="计算 2 3 2 2 8" xfId="16802" xr:uid="{AA17813E-D89D-452B-8D19-04B774413044}"/>
    <cellStyle name="计算 2 3 2 3" xfId="6642" xr:uid="{78DE15FE-CA82-4F35-BC20-55AAE3DC0924}"/>
    <cellStyle name="计算 2 3 2 4" xfId="7973" xr:uid="{8680A748-8946-441D-A8E8-8B8210943F85}"/>
    <cellStyle name="计算 2 3 2 5" xfId="9666" xr:uid="{770DAD58-8A0B-4502-8E1F-3E64638A905A}"/>
    <cellStyle name="计算 2 3 2 6" xfId="11269" xr:uid="{60E98201-1DEA-4087-A51F-CCEF8CEBC411}"/>
    <cellStyle name="计算 2 3 2 7" xfId="12652" xr:uid="{056B5F18-6761-4002-B6F3-1A944EAF8C19}"/>
    <cellStyle name="计算 2 3 2 8" xfId="14309" xr:uid="{E5AFBC31-CBE9-4A6D-A5B5-259246A6ABAB}"/>
    <cellStyle name="计算 2 3 2 9" xfId="15992" xr:uid="{EBD80753-E8B9-4809-AA70-1623ADCFC453}"/>
    <cellStyle name="计算 2 3 3" xfId="3609" xr:uid="{53081720-06F1-4DA9-8C83-A4F1C20752BE}"/>
    <cellStyle name="计算 2 3 3 2" xfId="4591" xr:uid="{8820DCEA-0847-443B-BCD7-A33B63BD972D}"/>
    <cellStyle name="计算 2 3 3 2 2" xfId="7086" xr:uid="{4534D426-3DAB-4FB2-A372-A5EBCCA6C7CE}"/>
    <cellStyle name="计算 2 3 3 2 3" xfId="8505" xr:uid="{1170CDBA-5BFD-43D0-885E-4D46561B3024}"/>
    <cellStyle name="计算 2 3 3 2 4" xfId="10208" xr:uid="{A22053F4-F885-4789-8E63-490733DF446A}"/>
    <cellStyle name="计算 2 3 3 2 5" xfId="11704" xr:uid="{24C10ED2-E1F0-4544-88DC-F4B2A67BB747}"/>
    <cellStyle name="计算 2 3 3 2 6" xfId="13182" xr:uid="{AA43DD4C-C9B7-4E96-A3D0-CD7CAE774CAF}"/>
    <cellStyle name="计算 2 3 3 2 7" xfId="14851" xr:uid="{17570398-2A46-4965-8BC8-0D580DB6DAD9}"/>
    <cellStyle name="计算 2 3 3 2 8" xfId="16522" xr:uid="{25A0255B-6BD8-49D9-9993-3762C9FADD2E}"/>
    <cellStyle name="计算 2 3 3 3" xfId="6313" xr:uid="{E676BB98-2E9C-4DA5-B4E6-449BB8724C67}"/>
    <cellStyle name="计算 2 3 3 4" xfId="7541" xr:uid="{3217E8B3-CE7C-43A8-BB23-3C7147907AC2}"/>
    <cellStyle name="计算 2 3 3 5" xfId="9228" xr:uid="{4CE0A4D9-9ED8-456F-A3BA-B5C1CBB1163B}"/>
    <cellStyle name="计算 2 3 3 6" xfId="10943" xr:uid="{8A640B5D-76E8-4230-87BF-FBC850B7CE10}"/>
    <cellStyle name="计算 2 3 3 7" xfId="12220" xr:uid="{A5C62136-7EAD-4DE8-87F0-FA6D2F63E24E}"/>
    <cellStyle name="计算 2 3 3 8" xfId="13871" xr:uid="{883A8585-4EBE-4964-B05C-60E3801C3138}"/>
    <cellStyle name="计算 2 3 3 9" xfId="15560" xr:uid="{0DDB30DF-C49D-4A49-9692-DF58044F9297}"/>
    <cellStyle name="计算 2 3 4" xfId="6447" xr:uid="{143C1B69-3672-4F42-A3D4-0E4336DA3459}"/>
    <cellStyle name="计算 2 4" xfId="3196" xr:uid="{23F22FC5-8CAA-4160-995D-2468FC0E2069}"/>
    <cellStyle name="计算 2 4 2" xfId="4076" xr:uid="{1E3A555F-83F1-4CF2-920A-732FAB03E7C5}"/>
    <cellStyle name="计算 2 4 2 2" xfId="4897" xr:uid="{338455E1-5B55-4828-9AEA-CF470F339446}"/>
    <cellStyle name="计算 2 4 2 2 2" xfId="7392" xr:uid="{05BE8EAD-13A3-4B94-91AE-EEC90ACE0931}"/>
    <cellStyle name="计算 2 4 2 2 3" xfId="8804" xr:uid="{393703D7-CD97-472C-9EBF-A69005B14FDD}"/>
    <cellStyle name="计算 2 4 2 2 4" xfId="10514" xr:uid="{7AB2A1CE-65B9-4EC6-9CAC-3FD8199A176F}"/>
    <cellStyle name="计算 2 4 2 2 5" xfId="12010" xr:uid="{B72086F3-3E5E-417F-B46E-344B791100A2}"/>
    <cellStyle name="计算 2 4 2 2 6" xfId="13481" xr:uid="{D20D5408-4626-470C-B9F0-9D4DB12D3B5E}"/>
    <cellStyle name="计算 2 4 2 2 7" xfId="15157" xr:uid="{92A1A868-CE8D-4066-8B0D-3B5AD8E89017}"/>
    <cellStyle name="计算 2 4 2 2 8" xfId="16821" xr:uid="{BF3BDC6C-DABD-41F8-A2E4-FC9D9863F823}"/>
    <cellStyle name="计算 2 4 2 3" xfId="6664" xr:uid="{D3AB1498-54E6-4A5A-9F47-05637C84F616}"/>
    <cellStyle name="计算 2 4 2 4" xfId="8001" xr:uid="{3553BBD1-836D-4E28-986F-E63563626111}"/>
    <cellStyle name="计算 2 4 2 5" xfId="9695" xr:uid="{EDFD0D73-8BC2-4AD5-A1D8-07A9E6D904A6}"/>
    <cellStyle name="计算 2 4 2 6" xfId="11291" xr:uid="{8C706CD9-C22B-40F7-A5FB-D0078D3714BA}"/>
    <cellStyle name="计算 2 4 2 7" xfId="12680" xr:uid="{8C803FB0-88DB-4435-9C33-3D58C68F6DEC}"/>
    <cellStyle name="计算 2 4 2 8" xfId="14338" xr:uid="{D3B20C94-32CC-4544-A977-E797031AB3CC}"/>
    <cellStyle name="计算 2 4 2 9" xfId="16020" xr:uid="{533A9C90-DB3A-46C0-8774-F016D212E33D}"/>
    <cellStyle name="计算 2 4 3" xfId="3638" xr:uid="{9B281E93-60A7-492A-ACAD-453C4A10EFC4}"/>
    <cellStyle name="计算 2 4 3 2" xfId="4611" xr:uid="{FEB465E0-CAE2-41DE-BD45-4CCB19DE6814}"/>
    <cellStyle name="计算 2 4 3 2 2" xfId="7106" xr:uid="{45915B6F-2AE9-4725-93C4-7B0638FB5A81}"/>
    <cellStyle name="计算 2 4 3 2 3" xfId="8524" xr:uid="{C9F09C1C-33CF-42CC-800B-5B7A866262F0}"/>
    <cellStyle name="计算 2 4 3 2 4" xfId="10228" xr:uid="{AD776A44-778B-427E-AEF5-85E805F6F4F0}"/>
    <cellStyle name="计算 2 4 3 2 5" xfId="11724" xr:uid="{D218E858-B003-482E-ACDD-B6F3AE82207D}"/>
    <cellStyle name="计算 2 4 3 2 6" xfId="13201" xr:uid="{96E069EC-6A1F-4210-AACB-8064D76ACD03}"/>
    <cellStyle name="计算 2 4 3 2 7" xfId="14871" xr:uid="{49085DEB-B766-4A31-AE37-12CF163C5D0B}"/>
    <cellStyle name="计算 2 4 3 2 8" xfId="16541" xr:uid="{8E4E29EC-096D-4288-A8E8-F18AF7AAD870}"/>
    <cellStyle name="计算 2 4 3 3" xfId="6338" xr:uid="{436D0B07-B4C8-41D4-B70E-DC09D692C532}"/>
    <cellStyle name="计算 2 4 3 4" xfId="7569" xr:uid="{4C8B221E-8D54-4F55-A124-4E4692349FB5}"/>
    <cellStyle name="计算 2 4 3 5" xfId="9257" xr:uid="{7FF4E97E-63B2-45DC-BC93-67571E33A315}"/>
    <cellStyle name="计算 2 4 3 6" xfId="10964" xr:uid="{347CAF68-CC9D-42F1-ABDE-22AD11F405BE}"/>
    <cellStyle name="计算 2 4 3 7" xfId="12248" xr:uid="{6E7A60AB-02A1-4A76-95CA-CE19B3944C9C}"/>
    <cellStyle name="计算 2 4 3 8" xfId="13900" xr:uid="{F4382CC2-54E3-4105-BBAD-35E21156F3A9}"/>
    <cellStyle name="计算 2 4 3 9" xfId="15588" xr:uid="{3A6DD3DB-6052-49D7-9CD9-E7DC27129B52}"/>
    <cellStyle name="计算 2 4 4" xfId="6763" xr:uid="{5146F35A-17AF-4EFC-8D6A-30E2997C86A9}"/>
    <cellStyle name="计算 2 5" xfId="3311" xr:uid="{0504F627-B4D1-429F-9276-9C44EE662994}"/>
    <cellStyle name="计算 2 5 2" xfId="4191" xr:uid="{5A41A0D1-C5A2-4191-92C6-FC4CFA4EE0F4}"/>
    <cellStyle name="计算 2 5 2 2" xfId="4976" xr:uid="{8F335CA8-398B-4662-9ACA-52E85EE6BB80}"/>
    <cellStyle name="计算 2 5 2 2 2" xfId="7471" xr:uid="{8F0E464C-BDC1-4E1C-856C-AC7FAAB68D59}"/>
    <cellStyle name="计算 2 5 2 2 3" xfId="8882" xr:uid="{B56CC741-F5EC-4BC7-9E96-D39C12C43EDD}"/>
    <cellStyle name="计算 2 5 2 2 4" xfId="10593" xr:uid="{349570FD-3C5D-4656-BB61-A5503BC0571F}"/>
    <cellStyle name="计算 2 5 2 2 5" xfId="12089" xr:uid="{97B3A5A0-3821-4DC2-B700-A1F8EF3ECB9D}"/>
    <cellStyle name="计算 2 5 2 2 6" xfId="13559" xr:uid="{B632ADAC-2089-413A-B2FD-7514B40311E1}"/>
    <cellStyle name="计算 2 5 2 2 7" xfId="15236" xr:uid="{996059C3-A8AC-4119-86C1-C02CEB7A1538}"/>
    <cellStyle name="计算 2 5 2 2 8" xfId="16899" xr:uid="{17DBF66C-CDDD-466B-B853-135BB0BE3417}"/>
    <cellStyle name="计算 2 5 2 3" xfId="6751" xr:uid="{9B6DAD80-F736-484A-BC7E-688E797A8F53}"/>
    <cellStyle name="计算 2 5 2 4" xfId="8115" xr:uid="{69D28175-2E69-4C8B-999A-D370A20DAF2C}"/>
    <cellStyle name="计算 2 5 2 5" xfId="9810" xr:uid="{6DD26369-B064-4493-BC8D-179AF20203D7}"/>
    <cellStyle name="计算 2 5 2 6" xfId="11380" xr:uid="{FB2415B6-A9A2-41E9-904B-94B11FF68877}"/>
    <cellStyle name="计算 2 5 2 7" xfId="12794" xr:uid="{A7214D7F-6870-4C8A-946B-9660A73E76DA}"/>
    <cellStyle name="计算 2 5 2 8" xfId="14453" xr:uid="{E9547955-3C79-46E9-B4B5-8020F96EF13E}"/>
    <cellStyle name="计算 2 5 2 9" xfId="16134" xr:uid="{AEF9101E-A222-4446-8461-7B7F8489CAB3}"/>
    <cellStyle name="计算 2 5 3" xfId="3752" xr:uid="{EE788E59-224F-40C4-A29F-C8617889F88C}"/>
    <cellStyle name="计算 2 5 3 2" xfId="4689" xr:uid="{9A0E0145-75C8-4D2B-BFC2-CA2850709FDB}"/>
    <cellStyle name="计算 2 5 3 2 2" xfId="7184" xr:uid="{68850E95-7D7E-4DE2-BB96-DDE058538A85}"/>
    <cellStyle name="计算 2 5 3 2 3" xfId="8602" xr:uid="{04C65CE2-63A3-40E9-9D03-23B06511A446}"/>
    <cellStyle name="计算 2 5 3 2 4" xfId="10306" xr:uid="{4A393015-DE68-4C2B-92C0-1A72A933F7B2}"/>
    <cellStyle name="计算 2 5 3 2 5" xfId="11802" xr:uid="{C8604F75-1462-459B-B88C-D1876C6F1BFB}"/>
    <cellStyle name="计算 2 5 3 2 6" xfId="13279" xr:uid="{B0271033-840E-48FB-88DD-354CBD769AEC}"/>
    <cellStyle name="计算 2 5 3 2 7" xfId="14949" xr:uid="{AF2513CD-1E44-4954-99CC-2D862374DE26}"/>
    <cellStyle name="计算 2 5 3 2 8" xfId="16619" xr:uid="{0163B3B5-52A0-478F-A48D-38BF8AB57B28}"/>
    <cellStyle name="计算 2 5 3 3" xfId="6425" xr:uid="{6B0841E3-AB62-46BD-A9CE-11CC80055005}"/>
    <cellStyle name="计算 2 5 3 4" xfId="7683" xr:uid="{50EFEDED-9255-4C9C-9B5A-AB3FD4532800}"/>
    <cellStyle name="计算 2 5 3 5" xfId="9371" xr:uid="{61F868FC-9A46-4D26-9D93-13DB0E1C0D78}"/>
    <cellStyle name="计算 2 5 3 6" xfId="11053" xr:uid="{E36DF35D-1327-4A86-A453-2CF5A0E63376}"/>
    <cellStyle name="计算 2 5 3 7" xfId="12362" xr:uid="{C112B20D-2A26-4355-960F-AFE2354F5B7F}"/>
    <cellStyle name="计算 2 5 3 8" xfId="14014" xr:uid="{D0A63511-3DB3-453A-8713-D2A8229211DD}"/>
    <cellStyle name="计算 2 5 3 9" xfId="15702" xr:uid="{52361CD1-8310-4E1A-BABF-D5C8422454AC}"/>
    <cellStyle name="计算 2 5 4" xfId="8974" xr:uid="{607196EB-C8A5-40B7-B14E-2A663F9B264A}"/>
    <cellStyle name="计算 2 6" xfId="3058" xr:uid="{FB988AF3-B8AF-4EF5-824A-613FA3AFE038}"/>
    <cellStyle name="计算 2 6 10" xfId="5648" xr:uid="{2ADE8630-8D9F-47FC-98CD-34D8F802E36C}"/>
    <cellStyle name="计算 2 6 2" xfId="3938" xr:uid="{E360A1D4-563A-45FA-8DC2-774E2368C3CE}"/>
    <cellStyle name="计算 2 6 2 2" xfId="4806" xr:uid="{45FCEBBF-7098-4D1E-8A5B-9DCFEE93954A}"/>
    <cellStyle name="计算 2 6 2 2 2" xfId="7301" xr:uid="{743E982D-302B-4D05-8152-010B2FEA6EEF}"/>
    <cellStyle name="计算 2 6 2 2 3" xfId="8716" xr:uid="{6C0D4439-0362-4E9B-A083-6545F0A72B47}"/>
    <cellStyle name="计算 2 6 2 2 4" xfId="10423" xr:uid="{01BAEE02-FEBC-4B7E-B977-49E2F4D96015}"/>
    <cellStyle name="计算 2 6 2 2 5" xfId="11919" xr:uid="{B5BA3659-FC0C-4617-9B40-7FDDA251DDB2}"/>
    <cellStyle name="计算 2 6 2 2 6" xfId="13393" xr:uid="{687EE89B-E9B9-4DFE-8AF3-3BF00A47BC0E}"/>
    <cellStyle name="计算 2 6 2 2 7" xfId="15066" xr:uid="{74097991-511B-4428-85AD-8BB3A97DCE5D}"/>
    <cellStyle name="计算 2 6 2 2 8" xfId="16733" xr:uid="{6CB518F5-6BB1-4B5B-9743-774763E9E7CE}"/>
    <cellStyle name="计算 2 6 2 3" xfId="6562" xr:uid="{A9B776B0-C36C-4EB0-B163-F4B0A3849680}"/>
    <cellStyle name="计算 2 6 2 4" xfId="7866" xr:uid="{F1840C15-0949-451F-91B7-BFE884DE01EA}"/>
    <cellStyle name="计算 2 6 2 5" xfId="9557" xr:uid="{BD677503-B852-4F28-8935-DA48172E8D7B}"/>
    <cellStyle name="计算 2 6 2 6" xfId="11192" xr:uid="{594D798D-C12A-47EB-B258-750EED384FE9}"/>
    <cellStyle name="计算 2 6 2 7" xfId="12545" xr:uid="{5E982E9C-632B-4798-983B-74DAC07A9BFF}"/>
    <cellStyle name="计算 2 6 2 8" xfId="14200" xr:uid="{EFDB0174-43B6-4914-870C-F550D431786A}"/>
    <cellStyle name="计算 2 6 2 9" xfId="15885" xr:uid="{F9DB851F-11EB-4B34-B717-B1EDA9551953}"/>
    <cellStyle name="计算 2 6 3" xfId="3500" xr:uid="{3C08A6A2-D033-4768-BBD6-2149B66738C9}"/>
    <cellStyle name="计算 2 6 3 2" xfId="4520" xr:uid="{CCE02EDE-AAF9-4353-B4E3-896D23D625DE}"/>
    <cellStyle name="计算 2 6 3 2 2" xfId="7015" xr:uid="{6E148985-4EF4-4133-8F7F-072B3F8D102D}"/>
    <cellStyle name="计算 2 6 3 2 3" xfId="8436" xr:uid="{A74641F2-51AB-4C5D-A5D8-D9CE6F36FC35}"/>
    <cellStyle name="计算 2 6 3 2 4" xfId="10137" xr:uid="{561D4602-3245-4A98-AA9F-E6827C6FCED4}"/>
    <cellStyle name="计算 2 6 3 2 5" xfId="11633" xr:uid="{6D2716EC-F44C-41AE-9780-2FA46F96243D}"/>
    <cellStyle name="计算 2 6 3 2 6" xfId="13113" xr:uid="{FCBD61DE-4B5F-4F4C-8592-0E41D8B4DEBC}"/>
    <cellStyle name="计算 2 6 3 2 7" xfId="14780" xr:uid="{000FE57A-002B-4810-886D-39D499D18F5A}"/>
    <cellStyle name="计算 2 6 3 2 8" xfId="16453" xr:uid="{B16CB84D-B1E0-4E7E-A64A-979A32A28DC3}"/>
    <cellStyle name="计算 2 6 3 3" xfId="6231" xr:uid="{BA0D8AE5-BA50-4B8C-B6FF-BAE0378B1563}"/>
    <cellStyle name="计算 2 6 3 4" xfId="5156" xr:uid="{831FE142-B27F-4FDB-9927-C865134C56B8}"/>
    <cellStyle name="计算 2 6 3 5" xfId="9119" xr:uid="{517D7F6C-4172-4844-94C0-EF818336D06C}"/>
    <cellStyle name="计算 2 6 3 6" xfId="10864" xr:uid="{DD75A3D4-E4E6-40D6-8E2B-2BFD052A09CD}"/>
    <cellStyle name="计算 2 6 3 7" xfId="5850" xr:uid="{36EBA9DD-1165-4F64-AB69-CA2626ED10EB}"/>
    <cellStyle name="计算 2 6 3 8" xfId="13762" xr:uid="{45517774-8DEF-4B37-9FB0-34484EE080FB}"/>
    <cellStyle name="计算 2 6 3 9" xfId="15453" xr:uid="{E0C17734-3A12-48E5-944D-FB67D014C705}"/>
    <cellStyle name="计算 2 6 4" xfId="4300" xr:uid="{6B553AE3-9793-491D-8DB3-870F46967FAA}"/>
    <cellStyle name="计算 2 6 4 2" xfId="6827" xr:uid="{3CA53396-AA0C-4118-9849-65372709BD13}"/>
    <cellStyle name="计算 2 6 4 3" xfId="8222" xr:uid="{ED4B090E-356E-4343-9395-626816B9EFB6}"/>
    <cellStyle name="计算 2 6 4 4" xfId="9917" xr:uid="{72345E94-35F8-4BC5-823A-A525682B32F1}"/>
    <cellStyle name="计算 2 6 4 5" xfId="11447" xr:uid="{D2CB8CE5-66FA-4C6A-9A69-F9BC0988F8E7}"/>
    <cellStyle name="计算 2 6 4 6" xfId="12899" xr:uid="{17B2B906-C11F-4B11-850C-659954378EF7}"/>
    <cellStyle name="计算 2 6 4 7" xfId="14560" xr:uid="{76BE4B4C-7181-4998-99A5-9BFCA2FBF671}"/>
    <cellStyle name="计算 2 6 4 8" xfId="16239" xr:uid="{F4247A16-95BD-4685-8202-4737C7086CC3}"/>
    <cellStyle name="计算 2 6 5" xfId="5938" xr:uid="{5D7F0B0D-3A30-49BC-BC05-74148C0CB041}"/>
    <cellStyle name="计算 2 6 6" xfId="5256" xr:uid="{64865FB0-5E13-49E4-8863-0D60B4D71070}"/>
    <cellStyle name="计算 2 6 7" xfId="5680" xr:uid="{E61D731A-F694-41DA-8106-39C26C3DA901}"/>
    <cellStyle name="计算 2 6 8" xfId="5439" xr:uid="{F64C1445-E694-4EBB-95F9-4BE7A7D44883}"/>
    <cellStyle name="计算 2 6 9" xfId="5667" xr:uid="{F4A57AC0-C6A3-4396-A83D-3F0B002F8D6C}"/>
    <cellStyle name="计算 2 7" xfId="3018" xr:uid="{BBC583E0-5DDD-4DF8-B46C-6FB2D23E17FE}"/>
    <cellStyle name="计算 2 7 10" xfId="5377" xr:uid="{242D7D2B-5DAD-4CC3-8A9E-A8F5D74E3341}"/>
    <cellStyle name="计算 2 7 2" xfId="3898" xr:uid="{0AF930B8-461D-4F9F-A81D-264EECC78835}"/>
    <cellStyle name="计算 2 7 2 2" xfId="4777" xr:uid="{6CC601C2-B04A-4748-BCD6-890BC2DB4C63}"/>
    <cellStyle name="计算 2 7 2 2 2" xfId="7272" xr:uid="{78839654-0A92-4BF9-9373-C644CCB440B6}"/>
    <cellStyle name="计算 2 7 2 2 3" xfId="8687" xr:uid="{93D08806-3FCE-4E6F-923D-B593D4177EDD}"/>
    <cellStyle name="计算 2 7 2 2 4" xfId="10394" xr:uid="{12A748E5-9EC3-4F0B-B178-A20854B40095}"/>
    <cellStyle name="计算 2 7 2 2 5" xfId="11890" xr:uid="{51630565-4315-4586-92CF-BC4480795950}"/>
    <cellStyle name="计算 2 7 2 2 6" xfId="13364" xr:uid="{E93550CF-BB3C-49B6-8E01-649668C91AD6}"/>
    <cellStyle name="计算 2 7 2 2 7" xfId="15037" xr:uid="{19816913-945D-4A78-A38C-495FF597FA12}"/>
    <cellStyle name="计算 2 7 2 2 8" xfId="16704" xr:uid="{1D49355A-5046-4DC5-876B-9DD2335FE9DB}"/>
    <cellStyle name="计算 2 7 2 3" xfId="6531" xr:uid="{59C5CB24-3E88-44A4-B866-02C64CAE5F27}"/>
    <cellStyle name="计算 2 7 2 4" xfId="7826" xr:uid="{BCBA5262-1616-4FAF-8451-62F9E43E46CB}"/>
    <cellStyle name="计算 2 7 2 5" xfId="9517" xr:uid="{4E0F00A1-7CE5-459D-AE91-61BFB4C2CB2D}"/>
    <cellStyle name="计算 2 7 2 6" xfId="11162" xr:uid="{78EC792C-E3D8-4156-AD90-E0614280FD53}"/>
    <cellStyle name="计算 2 7 2 7" xfId="12505" xr:uid="{CE0C1759-FAA0-4DEC-956E-E8FFD19005B1}"/>
    <cellStyle name="计算 2 7 2 8" xfId="14160" xr:uid="{ABC2D8D8-06A0-4106-8FFF-1F0F7CE25381}"/>
    <cellStyle name="计算 2 7 2 9" xfId="15845" xr:uid="{8A1BF4DE-4731-4F9F-9B9E-BCE6385EF3E7}"/>
    <cellStyle name="计算 2 7 3" xfId="3460" xr:uid="{6E615FAB-5BC4-49EA-9C82-C6388E9CB651}"/>
    <cellStyle name="计算 2 7 3 2" xfId="4491" xr:uid="{A87E0C33-20A2-4E62-B9A4-87FCEDCE2C38}"/>
    <cellStyle name="计算 2 7 3 2 2" xfId="6986" xr:uid="{4D336FF9-8398-4E79-9D70-0A8164AAE967}"/>
    <cellStyle name="计算 2 7 3 2 3" xfId="8407" xr:uid="{97581B38-35A3-4008-8D0D-24DD0BC606C1}"/>
    <cellStyle name="计算 2 7 3 2 4" xfId="10108" xr:uid="{DACCCAEB-87B2-4CA3-95C1-4EFEF282A101}"/>
    <cellStyle name="计算 2 7 3 2 5" xfId="11604" xr:uid="{311C0071-56ED-40CF-9E86-FEA7A1C59AA1}"/>
    <cellStyle name="计算 2 7 3 2 6" xfId="13084" xr:uid="{BFB0B77E-0B35-4B94-9EF8-B5DDEE259BAC}"/>
    <cellStyle name="计算 2 7 3 2 7" xfId="14751" xr:uid="{CC614D3F-F582-4034-9CE8-CE6A9AB3CF83}"/>
    <cellStyle name="计算 2 7 3 2 8" xfId="16424" xr:uid="{9B0ADDE9-E83A-4255-A6EE-9301B06BC5B7}"/>
    <cellStyle name="计算 2 7 3 3" xfId="6199" xr:uid="{79D8A4BD-B8D9-43C4-914D-574969CF2D69}"/>
    <cellStyle name="计算 2 7 3 4" xfId="5186" xr:uid="{7587FBF3-B635-4FFD-91A2-8ED9396AA5AF}"/>
    <cellStyle name="计算 2 7 3 5" xfId="9079" xr:uid="{B2C2C2A4-1C16-4D38-9FCE-A57C3B2FB5B1}"/>
    <cellStyle name="计算 2 7 3 6" xfId="10833" xr:uid="{C9F5061F-30FD-4487-B733-13D2BBB3FB16}"/>
    <cellStyle name="计算 2 7 3 7" xfId="5780" xr:uid="{6791E465-616C-428D-ACDC-874D67EB0D4A}"/>
    <cellStyle name="计算 2 7 3 8" xfId="13722" xr:uid="{9ECDC14E-39EB-4F4D-8DE6-41F6637B29A2}"/>
    <cellStyle name="计算 2 7 3 9" xfId="15413" xr:uid="{1B58C4CE-70E9-4556-BFD0-F519AC699D86}"/>
    <cellStyle name="计算 2 7 4" xfId="4273" xr:uid="{A19A52FC-1F09-46D9-89E1-2E79DB70E0BE}"/>
    <cellStyle name="计算 2 7 4 2" xfId="6807" xr:uid="{FEC880C6-8635-4E82-9561-5EF2590E7AA1}"/>
    <cellStyle name="计算 2 7 4 3" xfId="8195" xr:uid="{A810AC3D-7851-4D38-8268-69CD9C30C66D}"/>
    <cellStyle name="计算 2 7 4 4" xfId="9890" xr:uid="{5C835FB2-7D1B-41E6-8EC1-8ABBF0A5B7B5}"/>
    <cellStyle name="计算 2 7 4 5" xfId="11427" xr:uid="{12BA50E3-888C-4601-BA96-DFF073CD9243}"/>
    <cellStyle name="计算 2 7 4 6" xfId="12872" xr:uid="{E09F558B-C8A1-4B58-9E14-4FC24689CF2F}"/>
    <cellStyle name="计算 2 7 4 7" xfId="14533" xr:uid="{1155F56B-ACC1-4D71-B5B7-21B50446599C}"/>
    <cellStyle name="计算 2 7 4 8" xfId="16212" xr:uid="{1C28B045-9CE7-4B94-BBCF-FBB2A3D2A316}"/>
    <cellStyle name="计算 2 7 5" xfId="5907" xr:uid="{5F756DBB-66D2-4BA3-8E24-5CA025BDFF8C}"/>
    <cellStyle name="计算 2 7 6" xfId="5689" xr:uid="{93163730-525D-4639-974E-19395BE47752}"/>
    <cellStyle name="计算 2 7 7" xfId="5773" xr:uid="{04731D35-9B31-4F26-9E82-94A65107D766}"/>
    <cellStyle name="计算 2 7 8" xfId="5415" xr:uid="{B8E3822E-A073-40BF-A855-A75BB9B79074}"/>
    <cellStyle name="计算 2 7 9" xfId="5470" xr:uid="{E611E5A9-2842-4DDE-97ED-9EF9011124DE}"/>
    <cellStyle name="计算 2 8" xfId="3372" xr:uid="{93D64D17-06E6-48E3-A19D-1CDBCFE7AA78}"/>
    <cellStyle name="计算 2 8 10" xfId="15329" xr:uid="{4496F98B-1FFC-4BFD-917C-21A44A2921F6}"/>
    <cellStyle name="计算 2 8 2" xfId="4252" xr:uid="{BC604FA0-8949-4A17-BFB1-28AE4079E6B4}"/>
    <cellStyle name="计算 2 8 2 2" xfId="5005" xr:uid="{70707260-21A0-4B75-BAE4-56674F35C5C6}"/>
    <cellStyle name="计算 2 8 2 2 2" xfId="7500" xr:uid="{4D41434F-A7C6-4FDB-A85F-6CD95B74F138}"/>
    <cellStyle name="计算 2 8 2 2 3" xfId="8910" xr:uid="{415DA8A2-B970-4578-B68D-58AC9EC19899}"/>
    <cellStyle name="计算 2 8 2 2 4" xfId="10622" xr:uid="{A25B8942-E2CF-4626-9F9D-C445D18F2226}"/>
    <cellStyle name="计算 2 8 2 2 5" xfId="12118" xr:uid="{FDDC46A8-27A5-4ABD-BCFC-32E43A153F10}"/>
    <cellStyle name="计算 2 8 2 2 6" xfId="13587" xr:uid="{BD2E6C85-92AC-473D-A897-42354A4AB8E2}"/>
    <cellStyle name="计算 2 8 2 2 7" xfId="15265" xr:uid="{8B5E9103-6FF4-4D1F-8920-EEBD2A16A27F}"/>
    <cellStyle name="计算 2 8 2 2 8" xfId="16927" xr:uid="{4392D315-1C69-446D-8D3B-89B7B6307E08}"/>
    <cellStyle name="计算 2 8 2 3" xfId="6792" xr:uid="{0B1E67A5-F870-42AF-B710-C25FA3CA0FAA}"/>
    <cellStyle name="计算 2 8 2 4" xfId="8175" xr:uid="{4ACCC2E4-0EC8-446A-9FDF-905669DF308D}"/>
    <cellStyle name="计算 2 8 2 5" xfId="9871" xr:uid="{4CC9A6EA-455C-41F2-947A-8C7766DDB684}"/>
    <cellStyle name="计算 2 8 2 6" xfId="11411" xr:uid="{0AB333D2-4668-4315-82BB-23C386E483F8}"/>
    <cellStyle name="计算 2 8 2 7" xfId="12854" xr:uid="{0806E68C-DA11-4B61-A887-3993227579BE}"/>
    <cellStyle name="计算 2 8 2 8" xfId="14514" xr:uid="{CCAF1735-DD0A-4AA2-B502-F68D39611BA6}"/>
    <cellStyle name="计算 2 8 2 9" xfId="16194" xr:uid="{82124EC5-D85C-4BE5-8554-86DE5E4E66CA}"/>
    <cellStyle name="计算 2 8 3" xfId="3812" xr:uid="{CBD5580E-ABA6-49B8-B7E5-66EE05B78121}"/>
    <cellStyle name="计算 2 8 3 2" xfId="4717" xr:uid="{D6F7EB44-13BB-4AB9-A0CD-1E3B3CF0B7FB}"/>
    <cellStyle name="计算 2 8 3 2 2" xfId="7212" xr:uid="{D5AD4D92-5E89-45D8-831E-1BA9374E234C}"/>
    <cellStyle name="计算 2 8 3 2 3" xfId="8630" xr:uid="{BA25E111-09A2-46BA-BBCB-18B770D8570A}"/>
    <cellStyle name="计算 2 8 3 2 4" xfId="10334" xr:uid="{A47B8B89-82A9-4620-B8A9-2FF5DA9B8B2E}"/>
    <cellStyle name="计算 2 8 3 2 5" xfId="11830" xr:uid="{4407FD9D-AF16-4E91-B33F-F3C5FC27C91E}"/>
    <cellStyle name="计算 2 8 3 2 6" xfId="13307" xr:uid="{2D5E6ED3-2490-4B52-973A-CAD6D72DAF88}"/>
    <cellStyle name="计算 2 8 3 2 7" xfId="14977" xr:uid="{633315C9-8FBC-4A3E-8111-FB28EE8DA0E1}"/>
    <cellStyle name="计算 2 8 3 2 8" xfId="16647" xr:uid="{A7592156-D499-4548-B8E8-DC03CF407474}"/>
    <cellStyle name="计算 2 8 3 3" xfId="6463" xr:uid="{87D08266-DCAF-4EB6-A0AF-3A3C8D182721}"/>
    <cellStyle name="计算 2 8 3 4" xfId="7743" xr:uid="{E3AEFCD3-6158-4AB0-A07F-55582FACF5F0}"/>
    <cellStyle name="计算 2 8 3 5" xfId="9431" xr:uid="{AEC86BC1-D2A8-4E93-8BC0-B91297BDB359}"/>
    <cellStyle name="计算 2 8 3 6" xfId="11091" xr:uid="{FE085C00-561F-4BE1-B24E-E811D74440B6}"/>
    <cellStyle name="计算 2 8 3 7" xfId="12422" xr:uid="{42FFBD15-FA27-47A1-8279-F7C2EA7CD409}"/>
    <cellStyle name="计算 2 8 3 8" xfId="14074" xr:uid="{3EE464B2-5B54-409C-870D-481FCF399668}"/>
    <cellStyle name="计算 2 8 3 9" xfId="15762" xr:uid="{A8A18A84-179B-4C01-B2E1-E9EBE47F1466}"/>
    <cellStyle name="计算 2 8 4" xfId="4428" xr:uid="{0DA61664-EEBB-42FF-91DF-473FD3F7A76D}"/>
    <cellStyle name="计算 2 8 4 2" xfId="6927" xr:uid="{7FDD6397-0BA0-4871-B7B2-9784281743CC}"/>
    <cellStyle name="计算 2 8 4 3" xfId="8345" xr:uid="{C086D845-9E3C-43AC-B0D6-DF430CFB40EB}"/>
    <cellStyle name="计算 2 8 4 4" xfId="10045" xr:uid="{E4EC404A-0ECE-4A39-A383-E811596A3E68}"/>
    <cellStyle name="计算 2 8 4 5" xfId="11543" xr:uid="{A191334C-2727-4C18-A3F2-55ABBF66BEF4}"/>
    <cellStyle name="计算 2 8 4 6" xfId="13022" xr:uid="{CE290AEA-C73F-4E2F-BF1E-B2CFD014A85A}"/>
    <cellStyle name="计算 2 8 4 7" xfId="14688" xr:uid="{D6DAB2EA-797E-4660-A235-E09525601D10}"/>
    <cellStyle name="计算 2 8 4 8" xfId="16362" xr:uid="{31E280AD-AB26-4F07-9993-93ACB4902F95}"/>
    <cellStyle name="计算 2 8 5" xfId="6130" xr:uid="{435F55CB-D792-4F49-A6A9-5C8B46E99905}"/>
    <cellStyle name="计算 2 8 6" xfId="5711" xr:uid="{855126A1-5129-4573-89E2-ECEEF4621681}"/>
    <cellStyle name="计算 2 8 7" xfId="10762" xr:uid="{CCA07DA4-DA2B-4FD2-A131-D1E85D1F8382}"/>
    <cellStyle name="计算 2 8 8" xfId="5304" xr:uid="{4D6D6DB3-688E-428F-97FF-DA2838D39959}"/>
    <cellStyle name="计算 2 8 9" xfId="13638" xr:uid="{23289FE8-6E1E-4EA8-A7D5-0FD22EFE6E45}"/>
    <cellStyle name="计算 2 9" xfId="3870" xr:uid="{2FC3C312-8233-40EC-BFA8-DC8EF59CAE6B}"/>
    <cellStyle name="计算 2 9 2" xfId="4762" xr:uid="{41DBC429-3133-4146-B033-AB0E7DF13BB5}"/>
    <cellStyle name="计算 2 9 2 2" xfId="7257" xr:uid="{A970E76E-97CB-46EB-B891-F1277CCBDF00}"/>
    <cellStyle name="计算 2 9 2 3" xfId="8672" xr:uid="{1F79B58B-C3BC-4BBE-ABB2-510BC9DCF789}"/>
    <cellStyle name="计算 2 9 2 4" xfId="10379" xr:uid="{8C7D079B-AFB6-4860-A4DE-447BF9467200}"/>
    <cellStyle name="计算 2 9 2 5" xfId="11875" xr:uid="{75FB6070-F527-4839-9933-14E6BA9FD7A3}"/>
    <cellStyle name="计算 2 9 2 6" xfId="13349" xr:uid="{F647A4B5-B31A-403C-9DD4-414F3B4DF4CD}"/>
    <cellStyle name="计算 2 9 2 7" xfId="15022" xr:uid="{4A2E6881-0CF1-407A-8719-F8017915E947}"/>
    <cellStyle name="计算 2 9 2 8" xfId="16689" xr:uid="{53A12106-50A8-4C36-B580-67DAE3B492B7}"/>
    <cellStyle name="计算 2 9 3" xfId="6511" xr:uid="{1FC36CD9-6973-4F5B-B822-4F35928785AE}"/>
    <cellStyle name="计算 2 9 4" xfId="7798" xr:uid="{2D46DC48-406A-49DF-997F-EEE406961F8E}"/>
    <cellStyle name="计算 2 9 5" xfId="9489" xr:uid="{F3BE3369-212E-415D-B12B-9CBD6FE84CEF}"/>
    <cellStyle name="计算 2 9 6" xfId="11142" xr:uid="{4D5DEED1-2D1D-4E87-AD79-4CBC699179F5}"/>
    <cellStyle name="计算 2 9 7" xfId="12477" xr:uid="{713DFC97-0DA2-4C9C-965E-DDE619B6BA6B}"/>
    <cellStyle name="计算 2 9 8" xfId="14132" xr:uid="{2B7953A5-A3AD-4B12-A13B-F79BC91EC1D4}"/>
    <cellStyle name="计算 2 9 9" xfId="15817" xr:uid="{C7A2223A-8F74-4735-8278-97425EB9F596}"/>
    <cellStyle name="计算 3" xfId="2967" xr:uid="{DC169F40-28AA-4463-80C4-4B9AEF6BF848}"/>
    <cellStyle name="计算 3 10" xfId="3414" xr:uid="{5D74098A-FF15-4BD1-805A-5A27632467EC}"/>
    <cellStyle name="计算 3 10 2" xfId="4462" xr:uid="{36DAF053-8424-4395-8514-17E82F6D62BC}"/>
    <cellStyle name="计算 3 10 2 2" xfId="6957" xr:uid="{E9E2316D-893F-4DFB-86FB-594178BC4ADA}"/>
    <cellStyle name="计算 3 10 2 3" xfId="8378" xr:uid="{816DCDE9-3E46-4E27-B58E-9FE3FBD2E4DB}"/>
    <cellStyle name="计算 3 10 2 4" xfId="10079" xr:uid="{F27940FC-526C-4D96-AF98-870246E99775}"/>
    <cellStyle name="计算 3 10 2 5" xfId="11575" xr:uid="{7DE581FC-B415-47BB-9E62-042FBA37D903}"/>
    <cellStyle name="计算 3 10 2 6" xfId="13055" xr:uid="{0905F630-E3D5-4F95-8F7A-853E60EA91B9}"/>
    <cellStyle name="计算 3 10 2 7" xfId="14722" xr:uid="{2CD63AE5-C8B3-4124-8E12-3E6468350422}"/>
    <cellStyle name="计算 3 10 2 8" xfId="16395" xr:uid="{094098B0-2B26-4553-AC74-E07BB6C21A43}"/>
    <cellStyle name="计算 3 10 3" xfId="6165" xr:uid="{B0F84BCD-E07F-4717-B725-5312EA984CB5}"/>
    <cellStyle name="计算 3 10 4" xfId="5991" xr:uid="{61DF3621-BF93-47B3-A945-3EDDC9D747A2}"/>
    <cellStyle name="计算 3 10 5" xfId="9033" xr:uid="{BF403163-1B25-46A1-BC1C-F68FC0FA6AE5}"/>
    <cellStyle name="计算 3 10 6" xfId="10797" xr:uid="{166B36EC-7C5C-4519-9294-50999343ED71}"/>
    <cellStyle name="计算 3 10 7" xfId="5318" xr:uid="{E66B126A-C836-42E0-ACB1-B7D2B34E6E0E}"/>
    <cellStyle name="计算 3 10 8" xfId="13676" xr:uid="{37888189-F6EC-4AA4-A98C-C2CBEA989CF5}"/>
    <cellStyle name="计算 3 10 9" xfId="15367" xr:uid="{21C75588-2CC1-43AB-B0FA-6C99EF1206D7}"/>
    <cellStyle name="计算 3 11" xfId="5832" xr:uid="{012C1FED-C8E5-4BA5-BF66-861652520616}"/>
    <cellStyle name="计算 3 12" xfId="5823" xr:uid="{DA38D616-97CD-48EC-BA90-E611B61FEC5B}"/>
    <cellStyle name="计算 3 2" xfId="3255" xr:uid="{37154AC8-6850-4233-9273-55360DDD03D1}"/>
    <cellStyle name="计算 3 2 2" xfId="4135" xr:uid="{E3EC040E-1F70-4254-A70F-969B55B3116A}"/>
    <cellStyle name="计算 3 2 2 2" xfId="4933" xr:uid="{8FD1AF43-0645-4D12-B3F1-35861498A843}"/>
    <cellStyle name="计算 3 2 2 2 2" xfId="7428" xr:uid="{A30B570D-E5F7-47D0-A589-ABBC2DE26348}"/>
    <cellStyle name="计算 3 2 2 2 3" xfId="8840" xr:uid="{D66F8C7C-7F9F-4966-9394-FBA99DFF2407}"/>
    <cellStyle name="计算 3 2 2 2 4" xfId="10550" xr:uid="{5E0916B2-C7EE-4B3C-9712-50A0B9FAA80F}"/>
    <cellStyle name="计算 3 2 2 2 5" xfId="12046" xr:uid="{7C65B480-A836-4EC2-B3D6-BCE0592C4B39}"/>
    <cellStyle name="计算 3 2 2 2 6" xfId="13517" xr:uid="{935E3E14-DA32-4E36-9F44-CD40E923C237}"/>
    <cellStyle name="计算 3 2 2 2 7" xfId="15193" xr:uid="{AE0D875B-560E-4CA6-8ED6-1C0EA68CA02C}"/>
    <cellStyle name="计算 3 2 2 2 8" xfId="16857" xr:uid="{06AA1087-33F8-4427-9AB3-C7C4315705C9}"/>
    <cellStyle name="计算 3 2 2 3" xfId="6707" xr:uid="{E992E899-468E-48DF-9097-C84A10073C34}"/>
    <cellStyle name="计算 3 2 2 4" xfId="8060" xr:uid="{A861957D-F353-4841-8998-EB6294D3058C}"/>
    <cellStyle name="计算 3 2 2 5" xfId="9754" xr:uid="{52A3CA66-69AA-4832-84C9-A49D588EF253}"/>
    <cellStyle name="计算 3 2 2 6" xfId="11335" xr:uid="{D9F8C92C-2252-48CC-A870-3B8D8FF5184B}"/>
    <cellStyle name="计算 3 2 2 7" xfId="12739" xr:uid="{1849074D-4285-41B9-A686-0A8C87DB0C9C}"/>
    <cellStyle name="计算 3 2 2 8" xfId="14397" xr:uid="{0B400902-28CC-4009-BD21-04DE6AB7F891}"/>
    <cellStyle name="计算 3 2 2 9" xfId="16079" xr:uid="{0013EAD6-3CF3-4DF7-A1D6-12493D41322C}"/>
    <cellStyle name="计算 3 2 3" xfId="3697" xr:uid="{546E078C-C13D-4653-89C1-5AF61CD714A1}"/>
    <cellStyle name="计算 3 2 3 2" xfId="4647" xr:uid="{F0EA4927-0657-4C50-94D8-A32F2420AE4F}"/>
    <cellStyle name="计算 3 2 3 2 2" xfId="7142" xr:uid="{54FA6971-01CC-483F-A94B-BF71D332879C}"/>
    <cellStyle name="计算 3 2 3 2 3" xfId="8560" xr:uid="{BC849528-C295-4DC2-BCF2-6175264826A6}"/>
    <cellStyle name="计算 3 2 3 2 4" xfId="10264" xr:uid="{89048AEE-F410-431E-8133-AB3BF52E3324}"/>
    <cellStyle name="计算 3 2 3 2 5" xfId="11760" xr:uid="{47B50B2F-2CFF-46A2-9A2D-598B68BE3235}"/>
    <cellStyle name="计算 3 2 3 2 6" xfId="13237" xr:uid="{ACFAF33F-1A71-4DE5-8242-A46C420D7CF4}"/>
    <cellStyle name="计算 3 2 3 2 7" xfId="14907" xr:uid="{6D250AB0-59CD-4002-BD53-26EE952F84CA}"/>
    <cellStyle name="计算 3 2 3 2 8" xfId="16577" xr:uid="{327F94E4-8078-4E68-AC1C-DBE433CEEE26}"/>
    <cellStyle name="计算 3 2 3 3" xfId="6380" xr:uid="{3FFECC30-FD44-4EF5-8175-06E21B6BA807}"/>
    <cellStyle name="计算 3 2 3 4" xfId="7628" xr:uid="{6AB98756-F5BB-43BF-930C-6282209D5358}"/>
    <cellStyle name="计算 3 2 3 5" xfId="9316" xr:uid="{220DCAF7-9DAD-4B80-9485-3703482168B1}"/>
    <cellStyle name="计算 3 2 3 6" xfId="11007" xr:uid="{B1C436FC-6074-42B8-B514-486EDB26581A}"/>
    <cellStyle name="计算 3 2 3 7" xfId="12307" xr:uid="{8AE4BFA4-F629-4CEA-9DEA-69A5DAFB962D}"/>
    <cellStyle name="计算 3 2 3 8" xfId="13959" xr:uid="{2133295F-27BA-40EB-A85C-C03E233738ED}"/>
    <cellStyle name="计算 3 2 3 9" xfId="15647" xr:uid="{7688A01B-2CA5-4532-83BE-40E9313C67E2}"/>
    <cellStyle name="计算 3 2 4" xfId="8922" xr:uid="{AF4956C0-592A-4CD0-AF53-5E0AE2E4ACBE}"/>
    <cellStyle name="计算 3 3" xfId="3127" xr:uid="{6323BF9D-A435-464B-8894-10E40F5B4463}"/>
    <cellStyle name="计算 3 3 2" xfId="4007" xr:uid="{9F3247F6-BE56-4139-A7F5-0B2023821A6B}"/>
    <cellStyle name="计算 3 3 2 2" xfId="4853" xr:uid="{D72E3682-767E-41B1-87A9-AD666175070B}"/>
    <cellStyle name="计算 3 3 2 2 2" xfId="7348" xr:uid="{FF081A36-315E-4F39-A975-189D2094D40F}"/>
    <cellStyle name="计算 3 3 2 2 3" xfId="8761" xr:uid="{B7BA3630-E20D-462D-B2A2-CC01A1EDA1C0}"/>
    <cellStyle name="计算 3 3 2 2 4" xfId="10470" xr:uid="{9E75311A-320C-4D41-B452-853AA7C6B659}"/>
    <cellStyle name="计算 3 3 2 2 5" xfId="11966" xr:uid="{DADB52F0-FB8E-44C4-93ED-78C296AE2D3B}"/>
    <cellStyle name="计算 3 3 2 2 6" xfId="13438" xr:uid="{3EF9CECF-C0CE-42F0-A97F-D4B10864E9C7}"/>
    <cellStyle name="计算 3 3 2 2 7" xfId="15113" xr:uid="{3FF99BC2-067A-46AE-9BF8-1DF264BD300F}"/>
    <cellStyle name="计算 3 3 2 2 8" xfId="16778" xr:uid="{7FB6B723-B360-474B-AFEB-6BACA5D54391}"/>
    <cellStyle name="计算 3 3 2 3" xfId="6614" xr:uid="{7FDEA21B-AC17-44B9-820E-7521F9B28DC8}"/>
    <cellStyle name="计算 3 3 2 4" xfId="7933" xr:uid="{C25924C6-9FE6-4FCC-B3A6-3A246FE50AF5}"/>
    <cellStyle name="计算 3 3 2 5" xfId="9626" xr:uid="{517A78EE-323A-430C-8B06-B1DFBEB9B651}"/>
    <cellStyle name="计算 3 3 2 6" xfId="11240" xr:uid="{1B31F2C3-D28E-4881-901A-0E3DF55B6A05}"/>
    <cellStyle name="计算 3 3 2 7" xfId="12612" xr:uid="{A8659C39-46DD-4696-912F-6E05520FFFEF}"/>
    <cellStyle name="计算 3 3 2 8" xfId="14269" xr:uid="{38FE93EF-9B83-41D3-977E-B1FBEFB7A68D}"/>
    <cellStyle name="计算 3 3 2 9" xfId="15952" xr:uid="{B75D8CC8-7CEF-475C-8B43-783E77687407}"/>
    <cellStyle name="计算 3 3 3" xfId="3569" xr:uid="{BFA1A38C-7D2C-4EC0-BFE5-67E5EAE5CE5C}"/>
    <cellStyle name="计算 3 3 3 2" xfId="4567" xr:uid="{6843EE16-2ADB-4F98-9FAA-462CBA74123B}"/>
    <cellStyle name="计算 3 3 3 2 2" xfId="7062" xr:uid="{946A3E82-56F9-40BB-B641-694BAC992A43}"/>
    <cellStyle name="计算 3 3 3 2 3" xfId="8481" xr:uid="{1E688CC7-D49E-4DC2-BA98-BFFA19FFC461}"/>
    <cellStyle name="计算 3 3 3 2 4" xfId="10184" xr:uid="{CE04F7E9-983D-465A-B894-CA6CE2170F93}"/>
    <cellStyle name="计算 3 3 3 2 5" xfId="11680" xr:uid="{6426AF9F-D49A-460E-BA41-45631CAE0222}"/>
    <cellStyle name="计算 3 3 3 2 6" xfId="13158" xr:uid="{F622DBB7-A957-4C9D-9FB0-AB02E8B84A9F}"/>
    <cellStyle name="计算 3 3 3 2 7" xfId="14827" xr:uid="{488B4A47-DA70-449F-AF03-F3573BAFE065}"/>
    <cellStyle name="计算 3 3 3 2 8" xfId="16498" xr:uid="{40BF7194-FECD-4EEE-BF55-B2C38496AD5D}"/>
    <cellStyle name="计算 3 3 3 3" xfId="6284" xr:uid="{0D81C7CD-707F-4280-A461-EF2DB8736C12}"/>
    <cellStyle name="计算 3 3 3 4" xfId="5107" xr:uid="{EF0B1C0F-1E60-4793-8B24-DB8498B25E75}"/>
    <cellStyle name="计算 3 3 3 5" xfId="9188" xr:uid="{B4467D63-A004-41AD-8075-12CAF1D28887}"/>
    <cellStyle name="计算 3 3 3 6" xfId="10914" xr:uid="{6C8BD2E1-24AF-4ED5-8ACD-1CE89AD4B36F}"/>
    <cellStyle name="计算 3 3 3 7" xfId="12180" xr:uid="{B5DA7B7A-4F52-441A-81BE-E64B29C22844}"/>
    <cellStyle name="计算 3 3 3 8" xfId="13831" xr:uid="{C4229C00-63E8-432E-A0E2-F292DD5C8495}"/>
    <cellStyle name="计算 3 3 3 9" xfId="15520" xr:uid="{33A1F4C2-EEEF-4126-B6A5-EF820BC5474D}"/>
    <cellStyle name="计算 3 3 4" xfId="5904" xr:uid="{1E069C02-4F43-41F0-B9BA-277908C75D75}"/>
    <cellStyle name="计算 3 4" xfId="3289" xr:uid="{13B40BDA-3C51-4920-B0BB-3AF2D89589B9}"/>
    <cellStyle name="计算 3 4 2" xfId="4169" xr:uid="{7B91D483-A528-4A43-97C1-CBD9D9F76B8A}"/>
    <cellStyle name="计算 3 4 2 2" xfId="4959" xr:uid="{636F672C-4937-4984-982B-51603FCBCFB1}"/>
    <cellStyle name="计算 3 4 2 2 2" xfId="7454" xr:uid="{E31F0968-E23F-4C92-90DF-6A2DEFB18CBE}"/>
    <cellStyle name="计算 3 4 2 2 3" xfId="8866" xr:uid="{942033A6-ED08-4233-9664-11B215C8F111}"/>
    <cellStyle name="计算 3 4 2 2 4" xfId="10576" xr:uid="{17761F63-CE15-42B7-9CED-99DA10DF1C47}"/>
    <cellStyle name="计算 3 4 2 2 5" xfId="12072" xr:uid="{A05AEE10-11AD-42A9-8CD4-2639E689B815}"/>
    <cellStyle name="计算 3 4 2 2 6" xfId="13543" xr:uid="{D40685E2-26AC-4A7A-ACDA-F950F7BB1D77}"/>
    <cellStyle name="计算 3 4 2 2 7" xfId="15219" xr:uid="{A86971D0-7E57-4EC8-9591-604E81629867}"/>
    <cellStyle name="计算 3 4 2 2 8" xfId="16883" xr:uid="{9D3F666C-18C4-4302-9ECB-AD136D1A996D}"/>
    <cellStyle name="计算 3 4 2 3" xfId="6734" xr:uid="{D5630C62-C501-4BBA-B4C3-4B908C9D7FF8}"/>
    <cellStyle name="计算 3 4 2 4" xfId="8094" xr:uid="{B87B6AA5-E87B-4381-84DC-97AE39747AE0}"/>
    <cellStyle name="计算 3 4 2 5" xfId="9788" xr:uid="{A95CDC67-7CBE-4890-9447-88636BACE605}"/>
    <cellStyle name="计算 3 4 2 6" xfId="11362" xr:uid="{8F3427EC-2A9F-487F-AD76-9BEE875DBDB2}"/>
    <cellStyle name="计算 3 4 2 7" xfId="12773" xr:uid="{2BE59F48-74C9-4BC3-8585-0B13BDE7E669}"/>
    <cellStyle name="计算 3 4 2 8" xfId="14431" xr:uid="{D654FF4D-F1A8-4BCC-8BE6-CEB223D7FAEA}"/>
    <cellStyle name="计算 3 4 2 9" xfId="16113" xr:uid="{E7BB525C-9989-47CE-AEFE-9A6D091E3D8D}"/>
    <cellStyle name="计算 3 4 3" xfId="3731" xr:uid="{DC35619B-7D30-46A1-9840-38C93A888C2E}"/>
    <cellStyle name="计算 3 4 3 2" xfId="4673" xr:uid="{A4D95D68-96F9-4D39-90DD-926CE7CF7AB3}"/>
    <cellStyle name="计算 3 4 3 2 2" xfId="7168" xr:uid="{B9FED7D3-81B1-4653-AC0F-1457E0A91776}"/>
    <cellStyle name="计算 3 4 3 2 3" xfId="8586" xr:uid="{2243F0E2-9DDD-43FC-AF4D-1D3AFC96E363}"/>
    <cellStyle name="计算 3 4 3 2 4" xfId="10290" xr:uid="{3C873FE2-3FE8-44F5-BAF0-B30E4221C061}"/>
    <cellStyle name="计算 3 4 3 2 5" xfId="11786" xr:uid="{EF48D412-9241-4E92-A268-A09E806E8BBE}"/>
    <cellStyle name="计算 3 4 3 2 6" xfId="13263" xr:uid="{1CF7AD4F-43BE-47D8-84B9-F5894C2EF957}"/>
    <cellStyle name="计算 3 4 3 2 7" xfId="14933" xr:uid="{903227FE-0FDD-4E14-8C23-9A6949D6E520}"/>
    <cellStyle name="计算 3 4 3 2 8" xfId="16603" xr:uid="{F804A895-AE05-4542-BA85-527F6014FA14}"/>
    <cellStyle name="计算 3 4 3 3" xfId="6408" xr:uid="{BD765723-0108-4249-AC6C-02AA8AB6DA8A}"/>
    <cellStyle name="计算 3 4 3 4" xfId="7662" xr:uid="{EF48F718-39CB-4379-B3E6-EFF5279D4FC8}"/>
    <cellStyle name="计算 3 4 3 5" xfId="9350" xr:uid="{C2E0BC1E-5960-451B-B5E2-7DF1F4CF2115}"/>
    <cellStyle name="计算 3 4 3 6" xfId="11035" xr:uid="{786AEF8F-E4AF-4C1F-812A-7F106F52DDFE}"/>
    <cellStyle name="计算 3 4 3 7" xfId="12341" xr:uid="{C1D22847-2258-41A2-B398-9E9AF4E10C3E}"/>
    <cellStyle name="计算 3 4 3 8" xfId="13993" xr:uid="{C5CF515B-6A9E-4216-BA17-9B07477A8059}"/>
    <cellStyle name="计算 3 4 3 9" xfId="15681" xr:uid="{CCB22625-A647-4123-8886-B082AA6C1E01}"/>
    <cellStyle name="计算 3 4 4" xfId="8956" xr:uid="{EAE9517E-F05F-4B8B-856D-380FF6E02806}"/>
    <cellStyle name="计算 3 5" xfId="3182" xr:uid="{D4F019A1-BBB0-4779-ADE0-45DD38811B06}"/>
    <cellStyle name="计算 3 5 2" xfId="4062" xr:uid="{C81A1B7B-E756-457F-99FD-BF22BD6E7AE1}"/>
    <cellStyle name="计算 3 5 2 2" xfId="4888" xr:uid="{AA995764-03DB-4B72-BCD8-03CCB37DE7EF}"/>
    <cellStyle name="计算 3 5 2 2 2" xfId="7383" xr:uid="{2F2EC772-F86A-4A5A-BEC0-9AD795B6233A}"/>
    <cellStyle name="计算 3 5 2 2 3" xfId="8795" xr:uid="{6243D4DE-4782-4B00-A6B9-D0D00D42E346}"/>
    <cellStyle name="计算 3 5 2 2 4" xfId="10505" xr:uid="{BFB78708-6BD5-46CA-B9F0-0B9E67E5BD99}"/>
    <cellStyle name="计算 3 5 2 2 5" xfId="12001" xr:uid="{BC26C0AB-81D4-4245-A64D-6256F8615C66}"/>
    <cellStyle name="计算 3 5 2 2 6" xfId="13472" xr:uid="{C0354651-7974-4265-9507-5EF48C3C9ED3}"/>
    <cellStyle name="计算 3 5 2 2 7" xfId="15148" xr:uid="{2B4A7AF2-5A22-4892-BA7A-057AD2CD594E}"/>
    <cellStyle name="计算 3 5 2 2 8" xfId="16812" xr:uid="{62392209-B0D2-4CC2-8AA0-F2E8F737C9B4}"/>
    <cellStyle name="计算 3 5 2 3" xfId="6655" xr:uid="{CF76D7D3-D9B9-4C88-8DB9-FF17D4DD290A}"/>
    <cellStyle name="计算 3 5 2 4" xfId="7987" xr:uid="{269445CA-ED3E-4A8B-A36C-976F5301894C}"/>
    <cellStyle name="计算 3 5 2 5" xfId="9681" xr:uid="{6E1280B9-5B9D-4374-A2D6-9967F903B51E}"/>
    <cellStyle name="计算 3 5 2 6" xfId="11282" xr:uid="{5FB193E4-EAB7-42F4-898A-EBBBF2CE787B}"/>
    <cellStyle name="计算 3 5 2 7" xfId="12666" xr:uid="{EB30FDF4-90A7-47B3-B409-A237E988994E}"/>
    <cellStyle name="计算 3 5 2 8" xfId="14324" xr:uid="{86EA19E4-2B4C-4744-9BEC-0A940D6F3A4E}"/>
    <cellStyle name="计算 3 5 2 9" xfId="16006" xr:uid="{066B12C7-F492-42CE-A780-66C0FA9F67D0}"/>
    <cellStyle name="计算 3 5 3" xfId="3624" xr:uid="{50EFFC4A-2817-4911-B7F0-6C8E60878D26}"/>
    <cellStyle name="计算 3 5 3 2" xfId="4602" xr:uid="{F470D8A3-89AF-4678-90DB-73C1A0A56934}"/>
    <cellStyle name="计算 3 5 3 2 2" xfId="7097" xr:uid="{5CC8BAAD-361F-4DA0-8AF5-60A681C6EF69}"/>
    <cellStyle name="计算 3 5 3 2 3" xfId="8515" xr:uid="{AB3DEAE1-4098-4886-873C-DECD311ADF2B}"/>
    <cellStyle name="计算 3 5 3 2 4" xfId="10219" xr:uid="{651B818D-54B6-410C-BF91-2EB7A55F2742}"/>
    <cellStyle name="计算 3 5 3 2 5" xfId="11715" xr:uid="{833032F1-E270-4341-91AA-82982F82263C}"/>
    <cellStyle name="计算 3 5 3 2 6" xfId="13192" xr:uid="{0FE11B8D-78E0-4756-8423-691CFD416E9C}"/>
    <cellStyle name="计算 3 5 3 2 7" xfId="14862" xr:uid="{8EFAC346-5A89-433A-9A1D-2E4A09D2506D}"/>
    <cellStyle name="计算 3 5 3 2 8" xfId="16532" xr:uid="{7565F8BF-B407-4FFE-9035-858DF3DA79DE}"/>
    <cellStyle name="计算 3 5 3 3" xfId="6328" xr:uid="{77AA1973-ED4C-4EFD-920F-F21D320D248F}"/>
    <cellStyle name="计算 3 5 3 4" xfId="7555" xr:uid="{67EF40DF-AE9C-4377-BE18-B7973465F24B}"/>
    <cellStyle name="计算 3 5 3 5" xfId="9243" xr:uid="{D7F830D7-F0B3-4106-95F8-7FCF9248CA35}"/>
    <cellStyle name="计算 3 5 3 6" xfId="10955" xr:uid="{C1DBECA7-5013-4692-801B-E06360388DB4}"/>
    <cellStyle name="计算 3 5 3 7" xfId="12234" xr:uid="{DCFBD88A-123F-4598-8839-C23564447E36}"/>
    <cellStyle name="计算 3 5 3 8" xfId="13886" xr:uid="{C32F99D5-F9F7-4427-97EA-07FBE72069F4}"/>
    <cellStyle name="计算 3 5 3 9" xfId="15574" xr:uid="{D906C85B-8615-4BD4-9D0A-BFCD60DC976E}"/>
    <cellStyle name="计算 3 5 4" xfId="6635" xr:uid="{B2C93F75-0998-4759-BB15-4F4326D8A006}"/>
    <cellStyle name="计算 3 6" xfId="3123" xr:uid="{5FF02508-F31B-4CBA-B856-83584D802263}"/>
    <cellStyle name="计算 3 6 10" xfId="5430" xr:uid="{8D7104D2-1E42-4FBB-8280-A8A1D290E267}"/>
    <cellStyle name="计算 3 6 2" xfId="4003" xr:uid="{1DC025B5-64FB-4DE8-B11E-A566AA857B58}"/>
    <cellStyle name="计算 3 6 2 2" xfId="4849" xr:uid="{7FFC37E5-5442-4A5C-9E84-4B646962D5FF}"/>
    <cellStyle name="计算 3 6 2 2 2" xfId="7344" xr:uid="{5B12C865-31C8-4651-9831-723F402E19EB}"/>
    <cellStyle name="计算 3 6 2 2 3" xfId="8757" xr:uid="{8EE18D66-30F3-493B-8023-B0FB2AC9A77B}"/>
    <cellStyle name="计算 3 6 2 2 4" xfId="10466" xr:uid="{C3DCFA6A-C18B-4C5B-9092-A5C98AEFB7FA}"/>
    <cellStyle name="计算 3 6 2 2 5" xfId="11962" xr:uid="{E908CF53-1942-4F30-8542-0D9EECEE9A7D}"/>
    <cellStyle name="计算 3 6 2 2 6" xfId="13434" xr:uid="{EC997728-B1E6-4A49-8250-EF25DD2489A2}"/>
    <cellStyle name="计算 3 6 2 2 7" xfId="15109" xr:uid="{3B75DEB8-65E9-4AAF-87C5-870F93EBED11}"/>
    <cellStyle name="计算 3 6 2 2 8" xfId="16774" xr:uid="{D0A5DC0D-7DB6-4E09-89A2-D02694501A6F}"/>
    <cellStyle name="计算 3 6 2 3" xfId="6610" xr:uid="{88664A8B-8B93-4D83-98D2-7AD0A31E73E8}"/>
    <cellStyle name="计算 3 6 2 4" xfId="7929" xr:uid="{DA4F9C93-B241-4014-98DE-59D9D10D77E9}"/>
    <cellStyle name="计算 3 6 2 5" xfId="9622" xr:uid="{06814BAE-2E1A-4411-9A92-A3A44E860133}"/>
    <cellStyle name="计算 3 6 2 6" xfId="11236" xr:uid="{CFD4E2AB-5808-4198-8D75-EF7B70EB82FD}"/>
    <cellStyle name="计算 3 6 2 7" xfId="12608" xr:uid="{A8D2B69C-C1B1-4988-8542-6557204B782F}"/>
    <cellStyle name="计算 3 6 2 8" xfId="14265" xr:uid="{86246DB3-0998-460D-AA1B-E7BEB215A2AB}"/>
    <cellStyle name="计算 3 6 2 9" xfId="15948" xr:uid="{0A0A6CCF-C68D-4FFB-BA76-D730BBE82AF8}"/>
    <cellStyle name="计算 3 6 3" xfId="3565" xr:uid="{43EC643E-8F18-4330-85D2-2A3D57BFD8C0}"/>
    <cellStyle name="计算 3 6 3 2" xfId="4563" xr:uid="{275D3921-7808-4186-8706-1ADA1CD76654}"/>
    <cellStyle name="计算 3 6 3 2 2" xfId="7058" xr:uid="{11C8C27F-BC21-4C2A-8DA3-38E95EE6C8AA}"/>
    <cellStyle name="计算 3 6 3 2 3" xfId="8477" xr:uid="{41C2DAC6-0F65-4C4C-B8A9-FCFBFF5B0C1C}"/>
    <cellStyle name="计算 3 6 3 2 4" xfId="10180" xr:uid="{AF407274-D698-4E6C-A845-9158AAF8272D}"/>
    <cellStyle name="计算 3 6 3 2 5" xfId="11676" xr:uid="{52F8D29D-9D70-49CA-B283-CE760F15551A}"/>
    <cellStyle name="计算 3 6 3 2 6" xfId="13154" xr:uid="{3CF521BD-4CD1-4D27-925F-55AC39B99999}"/>
    <cellStyle name="计算 3 6 3 2 7" xfId="14823" xr:uid="{6377E3B6-9E1D-4955-A569-830112CC75FA}"/>
    <cellStyle name="计算 3 6 3 2 8" xfId="16494" xr:uid="{B31C4F44-E3DF-4E8A-BDA2-0A2161CD175F}"/>
    <cellStyle name="计算 3 6 3 3" xfId="6280" xr:uid="{D0859936-9947-4FB3-B0D5-C51ABF5B7612}"/>
    <cellStyle name="计算 3 6 3 4" xfId="5111" xr:uid="{FC6B2DDD-30FA-4096-970E-F2D217A91ADC}"/>
    <cellStyle name="计算 3 6 3 5" xfId="9184" xr:uid="{5A036EEC-C663-46A1-94DE-70E14D2A06AB}"/>
    <cellStyle name="计算 3 6 3 6" xfId="10910" xr:uid="{2611B731-315F-4BDE-BFA2-5058700004E6}"/>
    <cellStyle name="计算 3 6 3 7" xfId="12176" xr:uid="{6312F56F-7357-4FF2-A8ED-768129B4F712}"/>
    <cellStyle name="计算 3 6 3 8" xfId="13827" xr:uid="{C36222C4-D7EE-4621-8842-692E9B3D2A48}"/>
    <cellStyle name="计算 3 6 3 9" xfId="15516" xr:uid="{CF1E4707-4C50-4BEC-AE15-2FF81C41312F}"/>
    <cellStyle name="计算 3 6 4" xfId="4334" xr:uid="{B16AA86B-6002-4CAA-BE3B-06D7336A67E0}"/>
    <cellStyle name="计算 3 6 4 2" xfId="6855" xr:uid="{B24AD432-0DCF-44C8-B0C7-E4EDEF127C68}"/>
    <cellStyle name="计算 3 6 4 3" xfId="8254" xr:uid="{FC0F5F11-DA9F-4A90-A763-85522F06B3E3}"/>
    <cellStyle name="计算 3 6 4 4" xfId="9951" xr:uid="{B3B05D98-27C9-42F4-B25C-CA56129CF49E}"/>
    <cellStyle name="计算 3 6 4 5" xfId="11474" xr:uid="{903FB3B5-1A97-4187-B33F-813AE46A5AF7}"/>
    <cellStyle name="计算 3 6 4 6" xfId="12931" xr:uid="{D113DCED-A0BE-4221-BEB7-692F6E98FB7E}"/>
    <cellStyle name="计算 3 6 4 7" xfId="14594" xr:uid="{F15E71F8-D93C-4597-BBF9-D39A6FBC40AA}"/>
    <cellStyle name="计算 3 6 4 8" xfId="16271" xr:uid="{5E9DA281-1868-4975-878C-44BF352D7140}"/>
    <cellStyle name="计算 3 6 5" xfId="5984" xr:uid="{FDAA37D7-708F-4460-913A-826EBBB61BB2}"/>
    <cellStyle name="计算 3 6 6" xfId="5552" xr:uid="{A279E1E2-9E71-4488-B267-1E8A751C71C7}"/>
    <cellStyle name="计算 3 6 7" xfId="10636" xr:uid="{E8407ED8-1D9B-49CC-B2A7-394399F7A913}"/>
    <cellStyle name="计算 3 6 8" xfId="5406" xr:uid="{B511F2A5-D001-4B9C-BF4B-CE28C403B594}"/>
    <cellStyle name="计算 3 6 9" xfId="11502" xr:uid="{59B84B7C-54B6-4A99-BADF-4EC15327F24C}"/>
    <cellStyle name="计算 3 7" xfId="3231" xr:uid="{0EA2EB43-C430-431B-A71D-8FAC7D2F6C42}"/>
    <cellStyle name="计算 3 7 10" xfId="15283" xr:uid="{04E33B7B-CC63-4C3C-837E-032BA9F0DC04}"/>
    <cellStyle name="计算 3 7 2" xfId="4111" xr:uid="{62F99403-EC7A-4FFD-B18E-786DA316E81D}"/>
    <cellStyle name="计算 3 7 2 2" xfId="4918" xr:uid="{835341FF-31E4-459A-979F-FA5AC1036037}"/>
    <cellStyle name="计算 3 7 2 2 2" xfId="7413" xr:uid="{EC9F339D-E32C-4D7A-A8A8-BB847C06BC30}"/>
    <cellStyle name="计算 3 7 2 2 3" xfId="8825" xr:uid="{0AAD6089-67A7-4E4D-9860-089CBAAF5900}"/>
    <cellStyle name="计算 3 7 2 2 4" xfId="10535" xr:uid="{ABB0F30C-087F-4B29-A813-D0AD37744CF8}"/>
    <cellStyle name="计算 3 7 2 2 5" xfId="12031" xr:uid="{5399F2DF-3726-40D1-8EE6-9BD289161D8E}"/>
    <cellStyle name="计算 3 7 2 2 6" xfId="13502" xr:uid="{46234CF6-8089-4DD9-9491-0ED24EAC51C1}"/>
    <cellStyle name="计算 3 7 2 2 7" xfId="15178" xr:uid="{FC64D06D-6FE7-4ADF-9B4B-B358038BD3C8}"/>
    <cellStyle name="计算 3 7 2 2 8" xfId="16842" xr:uid="{5E992C11-5440-42EF-814D-8D5A7A1E0B91}"/>
    <cellStyle name="计算 3 7 2 3" xfId="6688" xr:uid="{25CDCF88-0EBA-4ACD-9BCE-47557955D38A}"/>
    <cellStyle name="计算 3 7 2 4" xfId="8036" xr:uid="{8A32172D-92D9-4B83-B40E-81C8C9C7F7C1}"/>
    <cellStyle name="计算 3 7 2 5" xfId="9730" xr:uid="{F3EB96A3-1195-41FE-89B6-7C2A04B92B77}"/>
    <cellStyle name="计算 3 7 2 6" xfId="11316" xr:uid="{9DB02F9B-9A9C-43C0-A4D4-844A8A28F761}"/>
    <cellStyle name="计算 3 7 2 7" xfId="12715" xr:uid="{5EEFC4F6-F469-4FF3-B62D-8691CCCCB743}"/>
    <cellStyle name="计算 3 7 2 8" xfId="14373" xr:uid="{9D737321-60CF-4B35-8F46-86B1CD77ACA8}"/>
    <cellStyle name="计算 3 7 2 9" xfId="16055" xr:uid="{CE117CA6-0AED-4896-8926-C71E9C7225BC}"/>
    <cellStyle name="计算 3 7 3" xfId="3673" xr:uid="{A0139811-3A4E-494D-A917-3D2CD208F3B6}"/>
    <cellStyle name="计算 3 7 3 2" xfId="4632" xr:uid="{E1FA7ADA-1815-4C20-9493-3F9B7419B150}"/>
    <cellStyle name="计算 3 7 3 2 2" xfId="7127" xr:uid="{0244A940-1ECF-49D5-8859-C3E700096F1A}"/>
    <cellStyle name="计算 3 7 3 2 3" xfId="8545" xr:uid="{B0BCDE68-AE72-4874-BF14-AC017613C837}"/>
    <cellStyle name="计算 3 7 3 2 4" xfId="10249" xr:uid="{4D952BD9-EB57-4D37-815B-78FDC0902305}"/>
    <cellStyle name="计算 3 7 3 2 5" xfId="11745" xr:uid="{329038D4-451F-464B-9A31-ED670683F3BA}"/>
    <cellStyle name="计算 3 7 3 2 6" xfId="13222" xr:uid="{3E3E510F-D0F8-4B9B-ADE8-5E80D5140243}"/>
    <cellStyle name="计算 3 7 3 2 7" xfId="14892" xr:uid="{82318D88-F54A-4F11-AF3B-416CC4F20863}"/>
    <cellStyle name="计算 3 7 3 2 8" xfId="16562" xr:uid="{CE494AB2-2010-4CC7-9A1E-956760E8C5CF}"/>
    <cellStyle name="计算 3 7 3 3" xfId="6363" xr:uid="{35D3F2CA-900B-4B65-A5D0-B99291B6A58A}"/>
    <cellStyle name="计算 3 7 3 4" xfId="7604" xr:uid="{F80CC0CE-62CE-4E3A-8B75-0FB6506CA233}"/>
    <cellStyle name="计算 3 7 3 5" xfId="9292" xr:uid="{A692A7DE-1D18-448D-90D7-CD29E229A8B3}"/>
    <cellStyle name="计算 3 7 3 6" xfId="10988" xr:uid="{B6846FA6-96D2-4F04-AE15-30FD0E53347E}"/>
    <cellStyle name="计算 3 7 3 7" xfId="12283" xr:uid="{2A35CD48-4599-4A81-9D9C-35885573CCB7}"/>
    <cellStyle name="计算 3 7 3 8" xfId="13935" xr:uid="{043E9CA4-9797-468D-AEC9-6DF35A2ED035}"/>
    <cellStyle name="计算 3 7 3 9" xfId="15623" xr:uid="{9AE3A7A9-EA46-451E-926D-CE54E7D7D3E1}"/>
    <cellStyle name="计算 3 7 4" xfId="4380" xr:uid="{CECA20A6-4AA6-46A0-9DFE-81361B7351D3}"/>
    <cellStyle name="计算 3 7 4 2" xfId="6890" xr:uid="{6FC7887F-4B6C-46B1-8B40-7B296F5A60B7}"/>
    <cellStyle name="计算 3 7 4 3" xfId="8299" xr:uid="{8E5EBB48-D613-41F8-BE6D-697A9F6265E0}"/>
    <cellStyle name="计算 3 7 4 4" xfId="9997" xr:uid="{B3EDA748-7AE8-4F09-928C-43464D1BEEFF}"/>
    <cellStyle name="计算 3 7 4 5" xfId="11509" xr:uid="{0A7E8F91-DB6A-440E-97CE-81364A06C430}"/>
    <cellStyle name="计算 3 7 4 6" xfId="12976" xr:uid="{68B2B2B2-4718-4836-A23E-DC2520069650}"/>
    <cellStyle name="计算 3 7 4 7" xfId="14640" xr:uid="{DC39C392-C027-478D-9791-F87A495ADF9D}"/>
    <cellStyle name="计算 3 7 4 8" xfId="16316" xr:uid="{6219F4FC-D202-422C-AD05-F94C9DC9041B}"/>
    <cellStyle name="计算 3 7 5" xfId="6053" xr:uid="{4593663C-52BF-4A54-B74C-6619037163BD}"/>
    <cellStyle name="计算 3 7 6" xfId="5725" xr:uid="{C5DB441A-5849-44AB-98D0-536678191CD5}"/>
    <cellStyle name="计算 3 7 7" xfId="10695" xr:uid="{2E4C9796-A7A6-4E29-AA47-68EF00C14CEB}"/>
    <cellStyle name="计算 3 7 8" xfId="5028" xr:uid="{E57BF36D-891A-4F1A-A601-B71AB610287E}"/>
    <cellStyle name="计算 3 7 9" xfId="11320" xr:uid="{1CB81A05-F01D-43CC-A639-FC416BA3C0E5}"/>
    <cellStyle name="计算 3 8" xfId="3335" xr:uid="{A5C53236-EBA5-4117-8C16-0F7170BE936E}"/>
    <cellStyle name="计算 3 8 10" xfId="15301" xr:uid="{42FEE880-E948-4211-9A2E-6CAB8851C3DF}"/>
    <cellStyle name="计算 3 8 2" xfId="4215" xr:uid="{4ABE6836-4F68-4AF5-B809-E6C647DE5A65}"/>
    <cellStyle name="计算 3 8 2 2" xfId="4988" xr:uid="{8E427F0A-0A4A-4F6B-AA05-897EA6BC21FB}"/>
    <cellStyle name="计算 3 8 2 2 2" xfId="7483" xr:uid="{CC58F8D2-F5F8-4A53-B851-FF0AEEC01B6E}"/>
    <cellStyle name="计算 3 8 2 2 3" xfId="8894" xr:uid="{85CBA601-7CB1-4DB3-B5F1-D13212817770}"/>
    <cellStyle name="计算 3 8 2 2 4" xfId="10605" xr:uid="{294905E8-5714-44AE-9641-77C7714EE2C2}"/>
    <cellStyle name="计算 3 8 2 2 5" xfId="12101" xr:uid="{728083F6-5768-4B6A-8CDD-28DABC4F2A33}"/>
    <cellStyle name="计算 3 8 2 2 6" xfId="13571" xr:uid="{F2187EA2-4B6A-4AD9-A76E-1F6EA4E405C5}"/>
    <cellStyle name="计算 3 8 2 2 7" xfId="15248" xr:uid="{77BA5BC7-E79C-4D72-AF1B-CB68CCC6541F}"/>
    <cellStyle name="计算 3 8 2 2 8" xfId="16911" xr:uid="{C37D27EA-138D-4E5C-B46F-F87B630B2664}"/>
    <cellStyle name="计算 3 8 2 3" xfId="6768" xr:uid="{F59FFE70-6EC1-4DB5-BEF6-3C9BC8DE455C}"/>
    <cellStyle name="计算 3 8 2 4" xfId="8139" xr:uid="{2DA4F2FB-7FBF-4376-BBE6-254ED3C86BD0}"/>
    <cellStyle name="计算 3 8 2 5" xfId="9834" xr:uid="{A8D97B8B-FA5F-4F85-8ECF-E8926D3E2388}"/>
    <cellStyle name="计算 3 8 2 6" xfId="11394" xr:uid="{A53E6822-9AFD-4330-8D1E-90F3D5791326}"/>
    <cellStyle name="计算 3 8 2 7" xfId="12818" xr:uid="{DC0FB85B-1A77-446E-80D9-BEC117AFE6D6}"/>
    <cellStyle name="计算 3 8 2 8" xfId="14477" xr:uid="{E4C6E99E-8DB6-4A53-B49D-799C0E7DDB32}"/>
    <cellStyle name="计算 3 8 2 9" xfId="16158" xr:uid="{C05E62AA-B074-465C-9435-1F3638A766CC}"/>
    <cellStyle name="计算 3 8 3" xfId="3776" xr:uid="{B8D96449-CA74-4DF8-8210-583ACB56E1BC}"/>
    <cellStyle name="计算 3 8 3 2" xfId="4701" xr:uid="{5F60A2DF-033A-4878-9171-19B2095AF295}"/>
    <cellStyle name="计算 3 8 3 2 2" xfId="7196" xr:uid="{0B29E510-31D9-4737-BC4B-FD5092888275}"/>
    <cellStyle name="计算 3 8 3 2 3" xfId="8614" xr:uid="{4A173367-FBA5-49ED-A54F-8CE668DB23D0}"/>
    <cellStyle name="计算 3 8 3 2 4" xfId="10318" xr:uid="{B40C081E-154F-46FC-A8FF-52F665537C84}"/>
    <cellStyle name="计算 3 8 3 2 5" xfId="11814" xr:uid="{3CD84E2E-86FC-422F-BDF3-D6FB9B25A8C9}"/>
    <cellStyle name="计算 3 8 3 2 6" xfId="13291" xr:uid="{4F23F1C2-93B4-4479-B4FD-4DCCB5681F31}"/>
    <cellStyle name="计算 3 8 3 2 7" xfId="14961" xr:uid="{E81924D9-9769-4232-BF24-C8339A515EDE}"/>
    <cellStyle name="计算 3 8 3 2 8" xfId="16631" xr:uid="{6B999614-D363-4AB7-BA9F-ED6DA234329B}"/>
    <cellStyle name="计算 3 8 3 3" xfId="6440" xr:uid="{D8DBCA8F-8C5F-41E0-A7A1-3DDF1E35A531}"/>
    <cellStyle name="计算 3 8 3 4" xfId="7707" xr:uid="{E7397933-E011-4ED7-AD7A-1FAE6D5CF863}"/>
    <cellStyle name="计算 3 8 3 5" xfId="9395" xr:uid="{B91701A0-5DA0-48DE-B57F-3125F313357D}"/>
    <cellStyle name="计算 3 8 3 6" xfId="11069" xr:uid="{3DAD1D11-FA16-4B5C-B9F9-936E8C8D5741}"/>
    <cellStyle name="计算 3 8 3 7" xfId="12386" xr:uid="{4BBEBEC7-59D7-48BC-B56E-683BA9AE19B3}"/>
    <cellStyle name="计算 3 8 3 8" xfId="14038" xr:uid="{DC02AF32-739E-43F9-BC87-6DB205EA2649}"/>
    <cellStyle name="计算 3 8 3 9" xfId="15726" xr:uid="{860C7BB0-5FAD-4557-B8D3-E1161B14D618}"/>
    <cellStyle name="计算 3 8 4" xfId="4399" xr:uid="{9948EB5B-9030-4515-AE05-03FBDB232FEF}"/>
    <cellStyle name="计算 3 8 4 2" xfId="6905" xr:uid="{3E874335-0F84-47F6-B4B2-46857FB4D8EF}"/>
    <cellStyle name="计算 3 8 4 3" xfId="8317" xr:uid="{DC136916-C939-424C-8B1A-65FD01BA9993}"/>
    <cellStyle name="计算 3 8 4 4" xfId="10016" xr:uid="{711618D6-CAED-48AE-BDC8-F6EEE9B4C460}"/>
    <cellStyle name="计算 3 8 4 5" xfId="11525" xr:uid="{0069A594-2168-4E3A-9F1B-E4D031D0E776}"/>
    <cellStyle name="计算 3 8 4 6" xfId="12994" xr:uid="{9734F2C1-71E4-469E-BBCF-0914D02B8CC3}"/>
    <cellStyle name="计算 3 8 4 7" xfId="14659" xr:uid="{E643C6D0-2806-490F-A7F1-2C9016C40403}"/>
    <cellStyle name="计算 3 8 4 8" xfId="16334" xr:uid="{6CDA1F94-9003-4A5C-B106-F85C216ACB53}"/>
    <cellStyle name="计算 3 8 5" xfId="6099" xr:uid="{2436F2BC-DBAA-42AD-8F7B-629A7E2A774E}"/>
    <cellStyle name="计算 3 8 6" xfId="5682" xr:uid="{C852FECF-23A1-494F-A264-DA5DC49F9F75}"/>
    <cellStyle name="计算 3 8 7" xfId="10731" xr:uid="{4838FD94-842A-4CD0-95C3-AC63A245169D}"/>
    <cellStyle name="计算 3 8 8" xfId="5300" xr:uid="{CFD70A53-83A1-4B32-9737-E3D2C0821440}"/>
    <cellStyle name="计算 3 8 9" xfId="13609" xr:uid="{E5EF8E8A-6D67-4466-A9DA-74D5E1C98AED}"/>
    <cellStyle name="计算 3 9" xfId="3851" xr:uid="{F9A02288-E82B-4BF7-809E-718DC98BEC85}"/>
    <cellStyle name="计算 3 9 2" xfId="4747" xr:uid="{D43376EF-FCBE-410D-B568-A45479A98C34}"/>
    <cellStyle name="计算 3 9 2 2" xfId="7242" xr:uid="{1977E710-5D59-42E2-9F9B-8FB9369E3554}"/>
    <cellStyle name="计算 3 9 2 3" xfId="8658" xr:uid="{61840CA1-F27B-47A6-B882-3B7D620D7D23}"/>
    <cellStyle name="计算 3 9 2 4" xfId="10364" xr:uid="{DE1D8DB7-9D43-4C8A-A0DA-2E566EAC25B8}"/>
    <cellStyle name="计算 3 9 2 5" xfId="11860" xr:uid="{FBC7FA28-E400-4827-A909-CD828DC8889A}"/>
    <cellStyle name="计算 3 9 2 6" xfId="13335" xr:uid="{3B3CB243-0F7F-45B7-87FB-CA3EC8B1DC3D}"/>
    <cellStyle name="计算 3 9 2 7" xfId="15007" xr:uid="{6E2F6309-FA13-461B-9891-2F65EC24DDF6}"/>
    <cellStyle name="计算 3 9 2 8" xfId="16675" xr:uid="{07621415-1F8C-439D-9CA7-C8387FB9F8C5}"/>
    <cellStyle name="计算 3 9 3" xfId="6494" xr:uid="{EF431B22-CE7A-4F55-939B-74B5320C451C}"/>
    <cellStyle name="计算 3 9 4" xfId="7780" xr:uid="{1782EF3C-2879-4063-B6A3-3E1CF2B52978}"/>
    <cellStyle name="计算 3 9 5" xfId="9470" xr:uid="{3BF511CA-C8BB-4E31-865A-08A234CE76E4}"/>
    <cellStyle name="计算 3 9 6" xfId="11124" xr:uid="{1CC08193-CAFF-44D5-BC8E-CE1DD0B6EFF4}"/>
    <cellStyle name="计算 3 9 7" xfId="12459" xr:uid="{A31422AA-2E12-41C9-A31E-8F65F403E859}"/>
    <cellStyle name="计算 3 9 8" xfId="14113" xr:uid="{4C73A6D7-D52F-4A96-AFDC-D029901D9DE0}"/>
    <cellStyle name="计算 3 9 9" xfId="15799" xr:uid="{FEF42C85-15CA-4740-ABA9-05B774BF177C}"/>
    <cellStyle name="计算 4" xfId="3124" xr:uid="{7B144C9C-C89E-48FD-B953-E11229306333}"/>
    <cellStyle name="计算 4 2" xfId="4004" xr:uid="{9C39C82D-4E30-472B-84BC-294F3646A794}"/>
    <cellStyle name="计算 4 2 2" xfId="4850" xr:uid="{026B797F-A524-4BAF-B294-94D057AC2539}"/>
    <cellStyle name="计算 4 2 2 2" xfId="7345" xr:uid="{EC98F2DB-3687-487E-ABFF-3CAB6C07BBE0}"/>
    <cellStyle name="计算 4 2 2 3" xfId="8758" xr:uid="{319785F7-0BD5-4175-85A4-ED95908BB104}"/>
    <cellStyle name="计算 4 2 2 4" xfId="10467" xr:uid="{CC52BEAB-1591-4D69-9C31-EDB7D80DFAFA}"/>
    <cellStyle name="计算 4 2 2 5" xfId="11963" xr:uid="{0565FF15-1B80-4BDC-A6FC-3340A691A1B1}"/>
    <cellStyle name="计算 4 2 2 6" xfId="13435" xr:uid="{06A9629F-1636-464E-B5B7-17F6230976B7}"/>
    <cellStyle name="计算 4 2 2 7" xfId="15110" xr:uid="{0620DBE4-00DE-4ACA-B159-AE2B034EB002}"/>
    <cellStyle name="计算 4 2 2 8" xfId="16775" xr:uid="{9C853928-E790-4FD5-A948-81C62266B9DD}"/>
    <cellStyle name="计算 4 2 3" xfId="6611" xr:uid="{3B4894C7-BD9F-440F-A57F-E5493AA50484}"/>
    <cellStyle name="计算 4 2 4" xfId="7930" xr:uid="{40AC429E-7522-456A-8795-7EA259EDBDE9}"/>
    <cellStyle name="计算 4 2 5" xfId="9623" xr:uid="{E4414727-9D9F-49F5-A503-6B1840C73768}"/>
    <cellStyle name="计算 4 2 6" xfId="11237" xr:uid="{3D5AA303-946E-4629-AB34-55A7EFEF3CAF}"/>
    <cellStyle name="计算 4 2 7" xfId="12609" xr:uid="{6DB1108A-8562-4C87-BAF5-37C2E8CE72C9}"/>
    <cellStyle name="计算 4 2 8" xfId="14266" xr:uid="{3C8F9FD1-5322-4647-8D38-2D7BCC83B64C}"/>
    <cellStyle name="计算 4 2 9" xfId="15949" xr:uid="{61F759F6-125F-4301-B453-4BE824BBF2F6}"/>
    <cellStyle name="计算 4 3" xfId="3566" xr:uid="{58C2D7AB-8403-4C6C-9FAF-D7E6F06061E3}"/>
    <cellStyle name="计算 4 3 2" xfId="4564" xr:uid="{F484E8CD-0EC6-47D9-9C00-4F81D256B13A}"/>
    <cellStyle name="计算 4 3 2 2" xfId="7059" xr:uid="{2D90428D-4E4B-4365-854C-7B9043658D49}"/>
    <cellStyle name="计算 4 3 2 3" xfId="8478" xr:uid="{0EA504B0-18F7-49FB-B283-AFF2DC2A25D1}"/>
    <cellStyle name="计算 4 3 2 4" xfId="10181" xr:uid="{783CD875-B5E7-48C1-90A5-5FFFBE36FAD2}"/>
    <cellStyle name="计算 4 3 2 5" xfId="11677" xr:uid="{A21C0D09-D0E9-4CA7-B99A-10656E90F55D}"/>
    <cellStyle name="计算 4 3 2 6" xfId="13155" xr:uid="{EF650F22-697C-4E3A-BFCD-EAB2737BEF29}"/>
    <cellStyle name="计算 4 3 2 7" xfId="14824" xr:uid="{5A1DA2D7-8AB5-49B3-B5EC-48D9A836FDB9}"/>
    <cellStyle name="计算 4 3 2 8" xfId="16495" xr:uid="{D3F2F092-F95B-42BA-8D6D-F0E899140C61}"/>
    <cellStyle name="计算 4 3 3" xfId="6281" xr:uid="{AFEEA3F4-D17D-4B32-B764-C9BC2A97A823}"/>
    <cellStyle name="计算 4 3 4" xfId="5110" xr:uid="{581DC559-D27B-4D76-AB41-45F15457D918}"/>
    <cellStyle name="计算 4 3 5" xfId="9185" xr:uid="{3AA55B6F-32E2-40F5-8895-85E5EC903BCD}"/>
    <cellStyle name="计算 4 3 6" xfId="10911" xr:uid="{F247CF28-C50E-4911-A30A-345501A3C05D}"/>
    <cellStyle name="计算 4 3 7" xfId="12177" xr:uid="{07436273-9687-4C5F-ACBA-A09DED8E4B48}"/>
    <cellStyle name="计算 4 3 8" xfId="13828" xr:uid="{E85F5E38-D2A8-4BD4-A880-8D5B92F66BEB}"/>
    <cellStyle name="计算 4 3 9" xfId="15517" xr:uid="{C473B249-F9A9-471D-A97B-52ACAD827014}"/>
    <cellStyle name="计算 4 4" xfId="6321" xr:uid="{65B2E31A-1525-47CD-A49A-0EE24BB84D6C}"/>
    <cellStyle name="计算 5" xfId="3234" xr:uid="{5606A040-6849-4280-98A7-62C9A4B3DC1D}"/>
    <cellStyle name="计算 5 10" xfId="15286" xr:uid="{62BC2C60-2EAC-4B22-B213-1273BB4E7D4E}"/>
    <cellStyle name="计算 5 2" xfId="4114" xr:uid="{D9C663B6-C6FF-4E5F-811E-1A64679AB185}"/>
    <cellStyle name="计算 5 2 2" xfId="4920" xr:uid="{804DA08C-8040-4314-AAE0-3695BD79FC13}"/>
    <cellStyle name="计算 5 2 2 2" xfId="7415" xr:uid="{117884CA-5646-4AD2-BA42-6CEA6D851C41}"/>
    <cellStyle name="计算 5 2 2 3" xfId="8827" xr:uid="{3B759EF1-4EBD-4210-891E-E74A9E28B170}"/>
    <cellStyle name="计算 5 2 2 4" xfId="10537" xr:uid="{023A485E-668F-43AA-96DF-8E5BBFFB4203}"/>
    <cellStyle name="计算 5 2 2 5" xfId="12033" xr:uid="{7447B46C-971B-4F86-8A55-E8CD123B227A}"/>
    <cellStyle name="计算 5 2 2 6" xfId="13504" xr:uid="{885D56B1-6666-4F90-826C-B1C054A4016A}"/>
    <cellStyle name="计算 5 2 2 7" xfId="15180" xr:uid="{9B2B6FA8-F70A-4F46-BF38-2D7BD5D4C66A}"/>
    <cellStyle name="计算 5 2 2 8" xfId="16844" xr:uid="{14ED4680-B655-4466-BB40-01E7008872D9}"/>
    <cellStyle name="计算 5 2 3" xfId="6690" xr:uid="{9630EAC7-4E67-4D43-BCBF-6EE0C28F0508}"/>
    <cellStyle name="计算 5 2 4" xfId="8039" xr:uid="{D26505FE-1075-4605-9C27-FC6F091C0A06}"/>
    <cellStyle name="计算 5 2 5" xfId="9733" xr:uid="{8742F989-C5BE-476B-A89A-E9E29CC94E2B}"/>
    <cellStyle name="计算 5 2 6" xfId="11318" xr:uid="{F01F9BE9-5E68-463C-905F-5EF530771732}"/>
    <cellStyle name="计算 5 2 7" xfId="12718" xr:uid="{0018E746-DCA9-496A-8009-3B4E08D8FC4C}"/>
    <cellStyle name="计算 5 2 8" xfId="14376" xr:uid="{B5A47F1D-ABA8-4303-ABA4-FB7FF305E32F}"/>
    <cellStyle name="计算 5 2 9" xfId="16058" xr:uid="{024A4B5A-E022-420C-BD50-7BF8C3B50D4A}"/>
    <cellStyle name="计算 5 3" xfId="3676" xr:uid="{E062C6F3-53B4-4893-83E3-264B9FABC7D6}"/>
    <cellStyle name="计算 5 3 2" xfId="4634" xr:uid="{E4481933-C09C-48FE-BF8A-FD0892684875}"/>
    <cellStyle name="计算 5 3 2 2" xfId="7129" xr:uid="{F98664CE-A52B-478D-BA62-F0EF57679F14}"/>
    <cellStyle name="计算 5 3 2 3" xfId="8547" xr:uid="{DB48FD4E-E6F4-4E37-9494-7097C6A8DD1B}"/>
    <cellStyle name="计算 5 3 2 4" xfId="10251" xr:uid="{37965F21-4B3A-417C-AD28-338B7B54D211}"/>
    <cellStyle name="计算 5 3 2 5" xfId="11747" xr:uid="{B2EF32EC-8644-414A-8B93-9BA063AA2062}"/>
    <cellStyle name="计算 5 3 2 6" xfId="13224" xr:uid="{7756E348-3BEC-46D2-9181-B8410E0574F4}"/>
    <cellStyle name="计算 5 3 2 7" xfId="14894" xr:uid="{6E014BD5-786D-4C56-B6A8-6B9423CEB366}"/>
    <cellStyle name="计算 5 3 2 8" xfId="16564" xr:uid="{4ADC4016-961B-4FF3-BF82-C50C4743521B}"/>
    <cellStyle name="计算 5 3 3" xfId="6365" xr:uid="{7DEE73E4-4357-4BCF-8B07-E6F7C2D8BABB}"/>
    <cellStyle name="计算 5 3 4" xfId="7607" xr:uid="{900AF100-355D-48B4-8E13-ECD0F8DE20B8}"/>
    <cellStyle name="计算 5 3 5" xfId="9295" xr:uid="{336B6407-6641-417C-BDAF-9DD2E57B2467}"/>
    <cellStyle name="计算 5 3 6" xfId="10991" xr:uid="{DABDF180-F23F-47CA-A27D-41CA8BE285E9}"/>
    <cellStyle name="计算 5 3 7" xfId="12286" xr:uid="{54148BBC-DE61-45A7-9A30-C95F03A0C2F5}"/>
    <cellStyle name="计算 5 3 8" xfId="13938" xr:uid="{6B3DC0E8-E9EB-4B4C-9D0E-4AC2B7E8DE8F}"/>
    <cellStyle name="计算 5 3 9" xfId="15626" xr:uid="{001EDCAD-96AB-4BDC-99FF-3BCA5DE20948}"/>
    <cellStyle name="计算 5 4" xfId="4383" xr:uid="{22B47D39-A13C-40B5-9719-BC0856C63ED0}"/>
    <cellStyle name="计算 5 4 2" xfId="6892" xr:uid="{E12C4A01-EAE9-4BC1-A3BA-17DDDE79621F}"/>
    <cellStyle name="计算 5 4 3" xfId="8302" xr:uid="{09161F29-B7D4-41F2-87BB-F4C0FBEF77EF}"/>
    <cellStyle name="计算 5 4 4" xfId="10000" xr:uid="{C2B56456-E989-45E5-979B-A640F6561F37}"/>
    <cellStyle name="计算 5 4 5" xfId="11511" xr:uid="{FED08CD8-EA28-42A4-BAEF-1EDF27B444B3}"/>
    <cellStyle name="计算 5 4 6" xfId="12979" xr:uid="{82E11F58-4C1A-496E-BF28-9F227D2E342B}"/>
    <cellStyle name="计算 5 4 7" xfId="14643" xr:uid="{C539CBA9-9454-42F9-9124-17044DEDBE4A}"/>
    <cellStyle name="计算 5 4 8" xfId="16319" xr:uid="{52996791-CE88-41CF-810A-562B81D648AB}"/>
    <cellStyle name="计算 5 5" xfId="6056" xr:uid="{0F3623FE-1136-4089-A6DA-7471A1DC73A7}"/>
    <cellStyle name="计算 5 6" xfId="5619" xr:uid="{A7F3E077-A272-496D-BDA4-AD3090BBA558}"/>
    <cellStyle name="计算 5 7" xfId="10698" xr:uid="{4AA32A12-9305-451D-9D37-DC53C54DCDD0}"/>
    <cellStyle name="计算 5 8" xfId="5494" xr:uid="{48732D27-B913-4C10-8543-3D1446BF54C9}"/>
    <cellStyle name="计算 5 9" xfId="11297" xr:uid="{1120CABC-3C78-4465-B2F1-FBA165B2694F}"/>
    <cellStyle name="计算 6" xfId="3172" xr:uid="{BA3609B5-6279-438A-B21B-656B9BDC4A46}"/>
    <cellStyle name="计算 6 10" xfId="5801" xr:uid="{556831B2-7279-409C-85FD-88951CF346F2}"/>
    <cellStyle name="计算 6 2" xfId="4052" xr:uid="{FA9D8C56-861E-4FF6-9409-FB87DBD1D7CF}"/>
    <cellStyle name="计算 6 2 2" xfId="4881" xr:uid="{7A4BB864-4C00-41E8-A1EE-5C16450230AB}"/>
    <cellStyle name="计算 6 2 2 2" xfId="7376" xr:uid="{959F6A46-B14A-4A2B-A909-C653B3E7181E}"/>
    <cellStyle name="计算 6 2 2 3" xfId="8788" xr:uid="{922C8306-4B8C-406C-9767-10822093E180}"/>
    <cellStyle name="计算 6 2 2 4" xfId="10498" xr:uid="{4C4C8468-20AC-43F9-90FE-D35AF2CFF278}"/>
    <cellStyle name="计算 6 2 2 5" xfId="11994" xr:uid="{F12CCCAC-030B-4089-B10F-435B2C17A7E4}"/>
    <cellStyle name="计算 6 2 2 6" xfId="13465" xr:uid="{40C0AEAF-6589-44F2-BF82-E7FE24B9CB15}"/>
    <cellStyle name="计算 6 2 2 7" xfId="15141" xr:uid="{C3DBDE17-A5C1-4F4D-A317-E1BCC42AA999}"/>
    <cellStyle name="计算 6 2 2 8" xfId="16805" xr:uid="{5FEC31C9-0B00-451F-A201-33C4E8ED41E6}"/>
    <cellStyle name="计算 6 2 3" xfId="6647" xr:uid="{D8A99A37-5BBF-4BC1-9845-9796A361C5FF}"/>
    <cellStyle name="计算 6 2 4" xfId="7977" xr:uid="{48F623CF-5587-4785-B886-5587B365628A}"/>
    <cellStyle name="计算 6 2 5" xfId="9671" xr:uid="{9DD63B0B-FD09-4E0E-AB14-C015BC50801A}"/>
    <cellStyle name="计算 6 2 6" xfId="11274" xr:uid="{619CFE8E-8BFE-4150-9998-64E522FF0B61}"/>
    <cellStyle name="计算 6 2 7" xfId="12656" xr:uid="{375DEE34-8DFB-46EC-8870-DC6E8C9B4A43}"/>
    <cellStyle name="计算 6 2 8" xfId="14314" xr:uid="{1AB1F41B-0B1E-4CCE-83C6-F36AC4C171C2}"/>
    <cellStyle name="计算 6 2 9" xfId="15996" xr:uid="{8457F146-F23D-436D-9E13-56132B2961C9}"/>
    <cellStyle name="计算 6 3" xfId="3614" xr:uid="{7B17F277-DE6B-47FF-A00A-D945F67C7490}"/>
    <cellStyle name="计算 6 3 2" xfId="4595" xr:uid="{26CF61B0-B0EC-40DB-BD8D-7A66FAA1B6CA}"/>
    <cellStyle name="计算 6 3 2 2" xfId="7090" xr:uid="{AC5DAA69-BE51-4E06-921F-41FF9AF28C55}"/>
    <cellStyle name="计算 6 3 2 3" xfId="8508" xr:uid="{03F5542A-C286-43BD-8FD7-CEF8CF6A4D79}"/>
    <cellStyle name="计算 6 3 2 4" xfId="10212" xr:uid="{C11B7881-D86E-42D3-A349-652F0C6B0C6C}"/>
    <cellStyle name="计算 6 3 2 5" xfId="11708" xr:uid="{69201FE9-72CB-4892-8005-D172FFFB6E3D}"/>
    <cellStyle name="计算 6 3 2 6" xfId="13185" xr:uid="{98443B4F-0676-4C65-B2DD-8FE5A395B460}"/>
    <cellStyle name="计算 6 3 2 7" xfId="14855" xr:uid="{6C2B4C83-2CE9-4524-B0D5-12FA5A28FD60}"/>
    <cellStyle name="计算 6 3 2 8" xfId="16525" xr:uid="{55F7F78C-882A-4991-AF25-64DEA47D882F}"/>
    <cellStyle name="计算 6 3 3" xfId="6318" xr:uid="{9B4546BF-A01E-4C29-8E34-584819918AD7}"/>
    <cellStyle name="计算 6 3 4" xfId="7545" xr:uid="{90484723-E2F2-4D86-B053-A22BFC5ED31D}"/>
    <cellStyle name="计算 6 3 5" xfId="9233" xr:uid="{0A5B0C09-D22B-44E0-A8A4-DAE9289907FA}"/>
    <cellStyle name="计算 6 3 6" xfId="10947" xr:uid="{DD25CD89-675D-4CEB-839C-5C18435992EB}"/>
    <cellStyle name="计算 6 3 7" xfId="12224" xr:uid="{45748D8B-1F71-4DEC-9D03-349E6AB8B5EC}"/>
    <cellStyle name="计算 6 3 8" xfId="13876" xr:uid="{1798A76B-93C7-4A69-9794-C4062E8B99D8}"/>
    <cellStyle name="计算 6 3 9" xfId="15564" xr:uid="{5EB2243C-14EA-4B24-8CB9-39AA4CFEA7A9}"/>
    <cellStyle name="计算 6 4" xfId="4338" xr:uid="{EB56EDBD-DDEE-45CB-9A47-080A8CE232AE}"/>
    <cellStyle name="计算 6 4 2" xfId="6857" xr:uid="{0B7C1AE5-F098-4311-8DE8-7B0F342474CD}"/>
    <cellStyle name="计算 6 4 3" xfId="8257" xr:uid="{F0C6632C-B49C-48EB-8C13-CAC677B9F94F}"/>
    <cellStyle name="计算 6 4 4" xfId="9955" xr:uid="{212F7A94-41B0-44D8-8848-01E886DA4676}"/>
    <cellStyle name="计算 6 4 5" xfId="11477" xr:uid="{6165D8E5-DEEE-4411-87AF-D932D5C95D05}"/>
    <cellStyle name="计算 6 4 6" xfId="12934" xr:uid="{E33B741E-0F89-44B9-828B-A9CB908F39D5}"/>
    <cellStyle name="计算 6 4 7" xfId="14598" xr:uid="{40DD0100-5F8B-4F85-859C-23F6D165A323}"/>
    <cellStyle name="计算 6 4 8" xfId="16274" xr:uid="{36047220-E135-417B-AE82-68FAC9D09D99}"/>
    <cellStyle name="计算 6 5" xfId="6002" xr:uid="{293E7071-8788-42BA-966F-E262497F30D3}"/>
    <cellStyle name="计算 6 6" xfId="5551" xr:uid="{ABBB43E0-33C9-42AD-9C7E-EBEC29E5D427}"/>
    <cellStyle name="计算 6 7" xfId="10649" xr:uid="{8BD7CD4A-76F9-461F-BE6D-CEA4B9F6F818}"/>
    <cellStyle name="计算 6 8" xfId="5468" xr:uid="{B70EC6CD-C368-42E0-85FD-40BEAD5839AF}"/>
    <cellStyle name="计算 6 9" xfId="11154" xr:uid="{7BEF15F9-791B-45E1-B70A-600E8B71A283}"/>
    <cellStyle name="计算 7" xfId="3833" xr:uid="{5FF71C30-AB72-4E5D-9D96-E27D040B7CBE}"/>
    <cellStyle name="计算 7 2" xfId="4733" xr:uid="{673D664F-6E29-4526-B943-760D2854420B}"/>
    <cellStyle name="计算 7 2 2" xfId="7228" xr:uid="{0A379200-71A5-48A6-8E46-18A2C4193758}"/>
    <cellStyle name="计算 7 2 3" xfId="8644" xr:uid="{9F92AF02-AA05-4381-99AF-D785DF31990C}"/>
    <cellStyle name="计算 7 2 4" xfId="10350" xr:uid="{07220544-E0ED-4EBA-A96F-6B307F058F63}"/>
    <cellStyle name="计算 7 2 5" xfId="11846" xr:uid="{F84C3B03-150D-4F38-8BB3-908ADD8D92EE}"/>
    <cellStyle name="计算 7 2 6" xfId="13321" xr:uid="{91206823-DB40-41AB-8E3B-668FBDF6BBBD}"/>
    <cellStyle name="计算 7 2 7" xfId="14993" xr:uid="{2F89BCDA-9D1C-496A-B1E8-A8C0E1DB0CC6}"/>
    <cellStyle name="计算 7 2 8" xfId="16661" xr:uid="{F70533CF-F1B8-4A75-B6AC-B957D7403ED1}"/>
    <cellStyle name="计算 7 3" xfId="6479" xr:uid="{130213E6-0D80-44CE-A475-D11B8171CB74}"/>
    <cellStyle name="计算 7 4" xfId="7762" xr:uid="{1DDAC8B1-9385-47ED-9F20-7F18236225C6}"/>
    <cellStyle name="计算 7 5" xfId="9452" xr:uid="{DB87756D-7596-4152-B31F-0827EAB097F1}"/>
    <cellStyle name="计算 7 6" xfId="11110" xr:uid="{1C4D99B3-3869-47DE-9644-C1F870B75B6F}"/>
    <cellStyle name="计算 7 7" xfId="12441" xr:uid="{12B8CE85-BF7C-40C0-BF0F-3CEA2191AACB}"/>
    <cellStyle name="计算 7 8" xfId="14095" xr:uid="{C6F2F604-B48B-41C2-AAA5-134DC4232E53}"/>
    <cellStyle name="计算 7 9" xfId="15781" xr:uid="{2858ADA2-55A2-422C-BCB3-F7882FECF1BA}"/>
    <cellStyle name="计算 8" xfId="3396" xr:uid="{A1143932-0EF8-4A02-B958-398514C93347}"/>
    <cellStyle name="计算 8 2" xfId="4448" xr:uid="{F802EAC5-0DD7-4B00-A829-587041BE7310}"/>
    <cellStyle name="计算 8 2 2" xfId="6943" xr:uid="{075BB6E6-18B3-45B3-9449-1E8DE9165C7B}"/>
    <cellStyle name="计算 8 2 3" xfId="8364" xr:uid="{989E8F36-44FC-493D-8291-D3FD11DFAD7A}"/>
    <cellStyle name="计算 8 2 4" xfId="10065" xr:uid="{3384853D-3EFE-49C4-B783-45851BC3091E}"/>
    <cellStyle name="计算 8 2 5" xfId="11561" xr:uid="{573C3AFF-9C4B-482B-8015-C34F5CBFE631}"/>
    <cellStyle name="计算 8 2 6" xfId="13041" xr:uid="{7C7ED781-D596-423C-A5DB-D7D9F58FAF9F}"/>
    <cellStyle name="计算 8 2 7" xfId="14708" xr:uid="{A30C3555-3973-4273-AAE5-99B0CB3437E4}"/>
    <cellStyle name="计算 8 2 8" xfId="16381" xr:uid="{0F0CE6E9-2F90-4C40-AD0F-591AC5E85302}"/>
    <cellStyle name="计算 8 3" xfId="6150" xr:uid="{A410A586-F217-44E1-93B0-86D3D026049D}"/>
    <cellStyle name="计算 8 4" xfId="5978" xr:uid="{218DD0D3-6308-49B6-8E48-2EAD96A26A40}"/>
    <cellStyle name="计算 8 5" xfId="9015" xr:uid="{5EB33BFA-312D-4FD5-A7C8-E415A92BEBA8}"/>
    <cellStyle name="计算 8 6" xfId="10782" xr:uid="{1AB34408-D7AF-4E47-B105-31E586FE1856}"/>
    <cellStyle name="计算 8 7" xfId="5739" xr:uid="{36FB9ACF-DDB9-409F-BB9E-07DD140B8A91}"/>
    <cellStyle name="计算 8 8" xfId="13658" xr:uid="{F577CE0E-AEE5-43F0-9E03-211CBABB8434}"/>
    <cellStyle name="计算 8 9" xfId="15349" xr:uid="{66E7A1F6-E2A1-4A00-BAEB-4F5FC694F1B6}"/>
    <cellStyle name="计算 9" xfId="5695" xr:uid="{061FB364-0B09-40EB-BAD6-C8E432691E5B}"/>
    <cellStyle name="輔色1" xfId="17373" xr:uid="{EA17164D-31A2-46E3-AE0E-9F13A1944A46}"/>
    <cellStyle name="輔色2" xfId="17374" xr:uid="{B88649C3-C29B-47C3-A9AD-C74C83377B50}"/>
    <cellStyle name="輔色3" xfId="17375" xr:uid="{F4EFB7C0-E57E-4BCD-866A-7FC27E9D2AC4}"/>
    <cellStyle name="輔色4" xfId="17376" xr:uid="{3FF8D8AA-9ECF-4FAC-AC42-1EEFAAD0E222}"/>
    <cellStyle name="輔色5" xfId="17377" xr:uid="{ABD3CC80-F938-4A16-ADBB-1BFEBF150469}"/>
    <cellStyle name="輔色6" xfId="17378" xr:uid="{527000BA-02AE-4446-9D9E-B4EB70DEEB68}"/>
    <cellStyle name="輸入" xfId="17379" xr:uid="{3B85A56E-4BB1-4746-8E58-BF019980DEB0}"/>
    <cellStyle name="輸出" xfId="17380" xr:uid="{B01F22A4-F864-4D76-BC2F-12149228C7D3}"/>
    <cellStyle name="输入" xfId="238" xr:uid="{4A9BC3D7-75B7-426C-9B5E-5CF390F3C869}"/>
    <cellStyle name="输入 10" xfId="5473" xr:uid="{AAEB6DC6-7776-486F-9DC6-C1BC79DD6ABE}"/>
    <cellStyle name="输入 11" xfId="17339" xr:uid="{2DCFF235-786F-47AA-B58A-0598FA5E71D5}"/>
    <cellStyle name="输入 2" xfId="2988" xr:uid="{C37C1019-6659-4543-B54D-F410D5734461}"/>
    <cellStyle name="输入 2 10" xfId="3433" xr:uid="{2E82E073-508A-4640-9954-B4A0FE60B1E8}"/>
    <cellStyle name="输入 2 10 2" xfId="4477" xr:uid="{895B60D9-965C-4F7D-A778-4C0D730532CA}"/>
    <cellStyle name="输入 2 10 2 2" xfId="6972" xr:uid="{A15C76A9-2EA3-480C-999A-9295728187DE}"/>
    <cellStyle name="输入 2 10 2 3" xfId="8393" xr:uid="{580570E6-F4D8-4731-B7E5-F33D88B498BB}"/>
    <cellStyle name="输入 2 10 2 4" xfId="10094" xr:uid="{1BADBD58-BFCD-452C-B2C5-546AE4A8F496}"/>
    <cellStyle name="输入 2 10 2 5" xfId="11590" xr:uid="{C572EF3A-FAF3-4553-B9C3-AC550C4CD2FB}"/>
    <cellStyle name="输入 2 10 2 6" xfId="13070" xr:uid="{457D2D8B-3A13-4222-9852-E745ECB663DD}"/>
    <cellStyle name="输入 2 10 2 7" xfId="14737" xr:uid="{0B6ACD34-0B95-470F-892D-A89C261E3236}"/>
    <cellStyle name="输入 2 10 2 8" xfId="16410" xr:uid="{470692E8-E32B-4A0B-9FD0-20591DB2380B}"/>
    <cellStyle name="输入 2 10 3" xfId="6180" xr:uid="{8D38FCDD-AB79-48F0-9BF6-47520827AF8D}"/>
    <cellStyle name="输入 2 10 4" xfId="5207" xr:uid="{7B58049C-4174-423A-A920-B25B36146B34}"/>
    <cellStyle name="输入 2 10 5" xfId="9052" xr:uid="{8A7B9918-76DE-4584-BEA9-3200DBFE382B}"/>
    <cellStyle name="输入 2 10 6" xfId="10814" xr:uid="{D117B6F5-3522-4B68-BC30-862F1C6EC8CF}"/>
    <cellStyle name="输入 2 10 7" xfId="5326" xr:uid="{1EFED5EA-08F5-4732-9FFE-E8B35AC14205}"/>
    <cellStyle name="输入 2 10 8" xfId="13695" xr:uid="{29FA381D-1E30-4D28-8BD4-B45627E41420}"/>
    <cellStyle name="输入 2 10 9" xfId="15386" xr:uid="{989930BA-2925-45F7-8B31-499E1DB0CD26}"/>
    <cellStyle name="输入 2 11" xfId="5829" xr:uid="{0996FAD3-FF6F-4A13-A046-2E090C62FF7A}"/>
    <cellStyle name="输入 2 12" xfId="6765" xr:uid="{6CDDD43C-2551-4132-8FD4-D9B3E657FA5C}"/>
    <cellStyle name="输入 2 2" xfId="3274" xr:uid="{6C566264-9811-4B95-A609-83B16EB40FA9}"/>
    <cellStyle name="输入 2 2 2" xfId="4154" xr:uid="{CF4C0CC6-1537-4311-B32F-2DE2C35FFFE0}"/>
    <cellStyle name="输入 2 2 2 2" xfId="4948" xr:uid="{96D96714-D8EA-4290-86F6-72D09E01EF88}"/>
    <cellStyle name="输入 2 2 2 2 2" xfId="7443" xr:uid="{B6E1F8F6-1CC3-47DA-AE0F-F3D67E732087}"/>
    <cellStyle name="输入 2 2 2 2 3" xfId="8855" xr:uid="{DFA4663D-C5B3-4E6F-A6F3-5B3974E2F60F}"/>
    <cellStyle name="输入 2 2 2 2 4" xfId="10565" xr:uid="{347F6381-581F-4FA8-ADDB-A8DF36DC9F7E}"/>
    <cellStyle name="输入 2 2 2 2 5" xfId="12061" xr:uid="{81C59C41-1F49-4517-BEC6-82AF0DD5DC45}"/>
    <cellStyle name="输入 2 2 2 2 6" xfId="13532" xr:uid="{3392F4DD-7C7B-4409-954C-01988ADA6A0B}"/>
    <cellStyle name="输入 2 2 2 2 7" xfId="15208" xr:uid="{BBF095C6-58E2-4017-9E5A-0FB22E3A362B}"/>
    <cellStyle name="输入 2 2 2 2 8" xfId="16872" xr:uid="{8D5A87D2-6C02-468A-8E5E-3B49F96B5000}"/>
    <cellStyle name="输入 2 2 2 3" xfId="6723" xr:uid="{51F64813-D6B0-4FBC-960A-68800ABF5034}"/>
    <cellStyle name="输入 2 2 2 4" xfId="8079" xr:uid="{1CDE45B5-ED73-4536-B6D5-053FC3D3220B}"/>
    <cellStyle name="输入 2 2 2 5" xfId="9773" xr:uid="{8D1FBCCC-27FE-4E47-816A-3F1EF4A7787D}"/>
    <cellStyle name="输入 2 2 2 6" xfId="11350" xr:uid="{A5EB2532-AF87-4107-8427-EA92CD8AD9E9}"/>
    <cellStyle name="输入 2 2 2 7" xfId="12758" xr:uid="{EA56CC5F-A360-4D3A-A9A1-EFCEAE2514D5}"/>
    <cellStyle name="输入 2 2 2 8" xfId="14416" xr:uid="{4267A8D6-75A4-4EAE-8EB6-5EDE5244E212}"/>
    <cellStyle name="输入 2 2 2 9" xfId="16098" xr:uid="{382FC0F7-F6D8-49A8-891A-0825E4A1547E}"/>
    <cellStyle name="输入 2 2 3" xfId="3716" xr:uid="{2FAD0B47-4B0A-47D4-809F-1D3E3E565713}"/>
    <cellStyle name="输入 2 2 3 2" xfId="4662" xr:uid="{2F0118C1-B568-4A22-BCF9-ADFDA8AE71BD}"/>
    <cellStyle name="输入 2 2 3 2 2" xfId="7157" xr:uid="{17D621D2-8C42-4F3B-A567-785F46E3E3B4}"/>
    <cellStyle name="输入 2 2 3 2 3" xfId="8575" xr:uid="{53E22666-E883-4C3D-B247-CB12A44E9E94}"/>
    <cellStyle name="输入 2 2 3 2 4" xfId="10279" xr:uid="{79714F77-9904-4C7B-B2B0-E4CDFEB5B207}"/>
    <cellStyle name="输入 2 2 3 2 5" xfId="11775" xr:uid="{E2853B90-48FC-4538-990A-94DEB40C78DE}"/>
    <cellStyle name="输入 2 2 3 2 6" xfId="13252" xr:uid="{AEA6DB3E-F273-40A9-89AF-4363CDD0DF2B}"/>
    <cellStyle name="输入 2 2 3 2 7" xfId="14922" xr:uid="{4B528347-D37D-4C6F-9CEC-A2D46607549C}"/>
    <cellStyle name="输入 2 2 3 2 8" xfId="16592" xr:uid="{DAE1E0B3-4786-4452-8682-DC7154252F5D}"/>
    <cellStyle name="输入 2 2 3 3" xfId="6397" xr:uid="{2BA45481-E8A0-41FD-AC8B-F573AAB1A53B}"/>
    <cellStyle name="输入 2 2 3 4" xfId="7647" xr:uid="{A0A6D317-E07A-4BE8-91C0-E1401C8367EC}"/>
    <cellStyle name="输入 2 2 3 5" xfId="9335" xr:uid="{F49196C2-2FCC-4A63-A5A4-8A57C1A8AD72}"/>
    <cellStyle name="输入 2 2 3 6" xfId="11023" xr:uid="{D1DD5198-E9D3-41AD-AE88-15DF6CB96C2F}"/>
    <cellStyle name="输入 2 2 3 7" xfId="12326" xr:uid="{A4877016-EE10-4A9F-B32D-F0B57C9D000B}"/>
    <cellStyle name="输入 2 2 3 8" xfId="13978" xr:uid="{3B34D2DD-E206-461B-8091-0CADD557B738}"/>
    <cellStyle name="输入 2 2 3 9" xfId="15666" xr:uid="{555BDDD6-A625-4776-AEFC-B39FA5D2B4B9}"/>
    <cellStyle name="输入 2 2 4" xfId="8941" xr:uid="{F4D28853-8F2E-487F-B2F8-6B4B15165E37}"/>
    <cellStyle name="输入 2 3" xfId="3168" xr:uid="{2527FA18-3C1B-4BAF-9D7E-7E02BB175483}"/>
    <cellStyle name="输入 2 3 2" xfId="4048" xr:uid="{7FB7D8D5-A381-489C-819E-13325C6D77C4}"/>
    <cellStyle name="输入 2 3 2 2" xfId="4878" xr:uid="{FC3D15F0-8FBD-43D5-A992-8B160D9B5DEC}"/>
    <cellStyle name="输入 2 3 2 2 2" xfId="7373" xr:uid="{8237A324-1D83-4100-BCF0-5E2EB332AC54}"/>
    <cellStyle name="输入 2 3 2 2 3" xfId="8786" xr:uid="{13184381-8FFD-4572-B330-C535FFEC9139}"/>
    <cellStyle name="输入 2 3 2 2 4" xfId="10495" xr:uid="{67154F69-7859-4C69-8892-504C55C30906}"/>
    <cellStyle name="输入 2 3 2 2 5" xfId="11991" xr:uid="{8789103A-953B-4296-98FB-51C7EA05BF29}"/>
    <cellStyle name="输入 2 3 2 2 6" xfId="13463" xr:uid="{106A2FFC-F0DC-4F70-B3E4-61653E94F51B}"/>
    <cellStyle name="输入 2 3 2 2 7" xfId="15138" xr:uid="{BB29B65F-EF6F-4572-A919-46E737DA1820}"/>
    <cellStyle name="输入 2 3 2 2 8" xfId="16803" xr:uid="{0146DBFC-730B-4BF7-BA81-F8B08D7242DD}"/>
    <cellStyle name="输入 2 3 2 3" xfId="6643" xr:uid="{71CF4792-91A3-42A7-9097-461FFF422AEA}"/>
    <cellStyle name="输入 2 3 2 4" xfId="7974" xr:uid="{DF657E44-001A-4F5D-B6B6-6BA14EB6704B}"/>
    <cellStyle name="输入 2 3 2 5" xfId="9667" xr:uid="{DE327268-8E4A-43B9-979B-268AC4694C7F}"/>
    <cellStyle name="输入 2 3 2 6" xfId="11270" xr:uid="{58CE3AB5-A5BC-40C8-8B57-9DB7DE581EC3}"/>
    <cellStyle name="输入 2 3 2 7" xfId="12653" xr:uid="{AE5860CD-6645-47C4-9510-A98441CE8FD6}"/>
    <cellStyle name="输入 2 3 2 8" xfId="14310" xr:uid="{19708123-ED3D-4F7D-BBBE-553745299448}"/>
    <cellStyle name="输入 2 3 2 9" xfId="15993" xr:uid="{6DC4BAE8-9382-4900-A035-825528D0C9E7}"/>
    <cellStyle name="输入 2 3 3" xfId="3610" xr:uid="{2B3E161E-19B9-4E8D-BB41-1BDE280FFA69}"/>
    <cellStyle name="输入 2 3 3 2" xfId="4592" xr:uid="{4C7EFF11-A333-4F3E-8F5C-2BA98E6F6CAC}"/>
    <cellStyle name="输入 2 3 3 2 2" xfId="7087" xr:uid="{63F766FD-BF60-44B7-8270-CB11757CB811}"/>
    <cellStyle name="输入 2 3 3 2 3" xfId="8506" xr:uid="{4324CA42-5017-429E-B691-98AFCAD6DB36}"/>
    <cellStyle name="输入 2 3 3 2 4" xfId="10209" xr:uid="{95BB6736-D221-4678-8305-EF24F7A0DE5D}"/>
    <cellStyle name="输入 2 3 3 2 5" xfId="11705" xr:uid="{C396E92E-5349-4207-A0BA-5134C538573E}"/>
    <cellStyle name="输入 2 3 3 2 6" xfId="13183" xr:uid="{B4FE8CCF-0699-47E3-83F6-61F5C99BABFB}"/>
    <cellStyle name="输入 2 3 3 2 7" xfId="14852" xr:uid="{2472A72A-CC71-4223-9A25-1937CFD71BDD}"/>
    <cellStyle name="输入 2 3 3 2 8" xfId="16523" xr:uid="{6D36CE5E-2E32-494E-AC4D-40A8C5ED0E6B}"/>
    <cellStyle name="输入 2 3 3 3" xfId="6314" xr:uid="{E9E7BA7D-BEEA-4D68-B3F7-2BE2F281E3BE}"/>
    <cellStyle name="输入 2 3 3 4" xfId="7542" xr:uid="{1A7E1753-6BB3-471B-9343-19E4D168F143}"/>
    <cellStyle name="输入 2 3 3 5" xfId="9229" xr:uid="{B16118B1-F1EF-4984-AA0C-4F1B1A8A44F5}"/>
    <cellStyle name="输入 2 3 3 6" xfId="10944" xr:uid="{DB92FE5A-5295-459D-9113-CDAD41C3C0C3}"/>
    <cellStyle name="输入 2 3 3 7" xfId="12221" xr:uid="{9E27A241-A1E0-4112-B564-DA3167534B9A}"/>
    <cellStyle name="输入 2 3 3 8" xfId="13872" xr:uid="{0B24FDF7-2207-46BB-B0D3-7B3DFA8C5E6E}"/>
    <cellStyle name="输入 2 3 3 9" xfId="15561" xr:uid="{E6E02DDC-7B77-4390-AAD0-25EDE64EEDCF}"/>
    <cellStyle name="输入 2 3 4" xfId="6912" xr:uid="{97064143-659D-4F4D-9062-FC5CDAB04A9B}"/>
    <cellStyle name="输入 2 4" xfId="3034" xr:uid="{7A164B7E-6DFA-4D52-90DD-72DDA268B95E}"/>
    <cellStyle name="输入 2 4 2" xfId="3914" xr:uid="{6EF0D2FA-B464-4CB1-BD72-95E5E0254FFD}"/>
    <cellStyle name="输入 2 4 2 2" xfId="4788" xr:uid="{E4764AA7-B9BE-4A43-91CC-A6BCBA5F9A87}"/>
    <cellStyle name="输入 2 4 2 2 2" xfId="7283" xr:uid="{66FF73F8-77BF-4192-BD28-B8A49C124E7E}"/>
    <cellStyle name="输入 2 4 2 2 3" xfId="8698" xr:uid="{B35F1B51-9186-4CF5-94CF-D5985D5640E7}"/>
    <cellStyle name="输入 2 4 2 2 4" xfId="10405" xr:uid="{C41CC2CA-3AD6-48BF-ACDA-44201E3378AD}"/>
    <cellStyle name="输入 2 4 2 2 5" xfId="11901" xr:uid="{D4D0B309-9291-4A25-AD18-373253023A94}"/>
    <cellStyle name="输入 2 4 2 2 6" xfId="13375" xr:uid="{C57886A1-F39E-42C9-81D7-277ECA41B7EA}"/>
    <cellStyle name="输入 2 4 2 2 7" xfId="15048" xr:uid="{C69B3B36-12D1-43EF-85FA-23004636A6FC}"/>
    <cellStyle name="输入 2 4 2 2 8" xfId="16715" xr:uid="{C86ECF77-7FA6-4BF8-9C0A-B0D0542D5DC0}"/>
    <cellStyle name="输入 2 4 2 3" xfId="6542" xr:uid="{BD3C1C53-5C15-457F-8D1E-5F2F3EA6DB1D}"/>
    <cellStyle name="输入 2 4 2 4" xfId="7842" xr:uid="{9DCB3CD6-AA61-41E4-9938-3AE8E41AADF5}"/>
    <cellStyle name="输入 2 4 2 5" xfId="9533" xr:uid="{63DEA779-1320-47A2-909B-2F4C0351E6D1}"/>
    <cellStyle name="输入 2 4 2 6" xfId="11173" xr:uid="{0C929DED-C8DA-41FF-94DF-C0AE288CF160}"/>
    <cellStyle name="输入 2 4 2 7" xfId="12521" xr:uid="{B8AA5D1C-3469-408A-ACB4-A34F4B8335A4}"/>
    <cellStyle name="输入 2 4 2 8" xfId="14176" xr:uid="{116F4A07-140A-47E7-9CF8-CB3296B00957}"/>
    <cellStyle name="输入 2 4 2 9" xfId="15861" xr:uid="{32ED62D4-B5A1-4353-A912-2EE5920D723E}"/>
    <cellStyle name="输入 2 4 3" xfId="3476" xr:uid="{C45CE00A-EF5F-4D1D-91E2-38F081119AE3}"/>
    <cellStyle name="输入 2 4 3 2" xfId="4502" xr:uid="{B22C1ECC-959A-42EE-8685-9B0F32E3589D}"/>
    <cellStyle name="输入 2 4 3 2 2" xfId="6997" xr:uid="{60367F8D-C076-4999-927C-E851582CF471}"/>
    <cellStyle name="输入 2 4 3 2 3" xfId="8418" xr:uid="{29E7108E-1785-49D6-87E9-5AEB723260E3}"/>
    <cellStyle name="输入 2 4 3 2 4" xfId="10119" xr:uid="{7A9D86BD-D352-4ECC-9EDA-4C9BE04692CC}"/>
    <cellStyle name="输入 2 4 3 2 5" xfId="11615" xr:uid="{E79448E5-0D69-4855-9875-A5E4197FBC4E}"/>
    <cellStyle name="输入 2 4 3 2 6" xfId="13095" xr:uid="{DB81E492-F85A-4717-8775-DA3D899ECB6D}"/>
    <cellStyle name="输入 2 4 3 2 7" xfId="14762" xr:uid="{A0F9672D-F6EB-4FC0-AEAA-A339330AAC44}"/>
    <cellStyle name="输入 2 4 3 2 8" xfId="16435" xr:uid="{40706218-F69C-4CEC-9BE6-F87E7E1AC5A4}"/>
    <cellStyle name="输入 2 4 3 3" xfId="6210" xr:uid="{4ABCF4C6-0E1B-41B5-9830-B0A76327C524}"/>
    <cellStyle name="输入 2 4 3 4" xfId="5172" xr:uid="{3E313A8B-971A-4F8F-806C-7DB34D645D52}"/>
    <cellStyle name="输入 2 4 3 5" xfId="9095" xr:uid="{2AAFE48A-4A40-4D24-AE3B-82BF32B11324}"/>
    <cellStyle name="输入 2 4 3 6" xfId="10844" xr:uid="{DD2BD56B-8196-47DE-A8B1-493A82851F1D}"/>
    <cellStyle name="输入 2 4 3 7" xfId="5340" xr:uid="{6F8845C3-7BF0-4B67-AF1C-2393DCE2546A}"/>
    <cellStyle name="输入 2 4 3 8" xfId="13738" xr:uid="{A88070CD-2042-42A9-8030-8A890BBDEC08}"/>
    <cellStyle name="输入 2 4 3 9" xfId="15429" xr:uid="{9DBD7009-6A2A-4F9F-BF5D-6D771CED7DA3}"/>
    <cellStyle name="输入 2 4 4" xfId="5824" xr:uid="{DCC767B6-1503-47EF-83A6-2138FE9805F0}"/>
    <cellStyle name="输入 2 5" xfId="3312" xr:uid="{8AB257C7-DB6B-4661-B656-CD1D61F009BA}"/>
    <cellStyle name="输入 2 5 2" xfId="4192" xr:uid="{876BD6C3-2593-4E11-80D8-769CF00470D9}"/>
    <cellStyle name="输入 2 5 2 2" xfId="4977" xr:uid="{BCCFE537-62BC-4D57-B138-3804127680CE}"/>
    <cellStyle name="输入 2 5 2 2 2" xfId="7472" xr:uid="{5A58A84E-365D-4C0F-B1BE-6D2461923155}"/>
    <cellStyle name="输入 2 5 2 2 3" xfId="8883" xr:uid="{4465EBE3-A274-4B3B-A7AE-B53110266763}"/>
    <cellStyle name="输入 2 5 2 2 4" xfId="10594" xr:uid="{2299DB55-3605-49CC-A948-5D349FBED4E1}"/>
    <cellStyle name="输入 2 5 2 2 5" xfId="12090" xr:uid="{27AA48EB-CDEB-4511-92EE-A5B1BAF695AF}"/>
    <cellStyle name="输入 2 5 2 2 6" xfId="13560" xr:uid="{05FEFB5D-3919-484F-96F8-67809BE5AF52}"/>
    <cellStyle name="输入 2 5 2 2 7" xfId="15237" xr:uid="{10BE146C-4425-4CEB-AA4C-34BB4EEFE4F1}"/>
    <cellStyle name="输入 2 5 2 2 8" xfId="16900" xr:uid="{FEBFBB05-E884-4D41-A9DD-7B4BC0BDC325}"/>
    <cellStyle name="输入 2 5 2 3" xfId="6752" xr:uid="{0697A004-5F45-41E0-8861-82C7EBA22D16}"/>
    <cellStyle name="输入 2 5 2 4" xfId="8116" xr:uid="{EC98D786-45F3-4B9F-BEC3-1428BB2C77B7}"/>
    <cellStyle name="输入 2 5 2 5" xfId="9811" xr:uid="{65CDF1B7-AE07-44FE-B7D6-A50AD2B4853A}"/>
    <cellStyle name="输入 2 5 2 6" xfId="11381" xr:uid="{89703D30-F69C-472D-BD31-7ED4FCA31D33}"/>
    <cellStyle name="输入 2 5 2 7" xfId="12795" xr:uid="{9818FE53-F89C-47AC-A2B8-223ADDFCE74A}"/>
    <cellStyle name="输入 2 5 2 8" xfId="14454" xr:uid="{9AFE3A35-C16E-455E-B347-08CCF21ADB5A}"/>
    <cellStyle name="输入 2 5 2 9" xfId="16135" xr:uid="{39E81881-5FF6-4678-B0C2-43396C94B06C}"/>
    <cellStyle name="输入 2 5 3" xfId="3753" xr:uid="{6087413D-A8B3-4897-98EE-40F89EFD95F7}"/>
    <cellStyle name="输入 2 5 3 2" xfId="4690" xr:uid="{4C0BFC55-1B3A-49E9-95A9-7CA0A05DA269}"/>
    <cellStyle name="输入 2 5 3 2 2" xfId="7185" xr:uid="{AA3C806D-87E4-4CF2-9CA1-E2B94327053B}"/>
    <cellStyle name="输入 2 5 3 2 3" xfId="8603" xr:uid="{C5A1D5CF-EA31-4C75-A3D8-DB33E6514E5E}"/>
    <cellStyle name="输入 2 5 3 2 4" xfId="10307" xr:uid="{5467B329-08A6-44AA-8E10-BCCA512F465D}"/>
    <cellStyle name="输入 2 5 3 2 5" xfId="11803" xr:uid="{F16D98E1-370D-4846-858F-65BB2183A4C0}"/>
    <cellStyle name="输入 2 5 3 2 6" xfId="13280" xr:uid="{A6B3EDE5-A247-49FE-835E-5B352C8503F4}"/>
    <cellStyle name="输入 2 5 3 2 7" xfId="14950" xr:uid="{65093FFA-CC98-48B6-9051-573490FA8CCD}"/>
    <cellStyle name="输入 2 5 3 2 8" xfId="16620" xr:uid="{63BFA293-40D3-4B70-9AF3-48899C71DCA0}"/>
    <cellStyle name="输入 2 5 3 3" xfId="6426" xr:uid="{A7E7A944-FA9B-4524-B961-0E1ECCF42580}"/>
    <cellStyle name="输入 2 5 3 4" xfId="7684" xr:uid="{9E63881B-B646-43C2-8AFA-693E43BBDEA4}"/>
    <cellStyle name="输入 2 5 3 5" xfId="9372" xr:uid="{746F6FB5-769B-499B-96F0-4555D250014E}"/>
    <cellStyle name="输入 2 5 3 6" xfId="11054" xr:uid="{09F26309-FD86-482E-8F64-2B387C424F80}"/>
    <cellStyle name="输入 2 5 3 7" xfId="12363" xr:uid="{1C7F1527-8F4A-4E57-929C-A0E88C876410}"/>
    <cellStyle name="输入 2 5 3 8" xfId="14015" xr:uid="{714F46D1-0E71-4281-8EE4-1B6F3535B368}"/>
    <cellStyle name="输入 2 5 3 9" xfId="15703" xr:uid="{F4B0B9AA-13D6-4F52-A9A9-CC69BF98D7EB}"/>
    <cellStyle name="输入 2 5 4" xfId="8975" xr:uid="{DD772432-3225-4E22-ACEE-ABE7D45B8F8B}"/>
    <cellStyle name="输入 2 6" xfId="3057" xr:uid="{1744F528-7276-4E53-A02C-C3DFB3C6E4AF}"/>
    <cellStyle name="输入 2 6 10" xfId="13601" xr:uid="{2CAF7CA7-1859-48A1-A94D-60BEBB18AE8C}"/>
    <cellStyle name="输入 2 6 2" xfId="3937" xr:uid="{C1335854-CBDF-408E-A565-550E6E2317A5}"/>
    <cellStyle name="输入 2 6 2 2" xfId="4805" xr:uid="{8A443246-D812-4722-84E2-BC12266CAFD9}"/>
    <cellStyle name="输入 2 6 2 2 2" xfId="7300" xr:uid="{BA2FF1F3-9BAA-4548-BB73-C20FA2C9BCDD}"/>
    <cellStyle name="输入 2 6 2 2 3" xfId="8715" xr:uid="{5EC806C4-B01C-4811-BE8D-EF3D33835AD9}"/>
    <cellStyle name="输入 2 6 2 2 4" xfId="10422" xr:uid="{673D8418-CB3C-434C-AD75-9DBB3E8957BF}"/>
    <cellStyle name="输入 2 6 2 2 5" xfId="11918" xr:uid="{7EAF4EB5-5FDB-41EB-ABDC-C26F2A1CF4C9}"/>
    <cellStyle name="输入 2 6 2 2 6" xfId="13392" xr:uid="{3C37D9D9-4057-4B82-9CCD-607E9D2B03F0}"/>
    <cellStyle name="输入 2 6 2 2 7" xfId="15065" xr:uid="{095B9565-3FB8-475B-B8C1-3EE233832297}"/>
    <cellStyle name="输入 2 6 2 2 8" xfId="16732" xr:uid="{A2C3A351-33A8-4264-A62A-C90021E5ED9A}"/>
    <cellStyle name="输入 2 6 2 3" xfId="6561" xr:uid="{3B8F57A9-E6B6-45A7-B529-F2B819FE838B}"/>
    <cellStyle name="输入 2 6 2 4" xfId="7865" xr:uid="{4EAD502A-98C3-41E1-B296-BEBFBB742B94}"/>
    <cellStyle name="输入 2 6 2 5" xfId="9556" xr:uid="{9A026D5E-7B5E-493A-B140-529A28D22451}"/>
    <cellStyle name="输入 2 6 2 6" xfId="11191" xr:uid="{C43DA0F6-0709-4186-97D6-B69D8E4961F5}"/>
    <cellStyle name="输入 2 6 2 7" xfId="12544" xr:uid="{FFA95EAB-5D37-4EF6-BF5A-A610F9F31BEE}"/>
    <cellStyle name="输入 2 6 2 8" xfId="14199" xr:uid="{23748040-C9B7-4399-80BD-DDA0656D9B18}"/>
    <cellStyle name="输入 2 6 2 9" xfId="15884" xr:uid="{78B97E53-1508-4E68-A7EF-136AB0BD8C0F}"/>
    <cellStyle name="输入 2 6 3" xfId="3499" xr:uid="{975C15D1-37D6-4473-A8A0-C5F0E847C6F7}"/>
    <cellStyle name="输入 2 6 3 2" xfId="4519" xr:uid="{DD8EC03B-CAF3-42C5-AA59-2B74060D0458}"/>
    <cellStyle name="输入 2 6 3 2 2" xfId="7014" xr:uid="{2B6CD6CB-45DD-4ECD-B52F-A9E904395EF8}"/>
    <cellStyle name="输入 2 6 3 2 3" xfId="8435" xr:uid="{F8C479AE-1666-4E92-9D0D-B2D370A84231}"/>
    <cellStyle name="输入 2 6 3 2 4" xfId="10136" xr:uid="{7BDD7012-660E-4C92-ACAC-E7358EC18CFA}"/>
    <cellStyle name="输入 2 6 3 2 5" xfId="11632" xr:uid="{4D18EE3B-17A0-483C-BD19-EC1E9D6E2481}"/>
    <cellStyle name="输入 2 6 3 2 6" xfId="13112" xr:uid="{32AE617D-6441-4214-95AA-037BE52D704B}"/>
    <cellStyle name="输入 2 6 3 2 7" xfId="14779" xr:uid="{0C90DED7-8849-4253-8BED-37F283F7CE30}"/>
    <cellStyle name="输入 2 6 3 2 8" xfId="16452" xr:uid="{B12346C4-6B74-4262-A260-C7D0DF49FB71}"/>
    <cellStyle name="输入 2 6 3 3" xfId="6230" xr:uid="{50391156-B989-4173-9393-FB6A3485F3C1}"/>
    <cellStyle name="输入 2 6 3 4" xfId="5157" xr:uid="{BF0A5F2C-0DFF-47A2-A841-8113ACC65661}"/>
    <cellStyle name="输入 2 6 3 5" xfId="9118" xr:uid="{0A0AA8E4-A372-45FA-8119-7B832DA1C5FC}"/>
    <cellStyle name="输入 2 6 3 6" xfId="10863" xr:uid="{95999CDF-D3EE-4BEA-A228-69D2611B2E7A}"/>
    <cellStyle name="输入 2 6 3 7" xfId="5220" xr:uid="{17A5C96C-80A1-4106-A595-30BE54FDC2BD}"/>
    <cellStyle name="输入 2 6 3 8" xfId="13761" xr:uid="{04FBEE7A-DB36-4978-A8D4-939B3439371F}"/>
    <cellStyle name="输入 2 6 3 9" xfId="15452" xr:uid="{B1469DB2-074E-47EA-83AB-D0B2C34299FB}"/>
    <cellStyle name="输入 2 6 4" xfId="4299" xr:uid="{21D76D0C-58A7-406E-A7DE-3A39B2A141DC}"/>
    <cellStyle name="输入 2 6 4 2" xfId="6826" xr:uid="{1D6A4D9A-B7B6-48C0-BF22-2565BC8C8C11}"/>
    <cellStyle name="输入 2 6 4 3" xfId="8221" xr:uid="{B362C729-1AE5-4B39-8544-0612ECB7C3CA}"/>
    <cellStyle name="输入 2 6 4 4" xfId="9916" xr:uid="{86B1237F-D564-4FA8-8159-6AC2B928FA97}"/>
    <cellStyle name="输入 2 6 4 5" xfId="11446" xr:uid="{4A3678D9-EB85-4DD5-BD7D-94A8F16CF4D0}"/>
    <cellStyle name="输入 2 6 4 6" xfId="12898" xr:uid="{86FC1777-6A34-4901-9EE8-125BAE465498}"/>
    <cellStyle name="输入 2 6 4 7" xfId="14559" xr:uid="{FCB14174-923D-4A42-A473-9D5DC5665CD7}"/>
    <cellStyle name="输入 2 6 4 8" xfId="16238" xr:uid="{0FE842E2-F5E0-4265-B415-BE164AE3E06C}"/>
    <cellStyle name="输入 2 6 5" xfId="5937" xr:uid="{5169FC78-FD6F-4D9C-8B53-DAC99B9D04FB}"/>
    <cellStyle name="输入 2 6 6" xfId="5045" xr:uid="{58CFD1F0-A5AF-42EA-8D21-84415DED2D46}"/>
    <cellStyle name="输入 2 6 7" xfId="5836" xr:uid="{2319D59B-3F41-4744-AF43-95433ED7EDEE}"/>
    <cellStyle name="输入 2 6 8" xfId="5278" xr:uid="{DD7313E5-619D-4167-BEE3-50AE99318323}"/>
    <cellStyle name="输入 2 6 9" xfId="5498" xr:uid="{0CD45BB8-FCE5-4723-BE5E-BEFD816C2D65}"/>
    <cellStyle name="输入 2 7" xfId="3189" xr:uid="{F3C0FF66-0C02-47FF-B792-B922CBC5C2CE}"/>
    <cellStyle name="输入 2 7 10" xfId="5856" xr:uid="{F308A563-D784-4FFB-BA1C-D0F6E71CDFB1}"/>
    <cellStyle name="输入 2 7 2" xfId="4069" xr:uid="{F9013838-DC74-4184-9966-B495F00D72F6}"/>
    <cellStyle name="输入 2 7 2 2" xfId="4891" xr:uid="{26A74B5B-0111-4466-A157-CC6D365918C2}"/>
    <cellStyle name="输入 2 7 2 2 2" xfId="7386" xr:uid="{49A1F77F-2354-465D-9197-D86B963C71DA}"/>
    <cellStyle name="输入 2 7 2 2 3" xfId="8798" xr:uid="{51EE6634-1A0E-4D6B-9EFD-8ED70AA198D7}"/>
    <cellStyle name="输入 2 7 2 2 4" xfId="10508" xr:uid="{ABA455A0-134F-4AC4-A35A-4975D39B4029}"/>
    <cellStyle name="输入 2 7 2 2 5" xfId="12004" xr:uid="{2DC3B890-4349-4BE8-BFAB-5224361684F7}"/>
    <cellStyle name="输入 2 7 2 2 6" xfId="13475" xr:uid="{1CD19E69-61F5-4E0B-803D-F9D73EFC92CC}"/>
    <cellStyle name="输入 2 7 2 2 7" xfId="15151" xr:uid="{3E9DC7E1-F24A-4E2D-B2C5-F9C0272CDCA2}"/>
    <cellStyle name="输入 2 7 2 2 8" xfId="16815" xr:uid="{EE73B15B-487F-496E-94A1-F801F9E71016}"/>
    <cellStyle name="输入 2 7 2 3" xfId="6658" xr:uid="{5D155808-688B-4CF9-8DE9-188F87260E1C}"/>
    <cellStyle name="输入 2 7 2 4" xfId="7994" xr:uid="{F00C26D9-6D01-4A5F-9A10-8FBC64C39D4B}"/>
    <cellStyle name="输入 2 7 2 5" xfId="9688" xr:uid="{703B749C-DF04-475E-ABA9-7A776882EA82}"/>
    <cellStyle name="输入 2 7 2 6" xfId="11285" xr:uid="{572BD510-A366-4402-B31D-7417858D0B0D}"/>
    <cellStyle name="输入 2 7 2 7" xfId="12673" xr:uid="{CD1E47FF-3999-438B-83ED-AF5E39A930F2}"/>
    <cellStyle name="输入 2 7 2 8" xfId="14331" xr:uid="{81C0B58B-ED16-4F41-A8BB-DBA25B4B50B9}"/>
    <cellStyle name="输入 2 7 2 9" xfId="16013" xr:uid="{16C896CF-1963-40CB-968F-12AF9D2C47F3}"/>
    <cellStyle name="输入 2 7 3" xfId="3631" xr:uid="{6CC8CFCD-748F-41AD-8F7B-78CACD3227FD}"/>
    <cellStyle name="输入 2 7 3 2" xfId="4605" xr:uid="{EE53DEFD-EE1E-43FB-81E3-BFC418D7C1D1}"/>
    <cellStyle name="输入 2 7 3 2 2" xfId="7100" xr:uid="{1E44E5A2-3C4E-4121-82EA-804AD0CA7709}"/>
    <cellStyle name="输入 2 7 3 2 3" xfId="8518" xr:uid="{64EC6E8C-8B19-4C47-9A5E-98082B5815FF}"/>
    <cellStyle name="输入 2 7 3 2 4" xfId="10222" xr:uid="{5FB51658-207C-44E7-872E-F85A75BB3ECC}"/>
    <cellStyle name="输入 2 7 3 2 5" xfId="11718" xr:uid="{1E97D067-3873-4A13-93B8-BBA3BBD13EF6}"/>
    <cellStyle name="输入 2 7 3 2 6" xfId="13195" xr:uid="{51A1E06F-DAF7-4457-8F49-913C3B4EB71D}"/>
    <cellStyle name="输入 2 7 3 2 7" xfId="14865" xr:uid="{84F3D730-B2E4-4A28-B62F-A3E7E2E67B05}"/>
    <cellStyle name="输入 2 7 3 2 8" xfId="16535" xr:uid="{528184E3-090A-4CED-B096-3497BB7F410C}"/>
    <cellStyle name="输入 2 7 3 3" xfId="6331" xr:uid="{525FBD31-1580-4A33-98C9-CE0194A3149C}"/>
    <cellStyle name="输入 2 7 3 4" xfId="7562" xr:uid="{0DB2614B-A946-4B65-BDBB-A5EA63B0AAC0}"/>
    <cellStyle name="输入 2 7 3 5" xfId="9250" xr:uid="{B50E73D4-CA98-45B3-98AB-8D65DB0A9BDE}"/>
    <cellStyle name="输入 2 7 3 6" xfId="10958" xr:uid="{1C040B42-DC22-4001-98B5-DE83A1957504}"/>
    <cellStyle name="输入 2 7 3 7" xfId="12241" xr:uid="{C7CCF114-0A92-4671-97EF-BDC797F158CE}"/>
    <cellStyle name="输入 2 7 3 8" xfId="13893" xr:uid="{4924EB46-5CE9-4CAD-BF02-2218976B7FFA}"/>
    <cellStyle name="输入 2 7 3 9" xfId="15581" xr:uid="{C802E25E-0394-4EF4-90C3-5A87FD27D8F6}"/>
    <cellStyle name="输入 2 7 4" xfId="4350" xr:uid="{25108089-2669-41B0-A049-E03C84B44478}"/>
    <cellStyle name="输入 2 7 4 2" xfId="6867" xr:uid="{269981BB-6425-4253-AEAB-47C43E6FCF16}"/>
    <cellStyle name="输入 2 7 4 3" xfId="8269" xr:uid="{061A04A0-EB50-4BC1-9816-612691D20FFC}"/>
    <cellStyle name="输入 2 7 4 4" xfId="9967" xr:uid="{BDB03901-9056-4127-BE69-CCAA94FAAC0C}"/>
    <cellStyle name="输入 2 7 4 5" xfId="11486" xr:uid="{6A5F8644-1C93-43FB-9C2A-1FCE51708F4F}"/>
    <cellStyle name="输入 2 7 4 6" xfId="12946" xr:uid="{D2490E5C-1A22-442D-B32E-8D4772378805}"/>
    <cellStyle name="输入 2 7 4 7" xfId="14610" xr:uid="{E7FBFB3B-8CC3-4559-9B0C-6CDBD058B185}"/>
    <cellStyle name="输入 2 7 4 8" xfId="16286" xr:uid="{3C32A2AD-5C47-4633-B026-06CD006409C2}"/>
    <cellStyle name="输入 2 7 5" xfId="6016" xr:uid="{CE736429-5A52-48B6-ABBE-DC0C22D2DCB9}"/>
    <cellStyle name="输入 2 7 6" xfId="5590" xr:uid="{CD3CE8EE-5387-410E-9725-11A8CDCBDCCF}"/>
    <cellStyle name="输入 2 7 7" xfId="10662" xr:uid="{A4BE3D71-BA87-4CBF-B6DE-521C3FEEFB81}"/>
    <cellStyle name="输入 2 7 8" xfId="5838" xr:uid="{190A42E7-2373-449B-8B48-27AFD0A98BE0}"/>
    <cellStyle name="输入 2 7 9" xfId="5886" xr:uid="{5E80ECA6-7382-4156-BE09-ADA55473FD5C}"/>
    <cellStyle name="输入 2 8" xfId="3373" xr:uid="{2770107D-B940-47D0-810F-47F56A1BD99E}"/>
    <cellStyle name="输入 2 8 10" xfId="15330" xr:uid="{0A2BF649-21E6-492D-B505-4ED6778981FE}"/>
    <cellStyle name="输入 2 8 2" xfId="4253" xr:uid="{31BCB343-C2AB-4228-9C08-E330A05B3186}"/>
    <cellStyle name="输入 2 8 2 2" xfId="5006" xr:uid="{3BA38600-BFA3-4501-B19D-9FC89682A4E8}"/>
    <cellStyle name="输入 2 8 2 2 2" xfId="7501" xr:uid="{0A531266-2420-43E3-882B-8101A1054E46}"/>
    <cellStyle name="输入 2 8 2 2 3" xfId="8911" xr:uid="{A0B31C1C-FCE8-4BE2-898C-33C815229531}"/>
    <cellStyle name="输入 2 8 2 2 4" xfId="10623" xr:uid="{EB682906-C40C-4863-A609-734DAFAB419F}"/>
    <cellStyle name="输入 2 8 2 2 5" xfId="12119" xr:uid="{E2A73B51-D368-4F30-B8B9-8180A2213C3F}"/>
    <cellStyle name="输入 2 8 2 2 6" xfId="13588" xr:uid="{F1D7B832-AE64-46C4-9EFB-1BE5BD46728E}"/>
    <cellStyle name="输入 2 8 2 2 7" xfId="15266" xr:uid="{5274B692-C845-48B8-80C8-0A43022A3401}"/>
    <cellStyle name="输入 2 8 2 2 8" xfId="16928" xr:uid="{1C9B5351-85C0-4913-B90E-0D98727B8239}"/>
    <cellStyle name="输入 2 8 2 3" xfId="6793" xr:uid="{20951E98-71D2-4662-B300-A471400E3D90}"/>
    <cellStyle name="输入 2 8 2 4" xfId="8176" xr:uid="{C9033A1D-B500-4A4F-9546-B141B9FA61B2}"/>
    <cellStyle name="输入 2 8 2 5" xfId="9872" xr:uid="{054349E9-A5F7-4991-9733-522E52C0596A}"/>
    <cellStyle name="输入 2 8 2 6" xfId="11412" xr:uid="{C2730310-575B-4F6F-89D2-5CBEBF18A91C}"/>
    <cellStyle name="输入 2 8 2 7" xfId="12855" xr:uid="{AEB3E01A-78DD-4B69-AD60-52A3806F8038}"/>
    <cellStyle name="输入 2 8 2 8" xfId="14515" xr:uid="{E619D3B7-E109-4111-9B38-4D6BF07FF2B7}"/>
    <cellStyle name="输入 2 8 2 9" xfId="16195" xr:uid="{F0EFFB2D-79DF-467B-8CC9-3325D6A0E774}"/>
    <cellStyle name="输入 2 8 3" xfId="3813" xr:uid="{16AA179C-6F19-485C-95E9-B7C79AD25E36}"/>
    <cellStyle name="输入 2 8 3 2" xfId="4718" xr:uid="{99FB861E-2803-46A6-A0B7-13A96CF1FD2C}"/>
    <cellStyle name="输入 2 8 3 2 2" xfId="7213" xr:uid="{83DE7903-E474-42CE-A4DB-A7F1B60B6ED7}"/>
    <cellStyle name="输入 2 8 3 2 3" xfId="8631" xr:uid="{26B51E9D-4E0F-4B85-9E68-BDF328E355B1}"/>
    <cellStyle name="输入 2 8 3 2 4" xfId="10335" xr:uid="{A918D127-C6F2-4823-83CD-264EFA052E77}"/>
    <cellStyle name="输入 2 8 3 2 5" xfId="11831" xr:uid="{8F0FECEB-8F6E-4006-9666-7FDD5C6629E5}"/>
    <cellStyle name="输入 2 8 3 2 6" xfId="13308" xr:uid="{37475DAD-6764-4D78-ABD8-F7F935CCFAAA}"/>
    <cellStyle name="输入 2 8 3 2 7" xfId="14978" xr:uid="{09BAFB8A-C8BC-435B-93A2-8653A061CD08}"/>
    <cellStyle name="输入 2 8 3 2 8" xfId="16648" xr:uid="{88EE604D-8DB4-47DB-A75E-07C951DAFEA1}"/>
    <cellStyle name="输入 2 8 3 3" xfId="6464" xr:uid="{B9678E2A-8D8A-47EE-93ED-B3E7BF005D7F}"/>
    <cellStyle name="输入 2 8 3 4" xfId="7744" xr:uid="{70249796-8A37-42C9-B6F2-0B5B2EC6CF1B}"/>
    <cellStyle name="输入 2 8 3 5" xfId="9432" xr:uid="{91C1A242-9887-4DED-917F-F7AD8C1BA61F}"/>
    <cellStyle name="输入 2 8 3 6" xfId="11092" xr:uid="{B43FD9E6-D0C6-43C2-84EB-42D62A13BE81}"/>
    <cellStyle name="输入 2 8 3 7" xfId="12423" xr:uid="{16117AA9-42A3-4ED6-9E32-609A92DD279F}"/>
    <cellStyle name="输入 2 8 3 8" xfId="14075" xr:uid="{4379CF82-B403-403F-8367-84DE2047E574}"/>
    <cellStyle name="输入 2 8 3 9" xfId="15763" xr:uid="{36C712C3-9825-4EB5-8214-A44513E2E51D}"/>
    <cellStyle name="输入 2 8 4" xfId="4429" xr:uid="{291142D7-D2D3-41DC-8E03-D5509E413CF2}"/>
    <cellStyle name="输入 2 8 4 2" xfId="6928" xr:uid="{44377BEA-2C30-4995-AC2B-7D7593276AE9}"/>
    <cellStyle name="输入 2 8 4 3" xfId="8346" xr:uid="{E44FA5D7-73D2-4DA8-BB5E-E831AE63BFBF}"/>
    <cellStyle name="输入 2 8 4 4" xfId="10046" xr:uid="{434857F0-1441-4A35-B30D-2AE9D2AC309D}"/>
    <cellStyle name="输入 2 8 4 5" xfId="11544" xr:uid="{17584974-897F-4D2C-B73A-BDA11F3CD9E4}"/>
    <cellStyle name="输入 2 8 4 6" xfId="13023" xr:uid="{23C3F84C-6CE0-4CE8-A247-A73143C874C3}"/>
    <cellStyle name="输入 2 8 4 7" xfId="14689" xr:uid="{96791F0D-1A92-4CBD-AC06-5804C47F194C}"/>
    <cellStyle name="输入 2 8 4 8" xfId="16363" xr:uid="{780335B5-6621-4015-BAE4-0AAD48FFFA76}"/>
    <cellStyle name="输入 2 8 5" xfId="6131" xr:uid="{8D7FDE5A-EC0A-488E-B496-DFC618CC48F0}"/>
    <cellStyle name="输入 2 8 6" xfId="5706" xr:uid="{193AA90F-0E40-4193-9148-C89177F032C6}"/>
    <cellStyle name="输入 2 8 7" xfId="10763" xr:uid="{6C33A1EF-3309-4F91-AB65-485900180557}"/>
    <cellStyle name="输入 2 8 8" xfId="5305" xr:uid="{63738B15-A005-4700-BFCF-7D50B1F4F06F}"/>
    <cellStyle name="输入 2 8 9" xfId="13639" xr:uid="{AC2D38DF-01B8-4F25-B007-4AC356A2633C}"/>
    <cellStyle name="输入 2 9" xfId="3871" xr:uid="{DB33AD1C-A376-4898-9D8D-BDBA47215416}"/>
    <cellStyle name="输入 2 9 2" xfId="4763" xr:uid="{225FE55F-1D81-4CD8-BE0F-819C3E7E008C}"/>
    <cellStyle name="输入 2 9 2 2" xfId="7258" xr:uid="{83029990-96AC-4B4A-9D63-073E4B15A7E0}"/>
    <cellStyle name="输入 2 9 2 3" xfId="8673" xr:uid="{786A58A7-6904-4ED6-A88E-B3B7AC353966}"/>
    <cellStyle name="输入 2 9 2 4" xfId="10380" xr:uid="{6784FE28-9C61-4533-9FC5-0994B83B35C9}"/>
    <cellStyle name="输入 2 9 2 5" xfId="11876" xr:uid="{0F084D0A-3CAE-42B0-98C5-194388B1CF65}"/>
    <cellStyle name="输入 2 9 2 6" xfId="13350" xr:uid="{7EE3769B-4405-4794-8707-76E44D0212CB}"/>
    <cellStyle name="输入 2 9 2 7" xfId="15023" xr:uid="{FB28FA0F-5391-48E7-BAB8-0728809C14E6}"/>
    <cellStyle name="输入 2 9 2 8" xfId="16690" xr:uid="{D0994D29-CC28-46F9-9759-BC4BEC7FC66C}"/>
    <cellStyle name="输入 2 9 3" xfId="6512" xr:uid="{9C9041DB-8E9C-4BBC-B871-DC1E7CD56A91}"/>
    <cellStyle name="输入 2 9 4" xfId="7799" xr:uid="{2FA5F426-1C77-447B-B1B7-CFAAD88E8760}"/>
    <cellStyle name="输入 2 9 5" xfId="9490" xr:uid="{6E35E497-5D22-4698-9944-35866FAC3536}"/>
    <cellStyle name="输入 2 9 6" xfId="11143" xr:uid="{A8FEFC84-3C34-45DF-AB14-541F8052B061}"/>
    <cellStyle name="输入 2 9 7" xfId="12478" xr:uid="{600C9D24-5276-4F8B-9C4A-7C5CE40E91CA}"/>
    <cellStyle name="输入 2 9 8" xfId="14133" xr:uid="{BAC6BD58-283E-4084-8E95-C20114F609CD}"/>
    <cellStyle name="输入 2 9 9" xfId="15818" xr:uid="{91786DFC-008F-4F81-9B0A-45F251F3E10F}"/>
    <cellStyle name="输入 3" xfId="2968" xr:uid="{18C408E0-1170-43CD-BF8C-E683FD938965}"/>
    <cellStyle name="输入 3 10" xfId="3415" xr:uid="{3B1434B1-AD14-438A-A761-696B1E425B3B}"/>
    <cellStyle name="输入 3 10 2" xfId="4463" xr:uid="{E8134D51-B4B6-4B7B-A5A6-2E9BD8BA32FC}"/>
    <cellStyle name="输入 3 10 2 2" xfId="6958" xr:uid="{B6F8362D-4D7C-4D4A-9244-62D482EB1591}"/>
    <cellStyle name="输入 3 10 2 3" xfId="8379" xr:uid="{302EC0AA-C541-4C91-80C5-68736E839A7E}"/>
    <cellStyle name="输入 3 10 2 4" xfId="10080" xr:uid="{2EC8B2FB-07BB-4E9A-9438-AC2F60239637}"/>
    <cellStyle name="输入 3 10 2 5" xfId="11576" xr:uid="{D50225B5-EE22-489E-A792-26FE03FC6C07}"/>
    <cellStyle name="输入 3 10 2 6" xfId="13056" xr:uid="{3682E05F-86B6-4060-8876-0352E15E4424}"/>
    <cellStyle name="输入 3 10 2 7" xfId="14723" xr:uid="{1E5C1E2F-98AC-493A-87E1-D1EDA1E67DA8}"/>
    <cellStyle name="输入 3 10 2 8" xfId="16396" xr:uid="{2AF693FC-2559-4EF2-B4A8-38BB78882FFA}"/>
    <cellStyle name="输入 3 10 3" xfId="6166" xr:uid="{C1CD66B5-6A69-4B1C-93CF-33138431A195}"/>
    <cellStyle name="输入 3 10 4" xfId="6078" xr:uid="{9644CDD5-6952-4AD6-B3F0-1EB9AA1C3415}"/>
    <cellStyle name="输入 3 10 5" xfId="9034" xr:uid="{049079EB-19BD-436C-A001-F27BD213D5D5}"/>
    <cellStyle name="输入 3 10 6" xfId="10798" xr:uid="{C50AD9CD-6CF9-41FD-88F7-6C656DBBC942}"/>
    <cellStyle name="输入 3 10 7" xfId="5078" xr:uid="{A9E403B2-258D-48EE-B5F4-6813AF2AD4C3}"/>
    <cellStyle name="输入 3 10 8" xfId="13677" xr:uid="{F4423672-CDD9-4057-820F-679CFC1BC90B}"/>
    <cellStyle name="输入 3 10 9" xfId="15368" xr:uid="{10AC8FAF-F651-4271-99CD-F1DCD5C94856}"/>
    <cellStyle name="输入 3 11" xfId="5840" xr:uid="{777E33C8-69E3-4265-9E36-8F42B1EF8C37}"/>
    <cellStyle name="输入 3 12" xfId="5613" xr:uid="{DFBFE037-0789-408B-A0BD-6ADDB13A8513}"/>
    <cellStyle name="输入 3 2" xfId="3256" xr:uid="{0518B216-7821-4B20-A7C9-8A2B6322F0B6}"/>
    <cellStyle name="输入 3 2 2" xfId="4136" xr:uid="{3A2098AD-3D7C-4EFE-BAD9-BD1495E8D298}"/>
    <cellStyle name="输入 3 2 2 2" xfId="4934" xr:uid="{0524A620-C2E3-486E-81F3-EF4887BD4169}"/>
    <cellStyle name="输入 3 2 2 2 2" xfId="7429" xr:uid="{DE3B135F-BFFF-4111-A0F8-C0F9D5F20690}"/>
    <cellStyle name="输入 3 2 2 2 3" xfId="8841" xr:uid="{24C8676B-DC75-4CF4-B989-C9EB83AAE30A}"/>
    <cellStyle name="输入 3 2 2 2 4" xfId="10551" xr:uid="{E0DDC8F6-CB82-427B-A814-01CA46B8F77B}"/>
    <cellStyle name="输入 3 2 2 2 5" xfId="12047" xr:uid="{04C8FCD2-21CB-4020-95C5-6FE8EC89A9E0}"/>
    <cellStyle name="输入 3 2 2 2 6" xfId="13518" xr:uid="{D6E37A33-FCF6-42A1-A4F5-E7CF46BB9524}"/>
    <cellStyle name="输入 3 2 2 2 7" xfId="15194" xr:uid="{51D9AE87-1ECB-4C28-BCAF-01055E1D25F1}"/>
    <cellStyle name="输入 3 2 2 2 8" xfId="16858" xr:uid="{40D45AA4-A74C-4584-AE2F-E9FBAC38B0C0}"/>
    <cellStyle name="输入 3 2 2 3" xfId="6708" xr:uid="{9756A28B-3F57-44F8-9C1E-4743A0678F02}"/>
    <cellStyle name="输入 3 2 2 4" xfId="8061" xr:uid="{8CF1A83A-0BE4-440D-9349-51A4E6BF04E2}"/>
    <cellStyle name="输入 3 2 2 5" xfId="9755" xr:uid="{6AFE2285-D1B7-4945-823C-0C4496B7EAA6}"/>
    <cellStyle name="输入 3 2 2 6" xfId="11336" xr:uid="{F8D70D90-3CF5-4725-B84C-F781D3FA566C}"/>
    <cellStyle name="输入 3 2 2 7" xfId="12740" xr:uid="{E5DA6E51-0BC0-4998-AE45-62E908937C48}"/>
    <cellStyle name="输入 3 2 2 8" xfId="14398" xr:uid="{298E2FA8-40D9-4506-A131-FABDD8F3CAA7}"/>
    <cellStyle name="输入 3 2 2 9" xfId="16080" xr:uid="{6A3DAC7E-F68A-4D5F-9890-0A22B6CF3FB8}"/>
    <cellStyle name="输入 3 2 3" xfId="3698" xr:uid="{5A10BF88-99D3-4F7B-90FC-D18DE4C732AC}"/>
    <cellStyle name="输入 3 2 3 2" xfId="4648" xr:uid="{B915C8AE-760B-4D49-98A3-D5588C5462E4}"/>
    <cellStyle name="输入 3 2 3 2 2" xfId="7143" xr:uid="{C2A031EC-FC84-4E34-A9C5-8AA3ED5D8C1C}"/>
    <cellStyle name="输入 3 2 3 2 3" xfId="8561" xr:uid="{B794582E-3FAE-4106-BC91-0B53F226355F}"/>
    <cellStyle name="输入 3 2 3 2 4" xfId="10265" xr:uid="{BE330D48-A2B4-43C9-AD05-86C05FAEF125}"/>
    <cellStyle name="输入 3 2 3 2 5" xfId="11761" xr:uid="{7CC78F69-D680-40EB-AAAD-099EBACC32C6}"/>
    <cellStyle name="输入 3 2 3 2 6" xfId="13238" xr:uid="{8F46E119-2657-46EA-929A-8A19930AE5E4}"/>
    <cellStyle name="输入 3 2 3 2 7" xfId="14908" xr:uid="{783B1391-77E2-4C2E-BC9A-A26E56D616EE}"/>
    <cellStyle name="输入 3 2 3 2 8" xfId="16578" xr:uid="{0F7E126B-856A-4EC0-9CBB-8052C38DC083}"/>
    <cellStyle name="输入 3 2 3 3" xfId="6381" xr:uid="{8B9F899F-6A3A-46EA-A750-344A877996DF}"/>
    <cellStyle name="输入 3 2 3 4" xfId="7629" xr:uid="{A206488D-1EA3-4504-8876-C33FBA5B1E78}"/>
    <cellStyle name="输入 3 2 3 5" xfId="9317" xr:uid="{8F3EF162-255D-435E-9004-351935DF338D}"/>
    <cellStyle name="输入 3 2 3 6" xfId="11008" xr:uid="{561D18A3-E074-4D0C-A012-42667281C43E}"/>
    <cellStyle name="输入 3 2 3 7" xfId="12308" xr:uid="{4E4E5FC7-A4E3-4D47-ADD9-243DC5C048A1}"/>
    <cellStyle name="输入 3 2 3 8" xfId="13960" xr:uid="{6655CFB0-63CE-4F54-BAA6-362376AF2AB8}"/>
    <cellStyle name="输入 3 2 3 9" xfId="15648" xr:uid="{DDBEBAF9-0BE3-4A94-88BD-162AA95E8AD0}"/>
    <cellStyle name="输入 3 2 4" xfId="8923" xr:uid="{D996D2B8-49EB-4F18-B056-DDAC40A1F6AC}"/>
    <cellStyle name="输入 3 3" xfId="3128" xr:uid="{AA6002B8-91EC-4C6A-82AA-4E7A3A2123C7}"/>
    <cellStyle name="输入 3 3 2" xfId="4008" xr:uid="{FE1F5E1B-2BDE-4D13-B885-A773F56416A8}"/>
    <cellStyle name="输入 3 3 2 2" xfId="4854" xr:uid="{9FAA0756-B1E0-4393-BD4D-0751A8868A34}"/>
    <cellStyle name="输入 3 3 2 2 2" xfId="7349" xr:uid="{EFE78FC2-7BFC-4CA8-B74E-FE2468DEC5D4}"/>
    <cellStyle name="输入 3 3 2 2 3" xfId="8762" xr:uid="{E80AA93A-4BC4-4B0A-8496-F5FA01457AFF}"/>
    <cellStyle name="输入 3 3 2 2 4" xfId="10471" xr:uid="{080D9998-15F9-4FD0-9059-B10A69CB3F0B}"/>
    <cellStyle name="输入 3 3 2 2 5" xfId="11967" xr:uid="{5D42D651-8CAC-4362-B509-891A6CCB7573}"/>
    <cellStyle name="输入 3 3 2 2 6" xfId="13439" xr:uid="{C830702F-32D1-4C06-BA10-B4DBD13F22D5}"/>
    <cellStyle name="输入 3 3 2 2 7" xfId="15114" xr:uid="{33D14D24-1384-48E1-BFF6-5976D86BB3EA}"/>
    <cellStyle name="输入 3 3 2 2 8" xfId="16779" xr:uid="{6A63E81D-9B79-466D-B45A-3A6B84427BB9}"/>
    <cellStyle name="输入 3 3 2 3" xfId="6615" xr:uid="{65D43A96-4E0E-4EE5-B0FC-FF83D9C96396}"/>
    <cellStyle name="输入 3 3 2 4" xfId="7934" xr:uid="{570F14FB-7958-4F38-B173-311516FC5735}"/>
    <cellStyle name="输入 3 3 2 5" xfId="9627" xr:uid="{CBAFFC34-0FF6-49D4-8CB2-65F45B59558D}"/>
    <cellStyle name="输入 3 3 2 6" xfId="11241" xr:uid="{CC39DC84-E667-4A61-A4C5-D2E22B41153E}"/>
    <cellStyle name="输入 3 3 2 7" xfId="12613" xr:uid="{E0BBFCBA-9ED9-434F-9E58-7A05A47C6B4E}"/>
    <cellStyle name="输入 3 3 2 8" xfId="14270" xr:uid="{DFE99E6D-44F3-4270-8D6F-F82E0D8C7CEE}"/>
    <cellStyle name="输入 3 3 2 9" xfId="15953" xr:uid="{59197E49-B0EE-4F0A-ABD0-D5ABA0FF7B2F}"/>
    <cellStyle name="输入 3 3 3" xfId="3570" xr:uid="{8F554206-DEFE-4710-B7C0-ED95E75738AB}"/>
    <cellStyle name="输入 3 3 3 2" xfId="4568" xr:uid="{58EAE28F-B0E5-4A41-BAEF-0114F48CBAD3}"/>
    <cellStyle name="输入 3 3 3 2 2" xfId="7063" xr:uid="{E11FAFFC-8030-44FE-BF0B-6B10A7767C2A}"/>
    <cellStyle name="输入 3 3 3 2 3" xfId="8482" xr:uid="{E3C41361-9703-43B9-BF24-961C3E7FA24D}"/>
    <cellStyle name="输入 3 3 3 2 4" xfId="10185" xr:uid="{40AB001B-0F9B-4107-8E77-BECA26CFA557}"/>
    <cellStyle name="输入 3 3 3 2 5" xfId="11681" xr:uid="{96B8C920-AE25-41B9-8A51-E942D62D2A71}"/>
    <cellStyle name="输入 3 3 3 2 6" xfId="13159" xr:uid="{43168CF3-4D2D-4B44-98D7-EEEC34FC46E9}"/>
    <cellStyle name="输入 3 3 3 2 7" xfId="14828" xr:uid="{F0F1D997-FE1B-42FF-85D5-4D6E401A1859}"/>
    <cellStyle name="输入 3 3 3 2 8" xfId="16499" xr:uid="{E6F1348D-6E80-4F9E-A025-2C85C7CC6F2B}"/>
    <cellStyle name="输入 3 3 3 3" xfId="6285" xr:uid="{60907112-5DF6-473E-8B9C-A044C63F16C8}"/>
    <cellStyle name="输入 3 3 3 4" xfId="5106" xr:uid="{3D747A8E-CA1E-49C9-96CF-8033F040DB8B}"/>
    <cellStyle name="输入 3 3 3 5" xfId="9189" xr:uid="{1F4253F6-1933-4603-8826-86399D909476}"/>
    <cellStyle name="输入 3 3 3 6" xfId="10915" xr:uid="{3B03F280-ECDB-4360-9ECA-A5A342D5EE87}"/>
    <cellStyle name="输入 3 3 3 7" xfId="12181" xr:uid="{2B3236D7-AEDA-45EA-B06A-F40D3E4DE044}"/>
    <cellStyle name="输入 3 3 3 8" xfId="13832" xr:uid="{2D12CF70-29D2-4204-8532-F39B1DEBA833}"/>
    <cellStyle name="输入 3 3 3 9" xfId="15521" xr:uid="{C82BE038-A4B5-4CFC-9C7A-06C8964CAB44}"/>
    <cellStyle name="输入 3 3 4" xfId="5530" xr:uid="{A8504BAA-7100-4A43-9BAF-6B70D758238C}"/>
    <cellStyle name="输入 3 4" xfId="3098" xr:uid="{B5E3E2C7-F340-4ACF-9276-A786507C9806}"/>
    <cellStyle name="输入 3 4 2" xfId="3978" xr:uid="{17D480B4-DC96-468F-BFB9-E6A33885440E}"/>
    <cellStyle name="输入 3 4 2 2" xfId="4832" xr:uid="{DA2F0372-B131-4082-8BEC-50184F986160}"/>
    <cellStyle name="输入 3 4 2 2 2" xfId="7327" xr:uid="{9575B259-5A58-42D9-BACD-D2045218A35C}"/>
    <cellStyle name="输入 3 4 2 2 3" xfId="8740" xr:uid="{80127DFA-F433-47B6-83AC-ED83C7329E3F}"/>
    <cellStyle name="输入 3 4 2 2 4" xfId="10449" xr:uid="{919E87C9-0607-4540-B14A-FCCA8F122C96}"/>
    <cellStyle name="输入 3 4 2 2 5" xfId="11945" xr:uid="{4534704E-339F-46BF-9280-D64633D48062}"/>
    <cellStyle name="输入 3 4 2 2 6" xfId="13417" xr:uid="{BEF7DC1C-3A61-41DF-8773-8F8EFF407411}"/>
    <cellStyle name="输入 3 4 2 2 7" xfId="15092" xr:uid="{ECD0419C-1651-4E17-8E66-B5D6A0DBA2D8}"/>
    <cellStyle name="输入 3 4 2 2 8" xfId="16757" xr:uid="{4BA01684-DB8D-43EE-9ED8-951727421372}"/>
    <cellStyle name="输入 3 4 2 3" xfId="6592" xr:uid="{13DEE2F3-E2E1-4440-B1AC-B07FAA03B9D0}"/>
    <cellStyle name="输入 3 4 2 4" xfId="7904" xr:uid="{0F3310EC-F551-4947-B88C-71E85AAD294B}"/>
    <cellStyle name="输入 3 4 2 5" xfId="9597" xr:uid="{B8D353D5-81C4-4068-9095-B59DE6F43197}"/>
    <cellStyle name="输入 3 4 2 6" xfId="11219" xr:uid="{1A9B9C17-F9D8-41A7-9C27-1767CFCDA114}"/>
    <cellStyle name="输入 3 4 2 7" xfId="12583" xr:uid="{6211EF46-8B49-45BC-9A28-EBC41F3FAFB2}"/>
    <cellStyle name="输入 3 4 2 8" xfId="14240" xr:uid="{028DD2CF-266D-47D8-935B-A25DDFD204F2}"/>
    <cellStyle name="输入 3 4 2 9" xfId="15923" xr:uid="{DA443646-9F5E-4B10-AB7D-BF5E0DE9E7A2}"/>
    <cellStyle name="输入 3 4 3" xfId="3540" xr:uid="{21F731C3-724F-41E2-8888-ADBCB0B82106}"/>
    <cellStyle name="输入 3 4 3 2" xfId="4546" xr:uid="{A15CFB46-A099-4B6A-AFA0-DBBB27AE22E8}"/>
    <cellStyle name="输入 3 4 3 2 2" xfId="7041" xr:uid="{A0532C67-2821-4EEF-8CD7-BFC0919BE1BD}"/>
    <cellStyle name="输入 3 4 3 2 3" xfId="8460" xr:uid="{C976346F-7ADD-44BD-BA42-E89774F11263}"/>
    <cellStyle name="输入 3 4 3 2 4" xfId="10163" xr:uid="{72A99F82-15E2-405E-BAE0-A30CF632AC6E}"/>
    <cellStyle name="输入 3 4 3 2 5" xfId="11659" xr:uid="{8C0DEFB8-6925-4FDC-8935-4A2022B5F8E8}"/>
    <cellStyle name="输入 3 4 3 2 6" xfId="13137" xr:uid="{6C9892FE-2325-4DF8-B875-6D935B785730}"/>
    <cellStyle name="输入 3 4 3 2 7" xfId="14806" xr:uid="{DE4C6249-EDD0-49D0-8D48-FF712FA10960}"/>
    <cellStyle name="输入 3 4 3 2 8" xfId="16477" xr:uid="{5F04BA2C-D647-47B4-9694-76F136178EF7}"/>
    <cellStyle name="输入 3 4 3 3" xfId="6261" xr:uid="{1A46BAED-571E-46E3-908F-27218378C514}"/>
    <cellStyle name="输入 3 4 3 4" xfId="5535" xr:uid="{4F3A6762-63F4-4385-93CD-C89390D61516}"/>
    <cellStyle name="输入 3 4 3 5" xfId="9159" xr:uid="{1A9165B8-8B51-476A-BDA6-F3068F386EAB}"/>
    <cellStyle name="输入 3 4 3 6" xfId="10892" xr:uid="{4F3F1974-0405-4FC5-BD09-9547D3865A80}"/>
    <cellStyle name="输入 3 4 3 7" xfId="12151" xr:uid="{B95EE165-2A0E-4A2F-8DBA-9D16DA653CAC}"/>
    <cellStyle name="输入 3 4 3 8" xfId="13802" xr:uid="{513A87BB-F8DE-49DA-89C2-924689251C00}"/>
    <cellStyle name="输入 3 4 3 9" xfId="15491" xr:uid="{AEC44B52-654F-4ACE-AD2C-1A9AF6B0FB73}"/>
    <cellStyle name="输入 3 4 4" xfId="5640" xr:uid="{6CFE83EA-5194-4227-84D5-A472C94336DA}"/>
    <cellStyle name="输入 3 5" xfId="3017" xr:uid="{21504552-C4B3-40E1-BD98-E6EC1C8BD0C3}"/>
    <cellStyle name="输入 3 5 2" xfId="3897" xr:uid="{6884A89D-2781-4B5B-BE11-57367638AEB8}"/>
    <cellStyle name="输入 3 5 2 2" xfId="4776" xr:uid="{3D51A7BE-BACA-4516-B4B9-B5ADAC20828A}"/>
    <cellStyle name="输入 3 5 2 2 2" xfId="7271" xr:uid="{14DDEA6B-7A35-42D7-930F-985811A55F42}"/>
    <cellStyle name="输入 3 5 2 2 3" xfId="8686" xr:uid="{6B11161D-D839-46B2-A7A5-A1CB175A7EA2}"/>
    <cellStyle name="输入 3 5 2 2 4" xfId="10393" xr:uid="{9C3ED2FE-B865-4B3A-86EC-3CDF96E46674}"/>
    <cellStyle name="输入 3 5 2 2 5" xfId="11889" xr:uid="{12850FC4-16B2-4E90-B15D-84C6B50098BC}"/>
    <cellStyle name="输入 3 5 2 2 6" xfId="13363" xr:uid="{5B31E0F9-B5D9-4862-BE20-13E40BA17E7A}"/>
    <cellStyle name="输入 3 5 2 2 7" xfId="15036" xr:uid="{45605354-74FD-4DBE-A6F0-DD1BD7DC55E4}"/>
    <cellStyle name="输入 3 5 2 2 8" xfId="16703" xr:uid="{5B7CC9B4-1267-4BBF-8924-52AF3051516B}"/>
    <cellStyle name="输入 3 5 2 3" xfId="6530" xr:uid="{686070B7-1488-4380-9F29-43C0A0E029B7}"/>
    <cellStyle name="输入 3 5 2 4" xfId="7825" xr:uid="{8E6445FC-2E15-4C85-8336-F3B7ABBE5434}"/>
    <cellStyle name="输入 3 5 2 5" xfId="9516" xr:uid="{6EE3AF0F-E1A0-43B0-8901-D919FF065B29}"/>
    <cellStyle name="输入 3 5 2 6" xfId="11161" xr:uid="{29B31A9F-D70A-4B8E-A20A-44782497D884}"/>
    <cellStyle name="输入 3 5 2 7" xfId="12504" xr:uid="{6CEAC9D5-DAA8-40EF-BAC4-0B9A90483958}"/>
    <cellStyle name="输入 3 5 2 8" xfId="14159" xr:uid="{287A374B-A9D5-4217-8899-73012A79404A}"/>
    <cellStyle name="输入 3 5 2 9" xfId="15844" xr:uid="{1937ECF6-66DC-46C3-8253-F43AF2185FA7}"/>
    <cellStyle name="输入 3 5 3" xfId="3459" xr:uid="{4B4D78D8-F676-406C-85DF-C36E17197896}"/>
    <cellStyle name="输入 3 5 3 2" xfId="4490" xr:uid="{5AA68E6F-5217-453B-A8C4-CAC745308DA8}"/>
    <cellStyle name="输入 3 5 3 2 2" xfId="6985" xr:uid="{F7D79DBB-BE76-417C-B30E-9C2EF88CC355}"/>
    <cellStyle name="输入 3 5 3 2 3" xfId="8406" xr:uid="{B24AE026-BB08-4C50-802C-E0696DB9B8D9}"/>
    <cellStyle name="输入 3 5 3 2 4" xfId="10107" xr:uid="{7E1C6089-BBCA-4516-9CA0-C3634F574925}"/>
    <cellStyle name="输入 3 5 3 2 5" xfId="11603" xr:uid="{DD59EA94-7FC0-45B5-90A9-4EF795490735}"/>
    <cellStyle name="输入 3 5 3 2 6" xfId="13083" xr:uid="{3DFB1C60-B9AD-4366-8F0E-C45D0834441C}"/>
    <cellStyle name="输入 3 5 3 2 7" xfId="14750" xr:uid="{D2269A72-63A5-4828-8C60-5724753221F1}"/>
    <cellStyle name="输入 3 5 3 2 8" xfId="16423" xr:uid="{ADC6507F-01E4-4B0A-B55F-B9A3512104A3}"/>
    <cellStyle name="输入 3 5 3 3" xfId="6198" xr:uid="{90CE8D9A-8355-4300-B514-A9FBE95200C1}"/>
    <cellStyle name="输入 3 5 3 4" xfId="5187" xr:uid="{8B07F457-2AAD-4DBE-ADEC-341128A0D066}"/>
    <cellStyle name="输入 3 5 3 5" xfId="9078" xr:uid="{630DC06F-1F07-4B1C-A6F3-C46EB036F4D2}"/>
    <cellStyle name="输入 3 5 3 6" xfId="10832" xr:uid="{5A6F482A-53DF-423B-A665-232D4672A190}"/>
    <cellStyle name="输入 3 5 3 7" xfId="5766" xr:uid="{B6F4294C-3C2B-4F50-B9D9-1025F77E2094}"/>
    <cellStyle name="输入 3 5 3 8" xfId="13721" xr:uid="{E5572E1B-57E5-4AF3-A18C-B861C7DD9307}"/>
    <cellStyle name="输入 3 5 3 9" xfId="15412" xr:uid="{ADF4B893-4D50-4504-B660-4024A5063452}"/>
    <cellStyle name="输入 3 5 4" xfId="5860" xr:uid="{A8CA3C01-E4BB-412A-AEFD-7F2BA0444A7D}"/>
    <cellStyle name="输入 3 6" xfId="3218" xr:uid="{C7B919BB-3AFC-4C3C-AF4F-4877B3C8AC44}"/>
    <cellStyle name="输入 3 6 10" xfId="8193" xr:uid="{554A5A42-F8E0-4E91-B3A4-C8CD7F8B6126}"/>
    <cellStyle name="输入 3 6 2" xfId="4098" xr:uid="{228DDEC9-B351-4B4D-9D3A-071B65378A38}"/>
    <cellStyle name="输入 3 6 2 2" xfId="4910" xr:uid="{F6C9C999-4450-4442-958F-4AC75BDB73DF}"/>
    <cellStyle name="输入 3 6 2 2 2" xfId="7405" xr:uid="{EF66BB25-B07A-40F7-9F24-6926EEA0DD3A}"/>
    <cellStyle name="输入 3 6 2 2 3" xfId="8817" xr:uid="{FB6A5E7A-E3C9-4FDB-8646-19408249110E}"/>
    <cellStyle name="输入 3 6 2 2 4" xfId="10527" xr:uid="{CB00B27D-4547-4E30-AEA2-3BC67B988014}"/>
    <cellStyle name="输入 3 6 2 2 5" xfId="12023" xr:uid="{90B03910-3B42-4B4F-934C-7E9667FA7CB0}"/>
    <cellStyle name="输入 3 6 2 2 6" xfId="13494" xr:uid="{0200AAA6-048D-4CF2-9646-8D47D43861F0}"/>
    <cellStyle name="输入 3 6 2 2 7" xfId="15170" xr:uid="{7F7C0E9C-6A58-482A-A9C3-2A84FAB92382}"/>
    <cellStyle name="输入 3 6 2 2 8" xfId="16834" xr:uid="{416E7B1E-9976-40C7-9D08-CF2D4CD087A1}"/>
    <cellStyle name="输入 3 6 2 3" xfId="6679" xr:uid="{F409BF0F-A094-4B74-A2F4-D1DA71250937}"/>
    <cellStyle name="输入 3 6 2 4" xfId="8023" xr:uid="{99DAF040-981C-4620-89AF-21B2D36029F2}"/>
    <cellStyle name="输入 3 6 2 5" xfId="9717" xr:uid="{903A3EB5-7204-4929-834A-263808BBD374}"/>
    <cellStyle name="输入 3 6 2 6" xfId="11307" xr:uid="{37AAAA0A-70CC-4F60-B3E4-59C7A55D7465}"/>
    <cellStyle name="输入 3 6 2 7" xfId="12702" xr:uid="{BF2F0D7F-6EF0-44B1-92D3-8672EF0D8218}"/>
    <cellStyle name="输入 3 6 2 8" xfId="14360" xr:uid="{3C2F2BE0-6695-408A-A122-12ED3933BB5B}"/>
    <cellStyle name="输入 3 6 2 9" xfId="16042" xr:uid="{AC7FE350-D6FD-42F6-B177-026662177BEA}"/>
    <cellStyle name="输入 3 6 3" xfId="3660" xr:uid="{C11281C5-0699-435C-B580-842BFBD3044D}"/>
    <cellStyle name="输入 3 6 3 2" xfId="4624" xr:uid="{D2CFD936-5FAC-4966-B164-1C022AA65C81}"/>
    <cellStyle name="输入 3 6 3 2 2" xfId="7119" xr:uid="{DF730F9F-DBA3-4E75-9C05-D4774B9F13CA}"/>
    <cellStyle name="输入 3 6 3 2 3" xfId="8537" xr:uid="{BBCAA10D-1454-46DA-AA0C-31F2C0840FDB}"/>
    <cellStyle name="输入 3 6 3 2 4" xfId="10241" xr:uid="{04D751E3-5C37-4F99-8098-B77E4DC0A2BF}"/>
    <cellStyle name="输入 3 6 3 2 5" xfId="11737" xr:uid="{FDDDCC34-165A-42FF-BEA6-F9083E6B3120}"/>
    <cellStyle name="输入 3 6 3 2 6" xfId="13214" xr:uid="{88BA4F16-5394-4022-8A15-9E89F8C47935}"/>
    <cellStyle name="输入 3 6 3 2 7" xfId="14884" xr:uid="{0451F7E6-26B5-406D-B619-1EF2A46316A8}"/>
    <cellStyle name="输入 3 6 3 2 8" xfId="16554" xr:uid="{4481EBDF-8AD8-43E9-A63C-0064AD781C5C}"/>
    <cellStyle name="输入 3 6 3 3" xfId="6352" xr:uid="{FB77FCEF-E685-4F0A-B20A-98A91ECB12FA}"/>
    <cellStyle name="输入 3 6 3 4" xfId="7591" xr:uid="{8373D170-5F2E-4BEC-954C-A6D7C09B4FE2}"/>
    <cellStyle name="输入 3 6 3 5" xfId="9279" xr:uid="{CD8E9590-F346-4338-BDE5-DE8C96FACFEB}"/>
    <cellStyle name="输入 3 6 3 6" xfId="10979" xr:uid="{928FB485-A12E-437A-A383-FDA767092837}"/>
    <cellStyle name="输入 3 6 3 7" xfId="12270" xr:uid="{90AFF97E-9D7B-4CF1-B528-48CA3B39306C}"/>
    <cellStyle name="输入 3 6 3 8" xfId="13922" xr:uid="{46CCDA69-C2FA-4C40-B73E-FAABA0C4F361}"/>
    <cellStyle name="输入 3 6 3 9" xfId="15610" xr:uid="{893F68A1-3599-43BE-99D5-97722E4036E5}"/>
    <cellStyle name="输入 3 6 4" xfId="4374" xr:uid="{FD8F5B41-0D21-4737-AD52-29F6DF185BEF}"/>
    <cellStyle name="输入 3 6 4 2" xfId="6886" xr:uid="{ECB9202E-DE7A-473D-BD7F-51D2B8CE0EB5}"/>
    <cellStyle name="输入 3 6 4 3" xfId="8293" xr:uid="{6FAABBD3-0767-4B60-853D-9B01219BF5D4}"/>
    <cellStyle name="输入 3 6 4 4" xfId="9991" xr:uid="{7A8BBE53-7813-4E68-A35F-2FA08C738E42}"/>
    <cellStyle name="输入 3 6 4 5" xfId="11505" xr:uid="{DB93210E-B208-4171-A1A0-8E42EEC394F4}"/>
    <cellStyle name="输入 3 6 4 6" xfId="12970" xr:uid="{32F48E4D-F846-4138-87BC-BA709602C364}"/>
    <cellStyle name="输入 3 6 4 7" xfId="14634" xr:uid="{B03E7315-5092-4442-B7DA-80B356BDEFFD}"/>
    <cellStyle name="输入 3 6 4 8" xfId="16310" xr:uid="{0C6E55D0-6EB0-4826-A76F-1B84C70A0ABA}"/>
    <cellStyle name="输入 3 6 5" xfId="6042" xr:uid="{FEE71F46-465B-48D5-84C4-B13ED63E83A6}"/>
    <cellStyle name="输入 3 6 6" xfId="5678" xr:uid="{41615B6F-783D-4E74-BD58-65BCFD192D7C}"/>
    <cellStyle name="输入 3 6 7" xfId="10687" xr:uid="{09E62649-BF58-4B01-B9BD-D1C139889F79}"/>
    <cellStyle name="输入 3 6 8" xfId="5294" xr:uid="{2E886F58-EB2E-4885-9FDF-737805129AE9}"/>
    <cellStyle name="输入 3 6 9" xfId="11261" xr:uid="{38567160-C09A-48F3-BE86-82BFC5195301}"/>
    <cellStyle name="输入 3 7" xfId="3178" xr:uid="{7804DD13-24A5-4502-8B44-5641E3285259}"/>
    <cellStyle name="输入 3 7 10" xfId="5388" xr:uid="{F971456E-A424-4E88-A12B-7E4EE4D7DCEF}"/>
    <cellStyle name="输入 3 7 2" xfId="4058" xr:uid="{4E4CF9F8-063A-4B04-AFC2-F98BA3CDD2D8}"/>
    <cellStyle name="输入 3 7 2 2" xfId="4884" xr:uid="{2D7DCEA4-A157-4918-8189-978BD8873D52}"/>
    <cellStyle name="输入 3 7 2 2 2" xfId="7379" xr:uid="{C1BBE679-2A4F-4B30-AE99-2DACA8349A9E}"/>
    <cellStyle name="输入 3 7 2 2 3" xfId="8791" xr:uid="{B890B4DF-BBAF-4E6C-BCBA-66B64F423598}"/>
    <cellStyle name="输入 3 7 2 2 4" xfId="10501" xr:uid="{CDA5B07F-AB1C-4AC0-90BB-A772153E3A6D}"/>
    <cellStyle name="输入 3 7 2 2 5" xfId="11997" xr:uid="{AB629DA1-F325-48E3-A282-E0DA927E93F6}"/>
    <cellStyle name="输入 3 7 2 2 6" xfId="13468" xr:uid="{F874385B-6452-4E5A-9C20-0A17EE10EF9A}"/>
    <cellStyle name="输入 3 7 2 2 7" xfId="15144" xr:uid="{A4A2FA6E-81B1-496E-A19F-1B44A5E94EDD}"/>
    <cellStyle name="输入 3 7 2 2 8" xfId="16808" xr:uid="{6B9BD5A3-CBDD-47DD-AC32-9E2377B454E3}"/>
    <cellStyle name="输入 3 7 2 3" xfId="6651" xr:uid="{D0B5C662-B5A9-494F-9456-832DEED7CAEE}"/>
    <cellStyle name="输入 3 7 2 4" xfId="7983" xr:uid="{A15EC840-C993-46A6-B31C-95E0045EF7B0}"/>
    <cellStyle name="输入 3 7 2 5" xfId="9677" xr:uid="{1251BF6B-BA27-4F74-A608-6876848A967E}"/>
    <cellStyle name="输入 3 7 2 6" xfId="11278" xr:uid="{3606C5F2-CF15-4D7E-94D3-27D6531D1B80}"/>
    <cellStyle name="输入 3 7 2 7" xfId="12662" xr:uid="{4ACAAD4B-8859-4C2B-8E7C-B7CC515B9D67}"/>
    <cellStyle name="输入 3 7 2 8" xfId="14320" xr:uid="{060D2D5D-77E2-43BE-9209-732414B84102}"/>
    <cellStyle name="输入 3 7 2 9" xfId="16002" xr:uid="{F7CEB323-ABAE-49DC-87E5-AE25765DBD3B}"/>
    <cellStyle name="输入 3 7 3" xfId="3620" xr:uid="{D38164D1-248A-4236-9EA4-89637B666478}"/>
    <cellStyle name="输入 3 7 3 2" xfId="4598" xr:uid="{B50A7633-BE1E-4601-BD18-E227B617B81A}"/>
    <cellStyle name="输入 3 7 3 2 2" xfId="7093" xr:uid="{C6BF0653-56A4-4154-A804-0E3164F93AAF}"/>
    <cellStyle name="输入 3 7 3 2 3" xfId="8511" xr:uid="{D3D95FA6-B492-4068-8F05-103883C43E0D}"/>
    <cellStyle name="输入 3 7 3 2 4" xfId="10215" xr:uid="{5473171A-62D4-40D1-B710-8019B91E7491}"/>
    <cellStyle name="输入 3 7 3 2 5" xfId="11711" xr:uid="{7BAC7683-B635-4CC0-AB2A-16F93D2C54DD}"/>
    <cellStyle name="输入 3 7 3 2 6" xfId="13188" xr:uid="{97300001-9DAA-4A5F-9445-24B5D9B6F02F}"/>
    <cellStyle name="输入 3 7 3 2 7" xfId="14858" xr:uid="{72383CDA-7942-4B5C-8C83-53F95CDA55EA}"/>
    <cellStyle name="输入 3 7 3 2 8" xfId="16528" xr:uid="{2CF10AB4-6B01-49DB-AC5F-28DB98B691F9}"/>
    <cellStyle name="输入 3 7 3 3" xfId="6324" xr:uid="{ADF25A85-781F-4C7D-BB26-1694170ABC83}"/>
    <cellStyle name="输入 3 7 3 4" xfId="7551" xr:uid="{B39AFE43-6CAB-4684-AFBA-D34D608EBC16}"/>
    <cellStyle name="输入 3 7 3 5" xfId="9239" xr:uid="{B9EA23E4-1618-4409-8561-879D9A94BA8A}"/>
    <cellStyle name="输入 3 7 3 6" xfId="10951" xr:uid="{128C80EE-9EE1-40DB-B424-C6372C5D25FC}"/>
    <cellStyle name="输入 3 7 3 7" xfId="12230" xr:uid="{CBC8B2F4-7480-4BC0-8496-8DC52D910247}"/>
    <cellStyle name="输入 3 7 3 8" xfId="13882" xr:uid="{291C268D-DAA7-4203-8F77-8FB9A7DDB663}"/>
    <cellStyle name="输入 3 7 3 9" xfId="15570" xr:uid="{0DBD582F-B697-47D6-AB94-98618D16F864}"/>
    <cellStyle name="输入 3 7 4" xfId="4344" xr:uid="{BD7222AE-F6B8-4DFA-B9DB-BFEAE1896C02}"/>
    <cellStyle name="输入 3 7 4 2" xfId="6862" xr:uid="{567C9E4C-0CAA-486C-8A89-14F06E50432A}"/>
    <cellStyle name="输入 3 7 4 3" xfId="8263" xr:uid="{5B94C6CB-9D2A-49EA-AB01-D0516D6A7D9F}"/>
    <cellStyle name="输入 3 7 4 4" xfId="9961" xr:uid="{67C3CF6E-C80E-4B4C-8FD8-A1D2BF2A3301}"/>
    <cellStyle name="输入 3 7 4 5" xfId="11481" xr:uid="{185B9513-0B28-4136-8A66-CD8CD16DFADE}"/>
    <cellStyle name="输入 3 7 4 6" xfId="12940" xr:uid="{3E8A8F29-00EB-49B0-B228-EFE9630F0B6A}"/>
    <cellStyle name="输入 3 7 4 7" xfId="14604" xr:uid="{AB1217E5-0C96-437E-A1C8-66F4C0630EC1}"/>
    <cellStyle name="输入 3 7 4 8" xfId="16280" xr:uid="{B2250F3B-4CEC-4BC8-9927-2C245F99BFFC}"/>
    <cellStyle name="输入 3 7 5" xfId="6008" xr:uid="{60F9C4F7-5768-4866-9F68-2740F6548914}"/>
    <cellStyle name="输入 3 7 6" xfId="5764" xr:uid="{01B17489-49D3-449D-8191-39CE95D81D67}"/>
    <cellStyle name="输入 3 7 7" xfId="10655" xr:uid="{DA68D528-7204-49A6-959A-095F7BFB67B2}"/>
    <cellStyle name="输入 3 7 8" xfId="5042" xr:uid="{C919F835-8B91-479B-B24E-1A2A57C0AD3C}"/>
    <cellStyle name="输入 3 7 9" xfId="10939" xr:uid="{99B92415-14DD-484A-B23D-AEF2708E719A}"/>
    <cellStyle name="输入 3 8" xfId="3103" xr:uid="{0EC3D025-2E84-4E37-8134-724487EC0B77}"/>
    <cellStyle name="输入 3 8 10" xfId="5734" xr:uid="{FAB844B6-0245-41AF-81F3-A43596B94DE1}"/>
    <cellStyle name="输入 3 8 2" xfId="3983" xr:uid="{498E6FF4-4B36-46EE-B03C-588FED331EA9}"/>
    <cellStyle name="输入 3 8 2 2" xfId="4835" xr:uid="{D8A0A2C2-2708-4391-BFAA-5E1690BD85D6}"/>
    <cellStyle name="输入 3 8 2 2 2" xfId="7330" xr:uid="{D8897EFC-F8A9-4006-B76A-9E39DBD87CC3}"/>
    <cellStyle name="输入 3 8 2 2 3" xfId="8743" xr:uid="{B5B6EFC0-CBB5-411E-A9EB-DF89365BA983}"/>
    <cellStyle name="输入 3 8 2 2 4" xfId="10452" xr:uid="{0ACF9FDD-E306-4C34-B005-C2851EF70679}"/>
    <cellStyle name="输入 3 8 2 2 5" xfId="11948" xr:uid="{7325AF69-0967-416C-AC7D-298156C47412}"/>
    <cellStyle name="输入 3 8 2 2 6" xfId="13420" xr:uid="{98F9C90F-DB1E-49F2-8013-5E2DF233BD69}"/>
    <cellStyle name="输入 3 8 2 2 7" xfId="15095" xr:uid="{EE19480E-53CF-4B8B-B895-C5FED1107AA9}"/>
    <cellStyle name="输入 3 8 2 2 8" xfId="16760" xr:uid="{EC17CE93-6F0C-4B72-8AB3-4B361364956B}"/>
    <cellStyle name="输入 3 8 2 3" xfId="6595" xr:uid="{55FD602D-C07E-4DC1-85D0-650CE8FEF58B}"/>
    <cellStyle name="输入 3 8 2 4" xfId="7909" xr:uid="{6A65EF5A-6604-40A4-8A00-79B4320E5D71}"/>
    <cellStyle name="输入 3 8 2 5" xfId="9602" xr:uid="{056789E1-55D0-4515-9306-A8666D70FCB0}"/>
    <cellStyle name="输入 3 8 2 6" xfId="11222" xr:uid="{434A206D-9F96-4AE8-8092-F2DB22A3A3E6}"/>
    <cellStyle name="输入 3 8 2 7" xfId="12588" xr:uid="{B1D2E4C3-0222-4AD3-B187-02A27CA6740E}"/>
    <cellStyle name="输入 3 8 2 8" xfId="14245" xr:uid="{A3753625-56A7-417D-85FA-AA885CE99254}"/>
    <cellStyle name="输入 3 8 2 9" xfId="15928" xr:uid="{F87931C6-0699-4112-BCC2-91D939DC1020}"/>
    <cellStyle name="输入 3 8 3" xfId="3545" xr:uid="{CD89F758-0BE6-4B9F-AF19-588FEE2E3CC1}"/>
    <cellStyle name="输入 3 8 3 2" xfId="4549" xr:uid="{270A0F77-65DF-455C-BFBE-24F9C3BE1262}"/>
    <cellStyle name="输入 3 8 3 2 2" xfId="7044" xr:uid="{41F7CCE7-133C-4841-8D0B-0E0A01FDB712}"/>
    <cellStyle name="输入 3 8 3 2 3" xfId="8463" xr:uid="{429ECD92-76E7-4951-B812-E02DCB21BC61}"/>
    <cellStyle name="输入 3 8 3 2 4" xfId="10166" xr:uid="{92E63367-6345-487C-9554-B19C3BFDADEE}"/>
    <cellStyle name="输入 3 8 3 2 5" xfId="11662" xr:uid="{501FA34E-F3B3-45EA-80A1-00447B9D9045}"/>
    <cellStyle name="输入 3 8 3 2 6" xfId="13140" xr:uid="{8D61D4DD-C85A-42D0-9BF6-8F29F7FDB13B}"/>
    <cellStyle name="输入 3 8 3 2 7" xfId="14809" xr:uid="{ABAD108E-E27F-4D8B-A170-2D32D130D854}"/>
    <cellStyle name="输入 3 8 3 2 8" xfId="16480" xr:uid="{DADA76E8-A542-4D26-B3B8-6916CE95513B}"/>
    <cellStyle name="输入 3 8 3 3" xfId="6265" xr:uid="{C63C0A68-5F6B-4F3C-98B9-5B039B808837}"/>
    <cellStyle name="输入 3 8 3 4" xfId="5126" xr:uid="{E6C93DBE-0D74-480A-BA18-E569C1A20950}"/>
    <cellStyle name="输入 3 8 3 5" xfId="9164" xr:uid="{865231CC-EBE2-4D5B-800F-C90D291666DF}"/>
    <cellStyle name="输入 3 8 3 6" xfId="10895" xr:uid="{8420E0A4-23BD-41AE-A9BF-AE1F63B3966A}"/>
    <cellStyle name="输入 3 8 3 7" xfId="12156" xr:uid="{32D36CB6-DDF7-4A0E-A826-D52964905D28}"/>
    <cellStyle name="输入 3 8 3 8" xfId="13807" xr:uid="{D56EB698-C733-4C6F-A262-AA7ADEE0910D}"/>
    <cellStyle name="输入 3 8 3 9" xfId="15496" xr:uid="{49E305F3-DA8B-4FEB-8ED4-238123AB7566}"/>
    <cellStyle name="输入 3 8 4" xfId="4324" xr:uid="{1FD5CAD2-42DE-4230-BEB7-ED5D6F1CAAED}"/>
    <cellStyle name="输入 3 8 4 2" xfId="6847" xr:uid="{D26BC0EB-B9A7-4B6D-8817-1C72A2370478}"/>
    <cellStyle name="输入 3 8 4 3" xfId="8244" xr:uid="{62BB02C5-4C7A-4AA9-A8A1-E7F25D77CAA3}"/>
    <cellStyle name="输入 3 8 4 4" xfId="9941" xr:uid="{DD24FCF7-3053-49A7-A70E-500F46E59742}"/>
    <cellStyle name="输入 3 8 4 5" xfId="11466" xr:uid="{E0A71C56-6811-4107-BA6B-71527963D2AD}"/>
    <cellStyle name="输入 3 8 4 6" xfId="12921" xr:uid="{5A3EB850-C907-43CF-9F1E-3A61D86FB374}"/>
    <cellStyle name="输入 3 8 4 7" xfId="14584" xr:uid="{967DBCF3-D2B7-4064-9C09-1B7D3D43BBD2}"/>
    <cellStyle name="输入 3 8 4 8" xfId="16261" xr:uid="{AC4CAE45-9462-43A7-8AC1-2D90AE4F5FAF}"/>
    <cellStyle name="输入 3 8 5" xfId="5970" xr:uid="{DD89B935-C357-4B54-8AFE-DB46DB8782F0}"/>
    <cellStyle name="输入 3 8 6" xfId="5598" xr:uid="{E23BE49A-45B7-466E-BAAB-DEF2BB4EA7DD}"/>
    <cellStyle name="输入 3 8 7" xfId="6496" xr:uid="{CFABE023-E24C-4187-96B8-59AA6C332BF5}"/>
    <cellStyle name="输入 3 8 8" xfId="5282" xr:uid="{0300F0C1-EF82-4523-9222-C8214D1E50C4}"/>
    <cellStyle name="输入 3 8 9" xfId="5989" xr:uid="{213D8D3C-4FC5-44F0-8470-D86F34706E65}"/>
    <cellStyle name="输入 3 9" xfId="3852" xr:uid="{085F0B43-8FE3-464E-A24D-B4D9FB54BC41}"/>
    <cellStyle name="输入 3 9 2" xfId="4748" xr:uid="{93E24602-138A-403D-8CDB-872282323DF1}"/>
    <cellStyle name="输入 3 9 2 2" xfId="7243" xr:uid="{361A5294-C4E7-4834-9B1C-8919FC45C0D5}"/>
    <cellStyle name="输入 3 9 2 3" xfId="8659" xr:uid="{13AA9F77-F1BF-4DC4-9311-15F9F224648F}"/>
    <cellStyle name="输入 3 9 2 4" xfId="10365" xr:uid="{B2869CC1-1043-41FE-AB65-D18CA186D299}"/>
    <cellStyle name="输入 3 9 2 5" xfId="11861" xr:uid="{66847734-07C1-404C-8544-594F9C3B4C49}"/>
    <cellStyle name="输入 3 9 2 6" xfId="13336" xr:uid="{A6710967-3D40-4699-A4A7-BC5A9B46222B}"/>
    <cellStyle name="输入 3 9 2 7" xfId="15008" xr:uid="{39FF881D-87C5-4092-AD57-E0D4615E08AC}"/>
    <cellStyle name="输入 3 9 2 8" xfId="16676" xr:uid="{DCA841DC-443C-4410-93BA-FB8A11A6E08B}"/>
    <cellStyle name="输入 3 9 3" xfId="6495" xr:uid="{04AD9A74-BE4B-49CE-BF83-A3C737B9BA39}"/>
    <cellStyle name="输入 3 9 4" xfId="7781" xr:uid="{3D9E1A35-BEAB-4D71-918E-41DAA49A1502}"/>
    <cellStyle name="输入 3 9 5" xfId="9471" xr:uid="{54EB44B2-8135-4512-A026-6D44A758A0BF}"/>
    <cellStyle name="输入 3 9 6" xfId="11125" xr:uid="{BABE11B0-42AC-4062-A02A-44A61C054A37}"/>
    <cellStyle name="输入 3 9 7" xfId="12460" xr:uid="{14CE6E1B-D233-4BF9-9E51-A3E76FDBE0BD}"/>
    <cellStyle name="输入 3 9 8" xfId="14114" xr:uid="{803641AC-E4B1-4F93-AE2A-A00FE7C9F1EE}"/>
    <cellStyle name="输入 3 9 9" xfId="15800" xr:uid="{1E927C02-558A-449F-96B7-7DEF936A3510}"/>
    <cellStyle name="输入 4" xfId="3086" xr:uid="{F02200BD-9DC4-4450-A795-47BEB0588388}"/>
    <cellStyle name="输入 4 2" xfId="3966" xr:uid="{BC1A717E-8BFF-4544-8D89-52A34F8CA9B8}"/>
    <cellStyle name="输入 4 2 2" xfId="4824" xr:uid="{ED9EB6B3-A097-4A5D-841F-68D19B400293}"/>
    <cellStyle name="输入 4 2 2 2" xfId="7319" xr:uid="{627426D6-9E5E-4C42-A8E7-A9A652A77775}"/>
    <cellStyle name="输入 4 2 2 3" xfId="8732" xr:uid="{BB3B9106-4723-42D6-B847-9B1FE1822AF6}"/>
    <cellStyle name="输入 4 2 2 4" xfId="10441" xr:uid="{7CC3F8B8-FA9F-4957-A95A-1AEC37E20206}"/>
    <cellStyle name="输入 4 2 2 5" xfId="11937" xr:uid="{B2ED86EF-3DFB-4B70-9FBC-5E1E51D764AA}"/>
    <cellStyle name="输入 4 2 2 6" xfId="13409" xr:uid="{3C382273-63DD-4E22-9F51-1FCC435220E6}"/>
    <cellStyle name="输入 4 2 2 7" xfId="15084" xr:uid="{722D526E-161B-4135-890E-598D083D3AE7}"/>
    <cellStyle name="输入 4 2 2 8" xfId="16749" xr:uid="{23F2073E-1E57-4F1D-A113-84661FE852DE}"/>
    <cellStyle name="输入 4 2 3" xfId="6582" xr:uid="{3C8E8FC3-83A1-4238-9202-F33B386D0FF1}"/>
    <cellStyle name="输入 4 2 4" xfId="7892" xr:uid="{C4FAFD9D-71E7-4C46-BBF2-ADB2F7EAFC22}"/>
    <cellStyle name="输入 4 2 5" xfId="9585" xr:uid="{14B9C11D-0D1E-4B13-A190-727D505A5BE7}"/>
    <cellStyle name="输入 4 2 6" xfId="11211" xr:uid="{9CBA3A96-52AD-48D8-B4CE-8E4E9B6E5DE6}"/>
    <cellStyle name="输入 4 2 7" xfId="12571" xr:uid="{F906B2D1-90B0-412E-852B-943350490B42}"/>
    <cellStyle name="输入 4 2 8" xfId="14228" xr:uid="{C9B0D47E-286C-493A-B0BB-E91F2786B184}"/>
    <cellStyle name="输入 4 2 9" xfId="15911" xr:uid="{06784508-7B9D-499C-9FC0-A8A074F07343}"/>
    <cellStyle name="输入 4 3" xfId="3528" xr:uid="{47D1CB62-23F4-4BD1-8C95-20E6B5B040AA}"/>
    <cellStyle name="输入 4 3 2" xfId="4538" xr:uid="{200F8C00-E7A9-4304-A6A8-E1510345493D}"/>
    <cellStyle name="输入 4 3 2 2" xfId="7033" xr:uid="{5D0ACF6B-611E-4678-9170-2F0BB91B7D0B}"/>
    <cellStyle name="输入 4 3 2 3" xfId="8452" xr:uid="{EEBAE3B1-5D3C-40F2-B35F-4345EE2FBD72}"/>
    <cellStyle name="输入 4 3 2 4" xfId="10155" xr:uid="{0BB5AAEA-40D0-44F0-9D16-B8B35A4B1A7B}"/>
    <cellStyle name="输入 4 3 2 5" xfId="11651" xr:uid="{400EBF62-49F1-441A-AF32-23C494666E41}"/>
    <cellStyle name="输入 4 3 2 6" xfId="13129" xr:uid="{A6918AC0-EEF0-4DBB-86BE-D8418D8A2ADC}"/>
    <cellStyle name="输入 4 3 2 7" xfId="14798" xr:uid="{EBA60302-EE83-4417-A722-A29E337BBA60}"/>
    <cellStyle name="输入 4 3 2 8" xfId="16469" xr:uid="{6763B14F-F84B-4017-BB29-19A5255C14AF}"/>
    <cellStyle name="输入 4 3 3" xfId="6251" xr:uid="{6C75A290-C888-415F-94C5-2895873ABF1E}"/>
    <cellStyle name="输入 4 3 4" xfId="5536" xr:uid="{4F5648FB-8596-4F63-AB47-12FA66BCBD3F}"/>
    <cellStyle name="输入 4 3 5" xfId="9147" xr:uid="{8E0ED591-442D-4F0D-9B6D-102C81A244BD}"/>
    <cellStyle name="输入 4 3 6" xfId="10882" xr:uid="{68427265-AC87-4A75-A50A-E2E6C58E2F13}"/>
    <cellStyle name="输入 4 3 7" xfId="12139" xr:uid="{325889F5-C81A-4D9A-AB0A-E17CDADA6246}"/>
    <cellStyle name="输入 4 3 8" xfId="13790" xr:uid="{2AAAA652-FD59-416B-B8C7-0EF7B97A1AFB}"/>
    <cellStyle name="输入 4 3 9" xfId="15479" xr:uid="{EA850FAE-2D9B-42BB-B3F6-64773EAD1D96}"/>
    <cellStyle name="输入 4 4" xfId="5638" xr:uid="{5988751D-E332-4665-9049-5EB78FC91180}"/>
    <cellStyle name="输入 5" xfId="3019" xr:uid="{D8460671-BB43-4A83-87A1-19AA67040096}"/>
    <cellStyle name="输入 5 10" xfId="5447" xr:uid="{A615B5F5-7A35-4B57-AFE5-5A3DC617CCEC}"/>
    <cellStyle name="输入 5 2" xfId="3899" xr:uid="{01BD16AB-12D8-4D72-9389-AF149B194C9D}"/>
    <cellStyle name="输入 5 2 2" xfId="4778" xr:uid="{027492B2-3F62-4D43-9AFB-D30C64E1640B}"/>
    <cellStyle name="输入 5 2 2 2" xfId="7273" xr:uid="{02A463EE-BA0D-438E-8800-83F4C623171E}"/>
    <cellStyle name="输入 5 2 2 3" xfId="8688" xr:uid="{87819E80-52C1-4D22-8D98-08BCDBE02ECA}"/>
    <cellStyle name="输入 5 2 2 4" xfId="10395" xr:uid="{7DF1B62D-67C9-4F22-A1FD-1E369825BBEE}"/>
    <cellStyle name="输入 5 2 2 5" xfId="11891" xr:uid="{E241C6D0-771B-44CB-9E0D-BB97D4188337}"/>
    <cellStyle name="输入 5 2 2 6" xfId="13365" xr:uid="{E2FB580F-539B-4849-8E01-28BE8D5A8258}"/>
    <cellStyle name="输入 5 2 2 7" xfId="15038" xr:uid="{FE1635FE-3CE0-481F-85A8-F164E4DA1EC8}"/>
    <cellStyle name="输入 5 2 2 8" xfId="16705" xr:uid="{89C429CA-7C55-445A-B091-8B0F9CC9365D}"/>
    <cellStyle name="输入 5 2 3" xfId="6532" xr:uid="{3A85A1E0-66EC-4D61-99D3-A83449B56C85}"/>
    <cellStyle name="输入 5 2 4" xfId="7827" xr:uid="{7F54B678-7969-4E7E-B336-C8A97521A379}"/>
    <cellStyle name="输入 5 2 5" xfId="9518" xr:uid="{3D8C8D41-1328-458F-9EC7-B7BB6EE89AF7}"/>
    <cellStyle name="输入 5 2 6" xfId="11163" xr:uid="{BFE1BC9A-CC2E-4EA3-A402-3A9704063295}"/>
    <cellStyle name="输入 5 2 7" xfId="12506" xr:uid="{7D30468C-BCBC-4181-9C7F-78D2B7A99006}"/>
    <cellStyle name="输入 5 2 8" xfId="14161" xr:uid="{FCA89CCE-3910-453F-8CB0-B0251BFF3466}"/>
    <cellStyle name="输入 5 2 9" xfId="15846" xr:uid="{84B3F15A-5118-4DDE-84C9-49B4DBC036EA}"/>
    <cellStyle name="输入 5 3" xfId="3461" xr:uid="{FF6311B3-2993-4954-A9E0-76582FBD58F5}"/>
    <cellStyle name="输入 5 3 2" xfId="4492" xr:uid="{3EC81724-DE1C-4152-911A-CF32572C4785}"/>
    <cellStyle name="输入 5 3 2 2" xfId="6987" xr:uid="{2FD80C2F-6E76-4342-A05C-28AD80912817}"/>
    <cellStyle name="输入 5 3 2 3" xfId="8408" xr:uid="{CB2F764D-BA17-4750-87D1-4C19389F75B8}"/>
    <cellStyle name="输入 5 3 2 4" xfId="10109" xr:uid="{263449D0-113C-4F9E-A59C-B44C55CA98A9}"/>
    <cellStyle name="输入 5 3 2 5" xfId="11605" xr:uid="{BA7B0BB5-709D-4B59-83A4-6409FDC6208F}"/>
    <cellStyle name="输入 5 3 2 6" xfId="13085" xr:uid="{AA66FFA2-EF60-4727-B51A-A02D1C961E7E}"/>
    <cellStyle name="输入 5 3 2 7" xfId="14752" xr:uid="{A79FA8D5-DEEF-47A9-85AB-75CF9CF0EE5D}"/>
    <cellStyle name="输入 5 3 2 8" xfId="16425" xr:uid="{6E542D4E-2961-428F-880D-10BF20A58664}"/>
    <cellStyle name="输入 5 3 3" xfId="6200" xr:uid="{B609ADBF-0D55-45F9-A1DD-15456165D7DA}"/>
    <cellStyle name="输入 5 3 4" xfId="5185" xr:uid="{B9C61058-1315-46E9-B8C2-640D26A2E5D5}"/>
    <cellStyle name="输入 5 3 5" xfId="9080" xr:uid="{A70D4DF4-C783-4C83-9AE7-8C0E26793B50}"/>
    <cellStyle name="输入 5 3 6" xfId="10834" xr:uid="{70BB2ED3-6F0B-46F2-A6D3-D9EE5D6233FA}"/>
    <cellStyle name="输入 5 3 7" xfId="6097" xr:uid="{1BC017BC-EF73-453A-9524-80AF48156B83}"/>
    <cellStyle name="输入 5 3 8" xfId="13723" xr:uid="{C7961B44-8B63-4199-A7AB-14895F122B63}"/>
    <cellStyle name="输入 5 3 9" xfId="15414" xr:uid="{8538FA7A-1F5B-4959-ACB2-08178A58907B}"/>
    <cellStyle name="输入 5 4" xfId="4274" xr:uid="{08F4DC76-BCE4-469F-8A7E-C3EB11AC1B3A}"/>
    <cellStyle name="输入 5 4 2" xfId="6808" xr:uid="{DCFA9498-B496-4096-B930-72E6600ED103}"/>
    <cellStyle name="输入 5 4 3" xfId="8196" xr:uid="{3C931A57-4F70-42EE-8341-0EF0662B17DE}"/>
    <cellStyle name="输入 5 4 4" xfId="9891" xr:uid="{A784FA4A-5D01-44DA-A6B8-233C01D435B7}"/>
    <cellStyle name="输入 5 4 5" xfId="11428" xr:uid="{FF8EEB30-4618-4429-8FA2-DAAA2C80B3AF}"/>
    <cellStyle name="输入 5 4 6" xfId="12873" xr:uid="{B7572F97-804B-49DC-AEA1-B27E87642919}"/>
    <cellStyle name="输入 5 4 7" xfId="14534" xr:uid="{98ECC11F-E64B-4729-8EB9-44518D7A9C73}"/>
    <cellStyle name="输入 5 4 8" xfId="16213" xr:uid="{B210D126-DC76-430C-9515-7298CC7525DE}"/>
    <cellStyle name="输入 5 5" xfId="5908" xr:uid="{05FD56A8-7220-4A69-9A97-90A715A8D159}"/>
    <cellStyle name="输入 5 6" xfId="5694" xr:uid="{C0484DF8-6CD7-4F2D-A307-2DE259992996}"/>
    <cellStyle name="输入 5 7" xfId="5611" xr:uid="{4068B2EE-CF16-44B9-A432-319C26B2D48B}"/>
    <cellStyle name="输入 5 8" xfId="5423" xr:uid="{62D9A1E5-495D-48DE-ADAC-C830475321D0}"/>
    <cellStyle name="输入 5 9" xfId="11103" xr:uid="{01FD8309-5970-42CA-BF04-6B8057183E68}"/>
    <cellStyle name="输入 6" xfId="3210" xr:uid="{8B102AF4-A9B7-42CC-9E77-40D2C9F3649A}"/>
    <cellStyle name="输入 6 10" xfId="11327" xr:uid="{61363395-BA03-45B0-8AE0-C5569CA9E66C}"/>
    <cellStyle name="输入 6 2" xfId="4090" xr:uid="{F0DC6027-9303-426F-8C14-8693F2153FBE}"/>
    <cellStyle name="输入 6 2 2" xfId="4905" xr:uid="{E9CCAE0B-41C1-49A0-AE28-0CCB94C6C660}"/>
    <cellStyle name="输入 6 2 2 2" xfId="7400" xr:uid="{25BAA011-1EB0-4AA9-BAA1-CDDC86C8D388}"/>
    <cellStyle name="输入 6 2 2 3" xfId="8812" xr:uid="{AD84A99D-BA65-4CA9-BB8D-CCF369DB9CD4}"/>
    <cellStyle name="输入 6 2 2 4" xfId="10522" xr:uid="{122A8902-5F64-4740-A74B-642570B28D84}"/>
    <cellStyle name="输入 6 2 2 5" xfId="12018" xr:uid="{0EAB9B7D-953B-4059-A935-A4455337612A}"/>
    <cellStyle name="输入 6 2 2 6" xfId="13489" xr:uid="{E0C1C862-32AD-4C5B-8477-E942A8F5A9C9}"/>
    <cellStyle name="输入 6 2 2 7" xfId="15165" xr:uid="{B64D53A9-329F-4C22-8557-FC9C1B013DD1}"/>
    <cellStyle name="输入 6 2 2 8" xfId="16829" xr:uid="{8FACFB06-7783-4CDB-8361-5C1E309B962A}"/>
    <cellStyle name="输入 6 2 3" xfId="6673" xr:uid="{B4F774E0-49FC-4B6D-9F45-9225C52BE031}"/>
    <cellStyle name="输入 6 2 4" xfId="8015" xr:uid="{B43AB79C-AF1C-43A5-A6CF-CDC373181319}"/>
    <cellStyle name="输入 6 2 5" xfId="9709" xr:uid="{A53F598F-B4F2-4BF5-B408-40FFA21C565C}"/>
    <cellStyle name="输入 6 2 6" xfId="11301" xr:uid="{4BF58D8C-88B3-4843-BE8E-38CE7AC8EB5A}"/>
    <cellStyle name="输入 6 2 7" xfId="12694" xr:uid="{1258E654-C883-4CBC-9225-1035B79B5B30}"/>
    <cellStyle name="输入 6 2 8" xfId="14352" xr:uid="{4DD5DB1B-DA04-4C77-9466-F385E37F2D05}"/>
    <cellStyle name="输入 6 2 9" xfId="16034" xr:uid="{E63D52F2-5D4D-48C4-B05B-46D62938ACE9}"/>
    <cellStyle name="输入 6 3" xfId="3652" xr:uid="{59B46336-E6C7-4CC1-8FE5-C7D6578EAB6C}"/>
    <cellStyle name="输入 6 3 2" xfId="4619" xr:uid="{A8907B30-FCC6-4A8C-845F-5E030D99D695}"/>
    <cellStyle name="输入 6 3 2 2" xfId="7114" xr:uid="{CE76D3B1-D01D-4905-8B23-88DFB03BE213}"/>
    <cellStyle name="输入 6 3 2 3" xfId="8532" xr:uid="{125B96CB-E0B5-4028-9E95-32EB1D66318E}"/>
    <cellStyle name="输入 6 3 2 4" xfId="10236" xr:uid="{0E4877C7-703F-46AA-934F-EBBEDF2BE3BC}"/>
    <cellStyle name="输入 6 3 2 5" xfId="11732" xr:uid="{4CFF265F-1A29-425C-85E3-66F2E2AD74BE}"/>
    <cellStyle name="输入 6 3 2 6" xfId="13209" xr:uid="{4960A3A6-D854-4E61-8266-88627B2DCD8E}"/>
    <cellStyle name="输入 6 3 2 7" xfId="14879" xr:uid="{F11A18CE-1D21-4E26-9EAE-139127B68294}"/>
    <cellStyle name="输入 6 3 2 8" xfId="16549" xr:uid="{98F2BED1-50FF-4977-9CB9-F3CF3CC7D25A}"/>
    <cellStyle name="输入 6 3 3" xfId="6346" xr:uid="{819235D3-A790-453E-976C-5EE393D5C332}"/>
    <cellStyle name="输入 6 3 4" xfId="7583" xr:uid="{A279B1F1-D880-498B-9BA7-696B301928A7}"/>
    <cellStyle name="输入 6 3 5" xfId="9271" xr:uid="{9FB34E25-3ED0-4E76-8F07-9E7106033B87}"/>
    <cellStyle name="输入 6 3 6" xfId="10973" xr:uid="{317626BA-8B22-4C1B-ABE0-E97328E79509}"/>
    <cellStyle name="输入 6 3 7" xfId="12262" xr:uid="{28B69758-9862-4ADC-9748-5E319185D483}"/>
    <cellStyle name="输入 6 3 8" xfId="13914" xr:uid="{A7A13231-69CC-455E-B7B5-28648F8EF56A}"/>
    <cellStyle name="输入 6 3 9" xfId="15602" xr:uid="{57120732-C084-4BA8-BC7F-CF7C1EDCCD44}"/>
    <cellStyle name="输入 6 4" xfId="4368" xr:uid="{7E60D736-9F0F-4504-B6F8-65A1FEE3C4A3}"/>
    <cellStyle name="输入 6 4 2" xfId="6881" xr:uid="{22004D2C-0340-4002-83AC-B9C2B4B1CBA2}"/>
    <cellStyle name="输入 6 4 3" xfId="8287" xr:uid="{25053F68-4DDF-45F5-85D5-6136E414564C}"/>
    <cellStyle name="输入 6 4 4" xfId="9985" xr:uid="{CBA023AC-B521-4B08-9ECE-F3AA862E8EB3}"/>
    <cellStyle name="输入 6 4 5" xfId="11500" xr:uid="{3D84C65F-0734-4A57-9E50-F081BE76FF14}"/>
    <cellStyle name="输入 6 4 6" xfId="12964" xr:uid="{59B1A744-1839-4209-9AEA-2796F970875D}"/>
    <cellStyle name="输入 6 4 7" xfId="14628" xr:uid="{E82ED334-13C8-4616-95EF-69CF968708F1}"/>
    <cellStyle name="输入 6 4 8" xfId="16304" xr:uid="{6E677AAA-16EE-400B-B7C5-2551D1F78CB7}"/>
    <cellStyle name="输入 6 5" xfId="6035" xr:uid="{27184F2B-E797-4FAB-8A7A-1FCD04E79B78}"/>
    <cellStyle name="输入 6 6" xfId="5583" xr:uid="{191FFD7F-BA58-4955-85F4-CF750A30A47C}"/>
    <cellStyle name="输入 6 7" xfId="10680" xr:uid="{783F998B-6D78-4C1D-B8C8-FCDB5502187D}"/>
    <cellStyle name="输入 6 8" xfId="5293" xr:uid="{87BEA727-F62F-4CD8-9E42-089A627D4F8D}"/>
    <cellStyle name="输入 6 9" xfId="11106" xr:uid="{F49B57D2-63E6-4333-8279-EBC2C30C0305}"/>
    <cellStyle name="输入 7" xfId="3834" xr:uid="{60BEB74F-C5D7-4206-A5B8-F163243D86CD}"/>
    <cellStyle name="输入 7 2" xfId="4734" xr:uid="{D3841545-3E9C-4CDA-A36B-8614091EE12F}"/>
    <cellStyle name="输入 7 2 2" xfId="7229" xr:uid="{869172B1-16EB-48D6-AF84-99FB6C2007E3}"/>
    <cellStyle name="输入 7 2 3" xfId="8645" xr:uid="{A6E8DCDA-8D71-43A7-B713-586325E324B0}"/>
    <cellStyle name="输入 7 2 4" xfId="10351" xr:uid="{56783156-FCBF-4C76-87D5-FEE4D68837C2}"/>
    <cellStyle name="输入 7 2 5" xfId="11847" xr:uid="{DD2C4C38-5C21-4ECD-A8A6-FE25BEA95D3C}"/>
    <cellStyle name="输入 7 2 6" xfId="13322" xr:uid="{066330B2-78D7-4AE7-A079-54231F6F805E}"/>
    <cellStyle name="输入 7 2 7" xfId="14994" xr:uid="{50365945-5BC1-41DF-AB34-F2C98D84E761}"/>
    <cellStyle name="输入 7 2 8" xfId="16662" xr:uid="{9CE3EF6E-888D-44DF-83E4-9941365FE0A2}"/>
    <cellStyle name="输入 7 3" xfId="6480" xr:uid="{B9F0868C-617E-4C2A-92FE-A3F50EC960F0}"/>
    <cellStyle name="输入 7 4" xfId="7763" xr:uid="{FB2DF212-9BB2-4191-BE96-A535501BFD44}"/>
    <cellStyle name="输入 7 5" xfId="9453" xr:uid="{0BB0AD00-0EB0-40D8-BDFA-08ED376845E1}"/>
    <cellStyle name="输入 7 6" xfId="11111" xr:uid="{055C4291-35F7-4765-B395-E896C3C4D7AA}"/>
    <cellStyle name="输入 7 7" xfId="12442" xr:uid="{43105E36-019E-4F61-B6EC-1C83C3412720}"/>
    <cellStyle name="输入 7 8" xfId="14096" xr:uid="{9D4C3FB5-049C-4F2F-A0C1-992DB0ECA100}"/>
    <cellStyle name="输入 7 9" xfId="15782" xr:uid="{767FF7DA-B4D1-419E-9657-3E3751C78EA6}"/>
    <cellStyle name="输入 8" xfId="3397" xr:uid="{5A5BDEB5-C142-440A-AE32-186B9DF58965}"/>
    <cellStyle name="输入 8 2" xfId="4449" xr:uid="{DD635DAE-72AA-4C99-AD46-0CAF0C4FA352}"/>
    <cellStyle name="输入 8 2 2" xfId="6944" xr:uid="{60CB78A6-C7AC-4197-949D-E2AC1489A370}"/>
    <cellStyle name="输入 8 2 3" xfId="8365" xr:uid="{F55DDA94-8439-41D0-ADED-218CC8567ABD}"/>
    <cellStyle name="输入 8 2 4" xfId="10066" xr:uid="{9BC09B4A-72B7-420A-A625-C658E9D77B9A}"/>
    <cellStyle name="输入 8 2 5" xfId="11562" xr:uid="{D7DE9D81-25D1-4D75-A082-AB3AECB874BA}"/>
    <cellStyle name="输入 8 2 6" xfId="13042" xr:uid="{7950681A-CD5C-4D76-88F2-87CEBD3E679D}"/>
    <cellStyle name="输入 8 2 7" xfId="14709" xr:uid="{DDE937D0-5CB1-408C-9A14-3AF7A5338508}"/>
    <cellStyle name="输入 8 2 8" xfId="16382" xr:uid="{D850A883-B14B-490A-85A9-53BFB739EBEF}"/>
    <cellStyle name="输入 8 3" xfId="6151" xr:uid="{F839FE46-F0A3-4EF5-97D2-36C609EDDD9F}"/>
    <cellStyle name="输入 8 4" xfId="5988" xr:uid="{E5697703-9984-4DD7-A330-3E1800C00E9A}"/>
    <cellStyle name="输入 8 5" xfId="9016" xr:uid="{AF9F76D5-D8F1-4961-8A66-C79752E4AD37}"/>
    <cellStyle name="输入 8 6" xfId="10783" xr:uid="{FFFCE80A-F0B4-47A2-8FEF-5AA119A7EE24}"/>
    <cellStyle name="输入 8 7" xfId="5217" xr:uid="{D77A48C6-AC4C-4FB0-A63C-B40E53CB0783}"/>
    <cellStyle name="输入 8 8" xfId="13659" xr:uid="{AEC01A0D-C51F-487C-B9DC-13222334843B}"/>
    <cellStyle name="输入 8 9" xfId="15350" xr:uid="{76FA96B5-C420-43F9-8AE7-CFCC77F8D95C}"/>
    <cellStyle name="输入 9" xfId="5218" xr:uid="{E5C0596A-4E0B-4383-BC91-FBDA9655268C}"/>
    <cellStyle name="输出" xfId="239" xr:uid="{3EEE10E0-D7E6-4ECE-BBD5-D1B44F872F02}"/>
    <cellStyle name="输出 10" xfId="5486" xr:uid="{CBFAFEBF-678A-4232-86FE-89C27260668F}"/>
    <cellStyle name="输出 11" xfId="17340" xr:uid="{636CC8C7-3330-4C64-854B-764FD0A62984}"/>
    <cellStyle name="输出 2" xfId="2989" xr:uid="{041589BD-EFDC-44D5-8C40-DBD5C33A60C4}"/>
    <cellStyle name="输出 2 10" xfId="3872" xr:uid="{138D9AE7-E4E3-4456-AD1F-E07424647579}"/>
    <cellStyle name="输出 2 10 2" xfId="7800" xr:uid="{F4E47381-3B21-4CDB-B9DB-AE307B96A01D}"/>
    <cellStyle name="输出 2 10 3" xfId="9491" xr:uid="{8F8600F2-BD36-4086-90B0-78B725FB9349}"/>
    <cellStyle name="输出 2 10 4" xfId="12479" xr:uid="{36E38421-848A-44AA-B5B3-132EE6DDCAE1}"/>
    <cellStyle name="输出 2 10 5" xfId="14134" xr:uid="{07FBD7C1-F5C1-4CC3-9624-1C0C54895352}"/>
    <cellStyle name="输出 2 10 6" xfId="15819" xr:uid="{F5BEC3CF-B4BF-429B-904D-EFA46738882C}"/>
    <cellStyle name="输出 2 11" xfId="3434" xr:uid="{DF0DFA03-9E6C-46B0-AEC9-B5E597293225}"/>
    <cellStyle name="输出 2 11 2" xfId="5206" xr:uid="{5C057A70-33ED-45DC-8994-BAA6EB596F58}"/>
    <cellStyle name="输出 2 11 3" xfId="9053" xr:uid="{E35B9939-F019-49E6-A31F-83A94288F2F6}"/>
    <cellStyle name="输出 2 11 4" xfId="5544" xr:uid="{FA32176A-AE32-4A97-B1F0-C8666E811385}"/>
    <cellStyle name="输出 2 11 5" xfId="13696" xr:uid="{757D79F5-863F-4BF2-A072-FB96B08C92D8}"/>
    <cellStyle name="输出 2 11 6" xfId="15387" xr:uid="{E238730F-6D5E-4DF5-BA25-300410715E82}"/>
    <cellStyle name="输出 2 12" xfId="5828" xr:uid="{B4B43633-F603-4B0A-BE73-4B61369AF4FA}"/>
    <cellStyle name="输出 2 13" xfId="5952" xr:uid="{C59003B0-C0E2-4ED3-A662-529BD857B05C}"/>
    <cellStyle name="输出 2 2" xfId="3010" xr:uid="{D65D0357-F18C-4DEC-B280-4391F8A5E04B}"/>
    <cellStyle name="输出 2 2 10" xfId="3890" xr:uid="{435A43A9-5D04-4548-81D4-49C28E5EE227}"/>
    <cellStyle name="输出 2 2 10 2" xfId="7818" xr:uid="{97C76BFA-78B5-41A5-BCA2-4D1C00DB35B9}"/>
    <cellStyle name="输出 2 2 10 3" xfId="9509" xr:uid="{AF181359-799D-46DD-9A94-EA435809B77F}"/>
    <cellStyle name="输出 2 2 10 4" xfId="12497" xr:uid="{5B69740B-80BF-4605-A1D5-7148156BCBDA}"/>
    <cellStyle name="输出 2 2 10 5" xfId="14152" xr:uid="{3E1FD02A-BCE6-4204-B6BD-6B7291FB3F2B}"/>
    <cellStyle name="输出 2 2 10 6" xfId="15837" xr:uid="{4D00DF9A-7F1F-44D1-A2BC-43EA3D203674}"/>
    <cellStyle name="输出 2 2 11" xfId="3452" xr:uid="{7183FEE0-1B30-4940-BCDC-32ACAF4D6A46}"/>
    <cellStyle name="输出 2 2 11 2" xfId="5073" xr:uid="{734C8C2D-3955-484E-81F5-8837C751A438}"/>
    <cellStyle name="输出 2 2 11 3" xfId="9071" xr:uid="{E42B5C79-7831-4AA2-8D20-98ADE5EB55C6}"/>
    <cellStyle name="输出 2 2 11 4" xfId="5503" xr:uid="{728A0E43-D551-4505-B06E-3E3A79F61879}"/>
    <cellStyle name="输出 2 2 11 5" xfId="13714" xr:uid="{32C9135D-179F-42BB-9AB5-0D6EF4BCEDCF}"/>
    <cellStyle name="输出 2 2 11 6" xfId="15405" xr:uid="{9C4BBF3D-541A-4F34-8D85-11D61F7C11D5}"/>
    <cellStyle name="输出 2 2 12" xfId="5810" xr:uid="{7C0A5CDC-DB2F-4431-9EDF-8C9AF4DBCFA6}"/>
    <cellStyle name="输出 2 2 13" xfId="5084" xr:uid="{8A6BCBB8-A6AB-44A7-B024-465B3160F9C1}"/>
    <cellStyle name="输出 2 2 2" xfId="3074" xr:uid="{DB8D814E-E358-4E8B-804C-46C99E4BCC30}"/>
    <cellStyle name="输出 2 2 2 2" xfId="3954" xr:uid="{20CA25E3-D6A3-403C-8301-CC78E41FE8FB}"/>
    <cellStyle name="输出 2 2 2 2 2" xfId="7881" xr:uid="{C86AE6F6-F535-4EE6-A072-E2B45A4B921E}"/>
    <cellStyle name="输出 2 2 2 2 3" xfId="9573" xr:uid="{CA3FCE19-CD5B-494E-B7CA-F3C3BDEF92D7}"/>
    <cellStyle name="输出 2 2 2 2 4" xfId="12560" xr:uid="{DA0FBD14-9139-4966-93B5-2E705939570F}"/>
    <cellStyle name="输出 2 2 2 2 5" xfId="14216" xr:uid="{3E951774-BFEE-4880-BC7D-9D1670AF660C}"/>
    <cellStyle name="输出 2 2 2 2 6" xfId="15900" xr:uid="{9F467321-8E15-4545-99A9-9E79FEB8E519}"/>
    <cellStyle name="输出 2 2 2 3" xfId="3516" xr:uid="{F917D778-2233-4508-9A62-CD85117DB815}"/>
    <cellStyle name="输出 2 2 2 3 2" xfId="5146" xr:uid="{F0320097-7822-42EE-9398-ED02FE223315}"/>
    <cellStyle name="输出 2 2 2 3 3" xfId="9135" xr:uid="{95CC9DE1-6D5C-4E0B-869E-4BA1CFB0782E}"/>
    <cellStyle name="输出 2 2 2 3 4" xfId="5499" xr:uid="{BA12F102-44C2-41EF-8649-F5DC4256329E}"/>
    <cellStyle name="输出 2 2 2 3 5" xfId="13778" xr:uid="{29DB7D32-7AF8-4C4E-90BD-E6C3711F1EA0}"/>
    <cellStyle name="输出 2 2 2 3 6" xfId="15468" xr:uid="{501B6A5D-47BC-418F-8C0B-955CCEE454B7}"/>
    <cellStyle name="输出 2 2 2 4" xfId="5641" xr:uid="{90262BF2-DC9B-47E2-A597-20E0EE5B825F}"/>
    <cellStyle name="输出 2 2 3" xfId="3187" xr:uid="{5236E742-2DF7-4BC1-883A-6FBC56BB41C6}"/>
    <cellStyle name="输出 2 2 3 2" xfId="4067" xr:uid="{24F74FA4-F396-4BF0-BC7B-4F3311489645}"/>
    <cellStyle name="输出 2 2 3 2 2" xfId="7992" xr:uid="{0C10E998-3AEE-487C-998B-5278695B683D}"/>
    <cellStyle name="输出 2 2 3 2 3" xfId="9686" xr:uid="{F4ADBAB2-2F6C-4347-B4DA-48BAFA7E342A}"/>
    <cellStyle name="输出 2 2 3 2 4" xfId="12671" xr:uid="{01759515-3761-41D7-80A3-2C95DDE7127F}"/>
    <cellStyle name="输出 2 2 3 2 5" xfId="14329" xr:uid="{0A34F30D-3D6B-44BE-825A-14248D938DBB}"/>
    <cellStyle name="输出 2 2 3 2 6" xfId="16011" xr:uid="{D41825A0-3D56-4AD8-B6AD-B79CFF4DABEB}"/>
    <cellStyle name="输出 2 2 3 3" xfId="3629" xr:uid="{79BF24FE-0B09-48C1-9C3A-546DA4BA86C8}"/>
    <cellStyle name="输出 2 2 3 3 2" xfId="7560" xr:uid="{C7E9DE8E-55F0-4191-97A3-1642083B3F36}"/>
    <cellStyle name="输出 2 2 3 3 3" xfId="9248" xr:uid="{3A9514F1-B000-4B0A-BC77-BF4395C6E35E}"/>
    <cellStyle name="输出 2 2 3 3 4" xfId="12239" xr:uid="{8CC603D3-B18A-471E-93EF-D999542C4DD2}"/>
    <cellStyle name="输出 2 2 3 3 5" xfId="13891" xr:uid="{CD16CBAC-689D-4EA1-96D8-5C62ACED642B}"/>
    <cellStyle name="输出 2 2 3 3 6" xfId="15579" xr:uid="{D8CF1DC4-0A9C-47F9-940F-8324E8612D66}"/>
    <cellStyle name="输出 2 2 3 4" xfId="6090" xr:uid="{7FB86069-BCD1-4172-BE2C-20D3ED690DFC}"/>
    <cellStyle name="输出 2 2 4" xfId="3331" xr:uid="{CCE2737F-9DB7-42B3-BAB4-4ECBC0A4A396}"/>
    <cellStyle name="输出 2 2 4 2" xfId="4211" xr:uid="{3F0565CE-BB4C-496D-8E91-3BECC41DAAEF}"/>
    <cellStyle name="输出 2 2 4 2 2" xfId="8135" xr:uid="{1D309082-9E4B-49DE-B739-5069B6E5C0B1}"/>
    <cellStyle name="输出 2 2 4 2 3" xfId="9830" xr:uid="{C5B0855E-8CA7-435A-BF78-B4C0D033AC89}"/>
    <cellStyle name="输出 2 2 4 2 4" xfId="12814" xr:uid="{B1333590-6EA4-45E6-BC02-4882F80AA7C5}"/>
    <cellStyle name="输出 2 2 4 2 5" xfId="14473" xr:uid="{51ED11CA-A8FD-4141-8969-98AA30E6B8F4}"/>
    <cellStyle name="输出 2 2 4 2 6" xfId="16154" xr:uid="{4DF18B35-ECC6-48DC-922C-2AAC4B885D45}"/>
    <cellStyle name="输出 2 2 4 3" xfId="3772" xr:uid="{46375ACA-56FF-4885-956C-E28047ED7C41}"/>
    <cellStyle name="输出 2 2 4 3 2" xfId="7703" xr:uid="{5FD6CC63-616E-4A47-920E-D7C1CACA5EC7}"/>
    <cellStyle name="输出 2 2 4 3 3" xfId="9391" xr:uid="{1D7C854C-9400-4ADC-9116-CA7CBD9F1758}"/>
    <cellStyle name="输出 2 2 4 3 4" xfId="12382" xr:uid="{F61DEDFC-B09C-495C-BFEF-FA7D42E60EEE}"/>
    <cellStyle name="输出 2 2 4 3 5" xfId="14034" xr:uid="{D270E65A-4BCA-4A7A-927A-23549292C820}"/>
    <cellStyle name="输出 2 2 4 3 6" xfId="15722" xr:uid="{F4620830-22E6-460A-8592-2ACBF91BAD5B}"/>
    <cellStyle name="输出 2 2 4 4" xfId="8994" xr:uid="{AC76D337-E4F0-49FA-AB23-AC326DBE3B16}"/>
    <cellStyle name="输出 2 2 5" xfId="3342" xr:uid="{8BCAD73E-02A0-4FC1-92D7-39E74ACDC257}"/>
    <cellStyle name="输出 2 2 5 2" xfId="4222" xr:uid="{5F853964-CAD6-4E2D-BAB1-B8D4167B082A}"/>
    <cellStyle name="输出 2 2 5 2 2" xfId="8145" xr:uid="{64E946A3-7E55-484D-A1C4-448093A8A6FD}"/>
    <cellStyle name="输出 2 2 5 2 3" xfId="9841" xr:uid="{F7E284E3-D41E-4DB6-83A4-7CA7DC1606B4}"/>
    <cellStyle name="输出 2 2 5 2 4" xfId="12824" xr:uid="{9FDC5D1B-AC78-473D-901D-4E8A96B24894}"/>
    <cellStyle name="输出 2 2 5 2 5" xfId="14484" xr:uid="{71EC18DA-8919-4196-9690-649AAB3ED72D}"/>
    <cellStyle name="输出 2 2 5 2 6" xfId="16164" xr:uid="{F50E147E-BAC3-49A7-BB52-F4B9BB675CEF}"/>
    <cellStyle name="输出 2 2 5 3" xfId="3782" xr:uid="{D75A9B5C-2A15-461B-A153-7D1F9807DC41}"/>
    <cellStyle name="输出 2 2 5 3 2" xfId="7713" xr:uid="{1C3807D9-DEB3-47FD-B759-007CDA720B01}"/>
    <cellStyle name="输出 2 2 5 3 3" xfId="9401" xr:uid="{72785EA9-FB51-4FB0-8718-785A86D76CB8}"/>
    <cellStyle name="输出 2 2 5 3 4" xfId="12392" xr:uid="{17D61F56-3733-4CD4-A2A0-7E25E3193A3E}"/>
    <cellStyle name="输出 2 2 5 3 5" xfId="14044" xr:uid="{38B6D004-7AA2-4C74-9209-4F41998092B4}"/>
    <cellStyle name="输出 2 2 5 3 6" xfId="15732" xr:uid="{B0B6A1AF-5872-418A-A3ED-A52536CE4605}"/>
    <cellStyle name="输出 2 2 5 4" xfId="9003" xr:uid="{069CC74E-E8D3-453A-8B69-4AD24321F0B6}"/>
    <cellStyle name="输出 2 2 6" xfId="3351" xr:uid="{F748D014-1C56-4816-80E3-64A42FFB020D}"/>
    <cellStyle name="输出 2 2 6 10" xfId="15308" xr:uid="{F6DE8C2B-D110-40CF-95C6-64898F3A4516}"/>
    <cellStyle name="输出 2 2 6 2" xfId="4231" xr:uid="{572F36D4-D05B-431E-9473-192FA3EE4F11}"/>
    <cellStyle name="输出 2 2 6 2 2" xfId="8154" xr:uid="{9E3C2DED-BDF8-42E6-9158-A99314F53960}"/>
    <cellStyle name="输出 2 2 6 2 3" xfId="9850" xr:uid="{9B44F9B0-2CA0-4129-9799-C56A6113A5BB}"/>
    <cellStyle name="输出 2 2 6 2 4" xfId="12833" xr:uid="{83FF721B-EA4A-4FAC-A9F3-BD14571C635C}"/>
    <cellStyle name="输出 2 2 6 2 5" xfId="14493" xr:uid="{85B35799-E9AB-45BC-965C-93E371967FAE}"/>
    <cellStyle name="输出 2 2 6 2 6" xfId="16173" xr:uid="{654420DD-B3F8-4D99-900B-E937B78F4312}"/>
    <cellStyle name="输出 2 2 6 3" xfId="3791" xr:uid="{CEC2B780-4D12-4786-939A-5DB6B1365DEC}"/>
    <cellStyle name="输出 2 2 6 3 2" xfId="7722" xr:uid="{AC4A7BAE-8F90-4F34-B4D4-B8613EA56A7F}"/>
    <cellStyle name="输出 2 2 6 3 3" xfId="9410" xr:uid="{565C08FD-D4D1-4359-978A-2EE56E95A591}"/>
    <cellStyle name="输出 2 2 6 3 4" xfId="12401" xr:uid="{890BA575-38C2-4CDD-A423-20486FB26EE7}"/>
    <cellStyle name="输出 2 2 6 3 5" xfId="14053" xr:uid="{9B93737B-FF94-4519-B1D1-B53CEA742731}"/>
    <cellStyle name="输出 2 2 6 3 6" xfId="15741" xr:uid="{697F49D7-EDD4-4F5D-9D88-D32BC57D8250}"/>
    <cellStyle name="输出 2 2 6 4" xfId="4407" xr:uid="{0D6A8ECB-F376-4CA1-A2EB-A9D0E7909868}"/>
    <cellStyle name="输出 2 2 6 4 2" xfId="8324" xr:uid="{FAE3A906-1042-403C-846F-01A58A554E74}"/>
    <cellStyle name="输出 2 2 6 4 3" xfId="10024" xr:uid="{BE7165E0-99C9-4853-AC48-AA1C6743F913}"/>
    <cellStyle name="输出 2 2 6 4 4" xfId="13001" xr:uid="{CB18FA52-034B-4A08-84D3-9167EA87E058}"/>
    <cellStyle name="输出 2 2 6 4 5" xfId="14667" xr:uid="{35EE389D-5B1C-4D9F-AC23-F4B5D31F0875}"/>
    <cellStyle name="输出 2 2 6 4 6" xfId="16341" xr:uid="{C7813DBC-D31C-442D-B064-4E7B92AF1BF9}"/>
    <cellStyle name="输出 2 2 6 5" xfId="6109" xr:uid="{BC24BBCF-2ACE-4A76-BC17-E2A99CB8B578}"/>
    <cellStyle name="输出 2 2 6 6" xfId="5653" xr:uid="{C70D5F8F-E096-4225-BF2E-9FAD77DB8EDF}"/>
    <cellStyle name="输出 2 2 6 7" xfId="10741" xr:uid="{0A917DC0-64E9-403F-A68F-E135EAFA17D6}"/>
    <cellStyle name="输出 2 2 6 8" xfId="10724" xr:uid="{2F26E810-F5A8-4865-B181-AE871920ED31}"/>
    <cellStyle name="输出 2 2 6 9" xfId="13617" xr:uid="{6DF87750-B608-4AFE-88A8-625FAD6CEE95}"/>
    <cellStyle name="输出 2 2 7" xfId="3077" xr:uid="{F3F3A3D7-EB7B-472C-982E-7FDA36860285}"/>
    <cellStyle name="输出 2 2 7 2" xfId="3957" xr:uid="{760AAB7C-8B00-40A3-9A97-1638AE97976D}"/>
    <cellStyle name="输出 2 2 7 2 2" xfId="7884" xr:uid="{B73C63CF-9168-4A17-BB47-535A026920B9}"/>
    <cellStyle name="输出 2 2 7 2 3" xfId="9576" xr:uid="{BC957D5A-A003-44F6-87FA-A6A90959B3F8}"/>
    <cellStyle name="输出 2 2 7 2 4" xfId="12563" xr:uid="{A1E36D72-015C-46E1-B2CC-0B2793FA918C}"/>
    <cellStyle name="输出 2 2 7 2 5" xfId="14219" xr:uid="{5536D968-FF32-45BA-A1B1-39CCE5B8812A}"/>
    <cellStyle name="输出 2 2 7 2 6" xfId="15903" xr:uid="{154AF7FF-AA71-43F8-AEA5-AB3978402223}"/>
    <cellStyle name="输出 2 2 7 3" xfId="3519" xr:uid="{58E8AF1F-5CAA-454D-892A-C19FAA1FEA5E}"/>
    <cellStyle name="输出 2 2 7 3 2" xfId="5057" xr:uid="{927F0D6C-6A81-4C1B-B883-08DA60C679DB}"/>
    <cellStyle name="输出 2 2 7 3 3" xfId="9138" xr:uid="{0BE682F6-EDE2-4E71-930D-748E3BFC04A8}"/>
    <cellStyle name="输出 2 2 7 3 4" xfId="12131" xr:uid="{2C996ABF-EEA3-43E7-94E4-4124D2429DFE}"/>
    <cellStyle name="输出 2 2 7 3 5" xfId="13781" xr:uid="{79A68A27-AD67-421A-80B2-44056A6EE561}"/>
    <cellStyle name="输出 2 2 7 3 6" xfId="15471" xr:uid="{A43F6E5A-EC4F-437D-8116-7FF88CBC3704}"/>
    <cellStyle name="输出 2 2 7 4" xfId="5731" xr:uid="{D0871A68-35FA-47C3-8F5E-2C16109C5F44}"/>
    <cellStyle name="输出 2 2 8" xfId="3045" xr:uid="{B265B20D-C4A0-481C-80C6-5DBC53C095E1}"/>
    <cellStyle name="输出 2 2 8 10" xfId="13602" xr:uid="{FE15B202-5556-4054-8441-FFB894F651C8}"/>
    <cellStyle name="输出 2 2 8 2" xfId="3925" xr:uid="{94EA8EAD-33D8-45FB-9296-35F580565938}"/>
    <cellStyle name="输出 2 2 8 2 2" xfId="7853" xr:uid="{E0F64F7A-740E-4C6B-9244-CDECA24ADC0D}"/>
    <cellStyle name="输出 2 2 8 2 3" xfId="9544" xr:uid="{E7169500-D341-47EB-8F34-B463436BD696}"/>
    <cellStyle name="输出 2 2 8 2 4" xfId="12532" xr:uid="{272155F5-2722-463E-B181-D73BD93716E2}"/>
    <cellStyle name="输出 2 2 8 2 5" xfId="14187" xr:uid="{DC984506-007E-4F13-A6D2-13C55E7B1F7E}"/>
    <cellStyle name="输出 2 2 8 2 6" xfId="15872" xr:uid="{051E5597-D024-470E-8E39-58B02A6EA257}"/>
    <cellStyle name="输出 2 2 8 3" xfId="3487" xr:uid="{D84F69DE-9435-4EC3-808E-168C9FA2DA39}"/>
    <cellStyle name="输出 2 2 8 3 2" xfId="5167" xr:uid="{5311B6E5-250A-44A0-BE75-DEA283D7613C}"/>
    <cellStyle name="输出 2 2 8 3 3" xfId="9106" xr:uid="{4A122E44-F770-4DD8-8A4E-FF1981D15A41}"/>
    <cellStyle name="输出 2 2 8 3 4" xfId="5350" xr:uid="{CE76AACC-018A-47CA-A227-7610739E07FC}"/>
    <cellStyle name="输出 2 2 8 3 5" xfId="13749" xr:uid="{D04C42C5-04CB-48EB-B66D-F433DA842F77}"/>
    <cellStyle name="输出 2 2 8 3 6" xfId="15440" xr:uid="{5079C20E-5ABC-4F8A-B690-BE3EF5393E65}"/>
    <cellStyle name="输出 2 2 8 4" xfId="4293" xr:uid="{F0B1C4BD-9095-4649-91AD-B60692FE3AEA}"/>
    <cellStyle name="输出 2 2 8 4 2" xfId="8215" xr:uid="{CF1F7D01-BBF6-488A-9D70-53D01779DD47}"/>
    <cellStyle name="输出 2 2 8 4 3" xfId="9910" xr:uid="{EEE079FE-5A55-48FF-BEF1-6A0B8025CE59}"/>
    <cellStyle name="输出 2 2 8 4 4" xfId="12892" xr:uid="{491F00B3-B269-41AC-9695-A20F7CA34D9F}"/>
    <cellStyle name="输出 2 2 8 4 5" xfId="14553" xr:uid="{CE96A66B-A6D9-427E-83CB-40D5F8FDB4ED}"/>
    <cellStyle name="输出 2 2 8 4 6" xfId="16232" xr:uid="{2E316A95-A4FE-4172-92D9-3AB97743A898}"/>
    <cellStyle name="输出 2 2 8 5" xfId="5928" xr:uid="{A22A1E75-B8FF-45BC-A573-1B4D74A67D57}"/>
    <cellStyle name="输出 2 2 8 6" xfId="5554" xr:uid="{B9AE6D81-311B-4184-907D-52736E8B8D1F}"/>
    <cellStyle name="输出 2 2 8 7" xfId="5752" xr:uid="{8947E3FA-A73B-4890-B2DF-A5C994CA6397}"/>
    <cellStyle name="输出 2 2 8 8" xfId="5276" xr:uid="{214957CC-CD7F-46B0-BD1A-7E2655AF7102}"/>
    <cellStyle name="输出 2 2 8 9" xfId="5410" xr:uid="{DB0938FA-DBC3-4263-BEE8-4ACAD1AEC706}"/>
    <cellStyle name="输出 2 2 9" xfId="3028" xr:uid="{20A3281A-036E-4FA8-ADA4-5F459E72DC5E}"/>
    <cellStyle name="输出 2 2 9 10" xfId="5758" xr:uid="{5D3743E4-0CF4-4349-9BDC-2F7324439248}"/>
    <cellStyle name="输出 2 2 9 2" xfId="3908" xr:uid="{D618FC6A-41D9-49A9-8871-022310572F47}"/>
    <cellStyle name="输出 2 2 9 2 2" xfId="7836" xr:uid="{D211E94D-7E0D-40B7-A1C3-65B2EE084E7D}"/>
    <cellStyle name="输出 2 2 9 2 3" xfId="9527" xr:uid="{95FF58A9-02E1-43DF-97A0-B8FE80053804}"/>
    <cellStyle name="输出 2 2 9 2 4" xfId="12515" xr:uid="{F91A797A-148E-42CF-91D2-E15A1C566C82}"/>
    <cellStyle name="输出 2 2 9 2 5" xfId="14170" xr:uid="{D71032D7-718E-4455-815C-936947E57C64}"/>
    <cellStyle name="输出 2 2 9 2 6" xfId="15855" xr:uid="{C3A83E5A-E77E-45EB-A3B4-1D32A7309449}"/>
    <cellStyle name="输出 2 2 9 3" xfId="3470" xr:uid="{8CB51B66-3E86-490D-9AE6-92B0E256A6DB}"/>
    <cellStyle name="输出 2 2 9 3 2" xfId="5176" xr:uid="{B0BFEF20-1457-431A-B00A-B094F2EA3A56}"/>
    <cellStyle name="输出 2 2 9 3 3" xfId="9089" xr:uid="{E736F507-9986-477E-89E0-747B338A93D6}"/>
    <cellStyle name="输出 2 2 9 3 4" xfId="5270" xr:uid="{A697D6BE-78C1-4222-829E-9AD805C7C755}"/>
    <cellStyle name="输出 2 2 9 3 5" xfId="13732" xr:uid="{B75E5EC5-D774-43DE-AB1C-6A93A37113F0}"/>
    <cellStyle name="输出 2 2 9 3 6" xfId="15423" xr:uid="{AAA7557A-CCCF-4469-B49B-32DA3DA4D68E}"/>
    <cellStyle name="输出 2 2 9 4" xfId="4281" xr:uid="{8098D2DD-7886-49B0-AEC5-864FCEADA967}"/>
    <cellStyle name="输出 2 2 9 4 2" xfId="8203" xr:uid="{14C608B5-46E2-454E-BEF0-3F100290FB17}"/>
    <cellStyle name="输出 2 2 9 4 3" xfId="9898" xr:uid="{7CB7503E-DD03-409F-AED2-C05134259CBD}"/>
    <cellStyle name="输出 2 2 9 4 4" xfId="12880" xr:uid="{1168452A-1D88-48AB-A16D-F1F59663202A}"/>
    <cellStyle name="输出 2 2 9 4 5" xfId="14541" xr:uid="{CCC6D773-7585-4D77-87AE-E6C8420EF6F9}"/>
    <cellStyle name="输出 2 2 9 4 6" xfId="16220" xr:uid="{18EDA8DF-319E-4D51-972A-DF3FC646C506}"/>
    <cellStyle name="输出 2 2 9 5" xfId="5915" xr:uid="{A9369E9C-0525-405F-B0F8-2A3E600FE7B4}"/>
    <cellStyle name="输出 2 2 9 6" xfId="5043" xr:uid="{C9E6ACAF-BB55-444C-B5B6-C33AFAA59BC3}"/>
    <cellStyle name="输出 2 2 9 7" xfId="5754" xr:uid="{0A8EFD69-15DF-4BE0-BC62-14DDDC9B6892}"/>
    <cellStyle name="输出 2 2 9 8" xfId="5412" xr:uid="{B0D1BE47-756D-4C1C-9525-7C0E998E3DF1}"/>
    <cellStyle name="输出 2 2 9 9" xfId="5489" xr:uid="{0D3F82CB-DE43-4342-ACF9-AF485FD883FD}"/>
    <cellStyle name="输出 2 3" xfId="3275" xr:uid="{F4610075-28AF-43F9-A860-6985EFB73AC0}"/>
    <cellStyle name="输出 2 3 2" xfId="4155" xr:uid="{08FBAFFF-50E1-4386-B497-0E0D2A087A9F}"/>
    <cellStyle name="输出 2 3 2 2" xfId="8080" xr:uid="{D41085D7-1519-47E6-B692-515ED97EAA98}"/>
    <cellStyle name="输出 2 3 2 3" xfId="9774" xr:uid="{B969E1B6-0A65-4C7B-AD55-106ADC6CCBA8}"/>
    <cellStyle name="输出 2 3 2 4" xfId="12759" xr:uid="{C6A43614-6208-4A74-A66A-81AE99AA1FEE}"/>
    <cellStyle name="输出 2 3 2 5" xfId="14417" xr:uid="{9B85D8C6-E899-47C5-9427-3562E8B1725C}"/>
    <cellStyle name="输出 2 3 2 6" xfId="16099" xr:uid="{E61D612C-C2A3-4C88-86F3-892DA1F6BD2E}"/>
    <cellStyle name="输出 2 3 3" xfId="3717" xr:uid="{5D905FF4-8B1E-4F02-919B-2F154BC15A54}"/>
    <cellStyle name="输出 2 3 3 2" xfId="7648" xr:uid="{F6A6C6D3-9830-490C-BA5F-BAE030ECC9F1}"/>
    <cellStyle name="输出 2 3 3 3" xfId="9336" xr:uid="{600B5998-250D-419D-8203-F34C123D8E70}"/>
    <cellStyle name="输出 2 3 3 4" xfId="12327" xr:uid="{73486F5C-F93A-4C1A-858F-5681BC565F89}"/>
    <cellStyle name="输出 2 3 3 5" xfId="13979" xr:uid="{85004C5E-5BAA-4ABB-AD2B-8C6E0ABFAA6A}"/>
    <cellStyle name="输出 2 3 3 6" xfId="15667" xr:uid="{AAA5A789-C092-4976-99B7-1471CF7F6764}"/>
    <cellStyle name="输出 2 3 4" xfId="8942" xr:uid="{46D735B0-0034-4F4D-B51D-6B664A2B7F68}"/>
    <cellStyle name="输出 2 4" xfId="3141" xr:uid="{1A0D60DE-E5AC-495B-8EB4-18498C3CC5C1}"/>
    <cellStyle name="输出 2 4 2" xfId="4021" xr:uid="{7836DE69-77E3-4B10-B60A-2E05334159B3}"/>
    <cellStyle name="输出 2 4 2 2" xfId="7947" xr:uid="{97D89F1D-28E3-4B7C-8311-08AD9164A0D4}"/>
    <cellStyle name="输出 2 4 2 3" xfId="9640" xr:uid="{CAAC2EA8-A688-4618-8E8D-664FC7ABF396}"/>
    <cellStyle name="输出 2 4 2 4" xfId="12626" xr:uid="{0030193B-B288-4B39-86E8-DB29627957E9}"/>
    <cellStyle name="输出 2 4 2 5" xfId="14283" xr:uid="{384534DF-9EDB-4DDD-8518-E71D2A78BB97}"/>
    <cellStyle name="输出 2 4 2 6" xfId="15966" xr:uid="{B57BB241-3E13-49D5-AD0B-B4A3CCE9325E}"/>
    <cellStyle name="输出 2 4 3" xfId="3583" xr:uid="{D17A9003-F1DA-4A61-B817-AB1F007BD1F1}"/>
    <cellStyle name="输出 2 4 3 2" xfId="7515" xr:uid="{0CAFCB35-8939-4DFC-AB36-6FF7635D0134}"/>
    <cellStyle name="输出 2 4 3 3" xfId="9202" xr:uid="{3783DE3C-8F21-4253-B853-179E19D7EB2E}"/>
    <cellStyle name="输出 2 4 3 4" xfId="12194" xr:uid="{8C2B1826-4073-4F2F-96C4-9D466DF82A32}"/>
    <cellStyle name="输出 2 4 3 5" xfId="13845" xr:uid="{717B3A10-664C-4B5E-AC55-807F324E8CF2}"/>
    <cellStyle name="输出 2 4 3 6" xfId="15534" xr:uid="{7EF12C94-DA94-4720-AA43-D0B769FAA1EF}"/>
    <cellStyle name="输出 2 4 4" xfId="5903" xr:uid="{BE1A4E3E-297C-4FB6-AC94-EC1F8FCDDA0B}"/>
    <cellStyle name="输出 2 5" xfId="3219" xr:uid="{1BCB4480-49CD-460A-8590-40D57CC9F383}"/>
    <cellStyle name="输出 2 5 2" xfId="4099" xr:uid="{B0576B7B-F2A4-4B59-8F19-DE142433DFA5}"/>
    <cellStyle name="输出 2 5 2 2" xfId="8024" xr:uid="{374FBAD4-3B9D-4AA2-8D11-FCBD58FF4C69}"/>
    <cellStyle name="输出 2 5 2 3" xfId="9718" xr:uid="{99F60CB8-209D-4899-A893-396170D1119D}"/>
    <cellStyle name="输出 2 5 2 4" xfId="12703" xr:uid="{9D1979BD-9A21-4E36-9F0B-CA13E4F86C06}"/>
    <cellStyle name="输出 2 5 2 5" xfId="14361" xr:uid="{CD749ED6-DEF4-454F-86AF-2E912C2C022F}"/>
    <cellStyle name="输出 2 5 2 6" xfId="16043" xr:uid="{9A57F783-8A5D-446C-B3C8-1C7B9DA4979E}"/>
    <cellStyle name="输出 2 5 3" xfId="3661" xr:uid="{31246F0A-EC0E-49C2-8480-D0E672334F3E}"/>
    <cellStyle name="输出 2 5 3 2" xfId="7592" xr:uid="{91DD7BF2-E6FD-430A-9991-57EB9D80C1F4}"/>
    <cellStyle name="输出 2 5 3 3" xfId="9280" xr:uid="{5BA55AF0-1D28-46D3-BDF4-3308139737FD}"/>
    <cellStyle name="输出 2 5 3 4" xfId="12271" xr:uid="{42FB8391-19A2-44F6-AB45-2730D925BD25}"/>
    <cellStyle name="输出 2 5 3 5" xfId="13923" xr:uid="{8D11BC81-CBEC-486B-B893-96CC15D9531E}"/>
    <cellStyle name="输出 2 5 3 6" xfId="15611" xr:uid="{70979231-5A7A-4D4E-8C83-C2B8FCFA0C73}"/>
    <cellStyle name="输出 2 5 4" xfId="5995" xr:uid="{024CCD55-DE6C-406E-8EF1-A57C50DF851C}"/>
    <cellStyle name="输出 2 6" xfId="3313" xr:uid="{72AD08DD-59E8-46FF-AF50-B21B8B96EA70}"/>
    <cellStyle name="输出 2 6 2" xfId="4193" xr:uid="{1B2D030B-E3DE-44E4-B956-10AC64C144CF}"/>
    <cellStyle name="输出 2 6 2 2" xfId="8117" xr:uid="{F6FC9630-45A3-4344-A9DB-195183FEE280}"/>
    <cellStyle name="输出 2 6 2 3" xfId="9812" xr:uid="{81FCC134-7AAC-430B-8FAB-654461F4BEAF}"/>
    <cellStyle name="输出 2 6 2 4" xfId="12796" xr:uid="{CE225787-D80D-4C7C-8E3F-F366439F61C0}"/>
    <cellStyle name="输出 2 6 2 5" xfId="14455" xr:uid="{4C8393F5-889D-4368-965B-39E96191D7B1}"/>
    <cellStyle name="输出 2 6 2 6" xfId="16136" xr:uid="{93EE3C36-04D5-4A87-8FB3-D95C40FE8B5B}"/>
    <cellStyle name="输出 2 6 3" xfId="3754" xr:uid="{E7769C88-91B1-4B8D-973A-C276FC349136}"/>
    <cellStyle name="输出 2 6 3 2" xfId="7685" xr:uid="{BC3C0B21-8D6F-4ACC-9076-A9D7B70ED682}"/>
    <cellStyle name="输出 2 6 3 3" xfId="9373" xr:uid="{343C59DC-965E-4428-A333-1FAE3A216403}"/>
    <cellStyle name="输出 2 6 3 4" xfId="12364" xr:uid="{64924AA8-09BE-4A58-97AA-BFB31F311BE3}"/>
    <cellStyle name="输出 2 6 3 5" xfId="14016" xr:uid="{FF5AF0B6-9475-41AD-9FDF-032FC49266D1}"/>
    <cellStyle name="输出 2 6 3 6" xfId="15704" xr:uid="{48D7EE79-3EBE-4E73-A221-20A059C788CE}"/>
    <cellStyle name="输出 2 6 4" xfId="8976" xr:uid="{867E61C2-10E0-4A04-B132-0179CEFB5D4A}"/>
    <cellStyle name="输出 2 7" xfId="3091" xr:uid="{8024A445-05DE-444C-BF28-38BE51E086AC}"/>
    <cellStyle name="输出 2 7 10" xfId="11144" xr:uid="{02185605-6C79-4412-9639-33FE0811EFBE}"/>
    <cellStyle name="输出 2 7 2" xfId="3971" xr:uid="{E645322D-C109-4B7F-9B70-CA2AD6965318}"/>
    <cellStyle name="输出 2 7 2 2" xfId="7897" xr:uid="{837AC4F3-0813-41E4-8CFD-9AC6C86B2FB2}"/>
    <cellStyle name="输出 2 7 2 3" xfId="9590" xr:uid="{835D12BB-C96E-422A-A1BC-585259483257}"/>
    <cellStyle name="输出 2 7 2 4" xfId="12576" xr:uid="{26CCB0E0-AC02-4EEB-9640-FEDEC85EE264}"/>
    <cellStyle name="输出 2 7 2 5" xfId="14233" xr:uid="{5DD2E6CA-E766-4B98-8C08-E2A04514EE1C}"/>
    <cellStyle name="输出 2 7 2 6" xfId="15916" xr:uid="{2950E5AF-E3B1-4483-A14C-FD3F97161510}"/>
    <cellStyle name="输出 2 7 3" xfId="3533" xr:uid="{8FEC7B21-BE9A-4A79-87B6-359E6EC8BE2A}"/>
    <cellStyle name="输出 2 7 3 2" xfId="5136" xr:uid="{B28DAC11-7FA4-4F2A-88C1-21E6B7F05DB2}"/>
    <cellStyle name="输出 2 7 3 3" xfId="9152" xr:uid="{9B3FD5C0-7426-4406-B3E0-BE854B8BA4F9}"/>
    <cellStyle name="输出 2 7 3 4" xfId="12144" xr:uid="{127DD31B-CE4E-4628-AD0A-F2B72791F361}"/>
    <cellStyle name="输出 2 7 3 5" xfId="13795" xr:uid="{24E1B2C3-81AB-4960-8FA3-6A49F2CFACA2}"/>
    <cellStyle name="输出 2 7 3 6" xfId="15484" xr:uid="{E92EC4D9-D9CE-4DD9-B634-6A858D63FE2D}"/>
    <cellStyle name="输出 2 7 4" xfId="4321" xr:uid="{09BD121E-9080-4436-BA02-BC1DA1F235B6}"/>
    <cellStyle name="输出 2 7 4 2" xfId="8241" xr:uid="{ADE878CD-0D78-4DB1-8239-201A1DCE3F7F}"/>
    <cellStyle name="输出 2 7 4 3" xfId="9938" xr:uid="{EBFD05CA-7E83-46A1-B684-B19BA3750C03}"/>
    <cellStyle name="输出 2 7 4 4" xfId="12918" xr:uid="{E1A90DEF-1022-4BE3-90C9-719FD43FD999}"/>
    <cellStyle name="输出 2 7 4 5" xfId="14581" xr:uid="{544BAE1F-610E-446F-9BF2-9E0A381033C1}"/>
    <cellStyle name="输出 2 7 4 6" xfId="16258" xr:uid="{29E92694-F440-4ECA-85C5-021C7EA88C0C}"/>
    <cellStyle name="输出 2 7 5" xfId="5963" xr:uid="{4F3DAC17-59EA-4416-B619-033916BBD952}"/>
    <cellStyle name="输出 2 7 6" xfId="5601" xr:uid="{0928AB3C-987F-46B0-BC19-300166749A4C}"/>
    <cellStyle name="输出 2 7 7" xfId="5929" xr:uid="{41886FF8-AF0C-4816-8E35-2C6B0DB650A2}"/>
    <cellStyle name="输出 2 7 8" xfId="5280" xr:uid="{CEE0255C-0305-4A75-B972-731D1D4A4BE6}"/>
    <cellStyle name="输出 2 7 9" xfId="10937" xr:uid="{EC517DB2-F312-49C9-89C7-C7A8BD589794}"/>
    <cellStyle name="输出 2 8" xfId="3247" xr:uid="{D6DB2750-367E-4A00-BEAB-2287469A78DC}"/>
    <cellStyle name="输出 2 8 10" xfId="15292" xr:uid="{650E8222-0722-4040-A8D2-14C9F8340C53}"/>
    <cellStyle name="输出 2 8 2" xfId="4127" xr:uid="{661A0299-A5E5-4353-88BC-170A0FFD522C}"/>
    <cellStyle name="输出 2 8 2 2" xfId="8052" xr:uid="{4B2AE559-E84C-4927-BD5B-EE160672EC2F}"/>
    <cellStyle name="输出 2 8 2 3" xfId="9746" xr:uid="{5A58A7F3-0BDA-4760-98E3-31572E312E43}"/>
    <cellStyle name="输出 2 8 2 4" xfId="12731" xr:uid="{A2F3D8C7-0007-4CE9-92BF-98074EB163DE}"/>
    <cellStyle name="输出 2 8 2 5" xfId="14389" xr:uid="{C193F07F-8B08-4C97-8314-E56723051A94}"/>
    <cellStyle name="输出 2 8 2 6" xfId="16071" xr:uid="{F6A84599-51D7-47C5-812A-C8C5F63E4481}"/>
    <cellStyle name="输出 2 8 3" xfId="3689" xr:uid="{2D24B23A-D9C4-4161-BFC4-F78E800B8783}"/>
    <cellStyle name="输出 2 8 3 2" xfId="7620" xr:uid="{8C32FDDC-788E-40B7-9D9A-984CA51D458E}"/>
    <cellStyle name="输出 2 8 3 3" xfId="9308" xr:uid="{22F87305-D353-43C7-B433-CA698F88599B}"/>
    <cellStyle name="输出 2 8 3 4" xfId="12299" xr:uid="{D2903170-179A-4F67-BF79-2B2749308070}"/>
    <cellStyle name="输出 2 8 3 5" xfId="13951" xr:uid="{C5D58093-E5A0-4B0A-A21E-1831DFD0183C}"/>
    <cellStyle name="输出 2 8 3 6" xfId="15639" xr:uid="{9E5D04CE-7E65-46E5-B63D-D0D322E673EC}"/>
    <cellStyle name="输出 2 8 4" xfId="4389" xr:uid="{B9027E30-9526-47FD-B12C-76DC716E46E6}"/>
    <cellStyle name="输出 2 8 4 2" xfId="8308" xr:uid="{B23D3505-D7F8-43A6-94D9-95E480337D35}"/>
    <cellStyle name="输出 2 8 4 3" xfId="10006" xr:uid="{2ACE3599-BD34-4BDB-8CDA-00E18BA28FE8}"/>
    <cellStyle name="输出 2 8 4 4" xfId="12985" xr:uid="{33E03D51-CB70-42ED-8425-F5F152A1A779}"/>
    <cellStyle name="输出 2 8 4 5" xfId="14649" xr:uid="{644885E5-9689-4DBE-9E86-AFBA76150B70}"/>
    <cellStyle name="输出 2 8 4 6" xfId="16325" xr:uid="{FF0C062C-6076-452A-8325-67AFE72C29E0}"/>
    <cellStyle name="输出 2 8 5" xfId="6064" xr:uid="{4F2D8E38-51D6-426A-B28D-BD3EAE95CDE8}"/>
    <cellStyle name="输出 2 8 6" xfId="5579" xr:uid="{EE731429-A48D-4C94-96A1-6FF93DFEEE05}"/>
    <cellStyle name="输出 2 8 7" xfId="10707" xr:uid="{3E2BD14B-3700-4FF0-B037-E69448D830B5}"/>
    <cellStyle name="输出 2 8 8" xfId="5566" xr:uid="{9278E758-66A7-4F43-936E-4AB85F5FF128}"/>
    <cellStyle name="输出 2 8 9" xfId="11193" xr:uid="{28977FEB-2976-412A-8DDE-185C89D6A8D9}"/>
    <cellStyle name="输出 2 9" xfId="3374" xr:uid="{FED18E27-3255-4CDC-B037-8A2AC9BF12E3}"/>
    <cellStyle name="输出 2 9 10" xfId="15331" xr:uid="{767F28D2-DCF2-40E9-9464-EE0D3CBEF284}"/>
    <cellStyle name="输出 2 9 2" xfId="4254" xr:uid="{B8F3FADB-7A47-4D89-A65C-510DD020389E}"/>
    <cellStyle name="输出 2 9 2 2" xfId="8177" xr:uid="{174C1075-6FD7-4051-8EAE-FE21AA58294F}"/>
    <cellStyle name="输出 2 9 2 3" xfId="9873" xr:uid="{4344B614-A49B-413D-8969-589D9C669401}"/>
    <cellStyle name="输出 2 9 2 4" xfId="12856" xr:uid="{BA770F63-5E83-474D-B1F6-68A9885638CD}"/>
    <cellStyle name="输出 2 9 2 5" xfId="14516" xr:uid="{EA8332FE-322D-48A4-B611-913B31BC7C63}"/>
    <cellStyle name="输出 2 9 2 6" xfId="16196" xr:uid="{C3E0CD59-4CDA-44A6-BBDD-C1993A58A948}"/>
    <cellStyle name="输出 2 9 3" xfId="3814" xr:uid="{3FAA9204-F9B3-475C-BF28-3A9B4D595114}"/>
    <cellStyle name="输出 2 9 3 2" xfId="7745" xr:uid="{9C53D1B6-693E-415D-AA21-32B076A507F4}"/>
    <cellStyle name="输出 2 9 3 3" xfId="9433" xr:uid="{CA222B7E-F061-422D-948D-C893CE87D6EA}"/>
    <cellStyle name="输出 2 9 3 4" xfId="12424" xr:uid="{778A2796-37D8-4B1E-AC91-EC2F7EC80B31}"/>
    <cellStyle name="输出 2 9 3 5" xfId="14076" xr:uid="{C68FEA89-D8E4-4D29-82FB-1776D09534B2}"/>
    <cellStyle name="输出 2 9 3 6" xfId="15764" xr:uid="{EFDA6883-2285-4946-AA53-FE7EC4B96024}"/>
    <cellStyle name="输出 2 9 4" xfId="4430" xr:uid="{5565FC11-D21B-4D5D-9294-68C1F7CF50BE}"/>
    <cellStyle name="输出 2 9 4 2" xfId="8347" xr:uid="{E75F7DE0-219B-4995-AF5A-5F5C0358D265}"/>
    <cellStyle name="输出 2 9 4 3" xfId="10047" xr:uid="{B2C41AE9-CD6A-4FD0-A02E-01E35D44ADCC}"/>
    <cellStyle name="输出 2 9 4 4" xfId="13024" xr:uid="{D461A003-A899-4D68-8648-941AFDD11CC1}"/>
    <cellStyle name="输出 2 9 4 5" xfId="14690" xr:uid="{B05EE0B4-A0F4-46B7-A79B-F36CF41FF5A0}"/>
    <cellStyle name="输出 2 9 4 6" xfId="16364" xr:uid="{2D4E6A17-1F23-46FC-B7D7-078D184D5E44}"/>
    <cellStyle name="输出 2 9 5" xfId="6132" xr:uid="{83ADFD9A-F475-4F1A-9A6E-46E7AE4C8EFC}"/>
    <cellStyle name="输出 2 9 6" xfId="5702" xr:uid="{5D8971A0-98E6-4E61-A6F9-269CDC0E6C0A}"/>
    <cellStyle name="输出 2 9 7" xfId="10764" xr:uid="{7C88FB05-9BB2-4875-8F22-808683BA8435}"/>
    <cellStyle name="输出 2 9 8" xfId="5306" xr:uid="{19BBD9BA-1807-4DA2-8948-686A65B58B7B}"/>
    <cellStyle name="输出 2 9 9" xfId="13640" xr:uid="{6B5903DB-118E-4A04-A42B-22F4E39319FF}"/>
    <cellStyle name="输出 3" xfId="2969" xr:uid="{CD4CBA53-2604-444A-BB9F-11E1D5481E4E}"/>
    <cellStyle name="输出 3 10" xfId="3853" xr:uid="{D1E9BD06-BE65-487D-918A-B4D843C56084}"/>
    <cellStyle name="输出 3 10 2" xfId="7782" xr:uid="{8F42188D-993D-43D8-AD31-DC691DFFB617}"/>
    <cellStyle name="输出 3 10 3" xfId="9472" xr:uid="{A161FB38-11C6-404A-8300-4687A01676FA}"/>
    <cellStyle name="输出 3 10 4" xfId="12461" xr:uid="{7526B195-826B-442B-9C3F-827E65BB3FC9}"/>
    <cellStyle name="输出 3 10 5" xfId="14115" xr:uid="{8F512507-B800-4EE1-81AB-EE7DC6436D84}"/>
    <cellStyle name="输出 3 10 6" xfId="15801" xr:uid="{2A5EA912-4327-461F-9936-ABDDD49F45F2}"/>
    <cellStyle name="输出 3 11" xfId="3416" xr:uid="{CF19152E-99B6-4F14-8E28-E27D3F38B3AE}"/>
    <cellStyle name="输出 3 11 2" xfId="5896" xr:uid="{3471A015-DCD9-4ACB-83AF-A6375ED364DF}"/>
    <cellStyle name="输出 3 11 3" xfId="9035" xr:uid="{8FFCFFD9-38F4-4395-8B44-FD19AD0A104C}"/>
    <cellStyle name="输出 3 11 4" xfId="5864" xr:uid="{9E7991CD-C36D-48B5-8160-9BA3631A8BBD}"/>
    <cellStyle name="输出 3 11 5" xfId="13678" xr:uid="{487BC417-F933-48B4-B275-4F618503BC38}"/>
    <cellStyle name="输出 3 11 6" xfId="15369" xr:uid="{B247D72D-1099-4EFA-B433-FA13934AEC3A}"/>
    <cellStyle name="输出 3 12" xfId="6774" xr:uid="{B13BD5E2-4AA6-4065-9EE9-C916E2FA7DAC}"/>
    <cellStyle name="输出 3 13" xfId="9010" xr:uid="{EB40707E-B647-4BDF-A7B5-48F2A47C92C9}"/>
    <cellStyle name="输出 3 2" xfId="3006" xr:uid="{CD882E16-15D0-4C3B-AB3A-00A002C2452D}"/>
    <cellStyle name="输出 3 2 10" xfId="3886" xr:uid="{650BC5C8-625B-4290-8031-D8336DF92247}"/>
    <cellStyle name="输出 3 2 10 2" xfId="7814" xr:uid="{D7FE5C7A-4E45-4980-AD65-B948AFA84920}"/>
    <cellStyle name="输出 3 2 10 3" xfId="9505" xr:uid="{1B1D038E-B81D-4227-86FF-8550AFC8DDF9}"/>
    <cellStyle name="输出 3 2 10 4" xfId="12493" xr:uid="{E4CAB907-C45F-421C-A051-44028F049B26}"/>
    <cellStyle name="输出 3 2 10 5" xfId="14148" xr:uid="{F919DC5F-D867-46D7-84B4-08E4F30EB6B3}"/>
    <cellStyle name="输出 3 2 10 6" xfId="15833" xr:uid="{D9C107CB-CE12-4001-A8E6-E8426DDF0338}"/>
    <cellStyle name="输出 3 2 11" xfId="3448" xr:uid="{4AE1498A-A19C-4A76-A3B5-3C75BC92E495}"/>
    <cellStyle name="输出 3 2 11 2" xfId="5192" xr:uid="{C08F9F88-857C-49BE-9466-575D8FC97EC8}"/>
    <cellStyle name="输出 3 2 11 3" xfId="9067" xr:uid="{E20BB1FA-A046-4EF9-ABD1-C2F7A798EABA}"/>
    <cellStyle name="输出 3 2 11 4" xfId="5336" xr:uid="{5F5011EB-86AF-49B4-900A-BD8EC450E56D}"/>
    <cellStyle name="输出 3 2 11 5" xfId="13710" xr:uid="{B0E1DD50-0D56-4FA6-BEC4-6FA70E066059}"/>
    <cellStyle name="输出 3 2 11 6" xfId="15401" xr:uid="{C8CF5E8A-8CBE-4BAF-9240-F4210B14FA4A}"/>
    <cellStyle name="输出 3 2 12" xfId="5857" xr:uid="{59794431-3ECD-4A43-8F28-99AAC5FBFF7B}"/>
    <cellStyle name="输出 3 2 13" xfId="6096" xr:uid="{02C9AAC6-A05A-48C8-ABB7-616BF98208BF}"/>
    <cellStyle name="输出 3 2 2" xfId="3155" xr:uid="{2E66638E-D3D7-4242-B103-6AB5A3900A4B}"/>
    <cellStyle name="输出 3 2 2 2" xfId="4035" xr:uid="{F7D8C92A-C0B0-46CE-BF4B-BA0FE41725C6}"/>
    <cellStyle name="输出 3 2 2 2 2" xfId="7961" xr:uid="{7DF038FF-2B2E-4FF1-A123-8DE19E7A6917}"/>
    <cellStyle name="输出 3 2 2 2 3" xfId="9654" xr:uid="{BBD57353-D4D2-45C0-8572-FB296CE74015}"/>
    <cellStyle name="输出 3 2 2 2 4" xfId="12640" xr:uid="{812DB44C-E14E-45D9-AC8A-24C28F2CB650}"/>
    <cellStyle name="输出 3 2 2 2 5" xfId="14297" xr:uid="{54C63820-B1CD-42A0-8383-5930D6971FE2}"/>
    <cellStyle name="输出 3 2 2 2 6" xfId="15980" xr:uid="{FCBA9C43-39A3-46DB-8C9C-938728A668FD}"/>
    <cellStyle name="输出 3 2 2 3" xfId="3597" xr:uid="{894372F7-BE8D-41BC-A854-F38D8B34E880}"/>
    <cellStyle name="输出 3 2 2 3 2" xfId="7529" xr:uid="{AB41D781-74AB-4245-9759-D3F1AD506025}"/>
    <cellStyle name="输出 3 2 2 3 3" xfId="9216" xr:uid="{4EFBBBB6-B0C0-41F4-B19C-77AEB59BCDA3}"/>
    <cellStyle name="输出 3 2 2 3 4" xfId="12208" xr:uid="{85D181B9-370A-4E06-9745-B01DF01C87D5}"/>
    <cellStyle name="输出 3 2 2 3 5" xfId="13859" xr:uid="{D43675DB-BD40-4DFA-9DF3-FB0AB90D09DC}"/>
    <cellStyle name="输出 3 2 2 3 6" xfId="15548" xr:uid="{C0C5DAD6-18F7-4F74-A33F-728381FB5223}"/>
    <cellStyle name="输出 3 2 2 4" xfId="5893" xr:uid="{5D3A640A-E907-4903-97E6-6977F82B87E2}"/>
    <cellStyle name="输出 3 2 3" xfId="3046" xr:uid="{BF58B480-3E9D-46AE-A74C-D571B5843FE0}"/>
    <cellStyle name="输出 3 2 3 2" xfId="3926" xr:uid="{EFC0FD3F-52A5-4FFA-8728-554EFD5B0389}"/>
    <cellStyle name="输出 3 2 3 2 2" xfId="7854" xr:uid="{9BA02AF2-FC22-407F-A366-D449FFB8329A}"/>
    <cellStyle name="输出 3 2 3 2 3" xfId="9545" xr:uid="{78FBCC77-DAA0-4256-8A5F-2B620D5FCCF7}"/>
    <cellStyle name="输出 3 2 3 2 4" xfId="12533" xr:uid="{358DC970-261A-43C2-A5BA-0C40EAA9F09C}"/>
    <cellStyle name="输出 3 2 3 2 5" xfId="14188" xr:uid="{6E609F2F-FE35-4938-BAE8-60066B76597D}"/>
    <cellStyle name="输出 3 2 3 2 6" xfId="15873" xr:uid="{B3153B7A-6A27-4CC3-BA3B-2A5B32532C59}"/>
    <cellStyle name="输出 3 2 3 3" xfId="3488" xr:uid="{512D601D-CB3E-4680-8DA0-766BF3D71C17}"/>
    <cellStyle name="输出 3 2 3 3 2" xfId="5166" xr:uid="{806591D4-B9F6-4B99-8342-19B161918177}"/>
    <cellStyle name="输出 3 2 3 3 3" xfId="9107" xr:uid="{7AB33A65-D640-4BC5-A4A6-763093A60029}"/>
    <cellStyle name="输出 3 2 3 3 4" xfId="5233" xr:uid="{7D974258-A9B0-462A-A40A-204E27082FBE}"/>
    <cellStyle name="输出 3 2 3 3 5" xfId="13750" xr:uid="{97058DBD-EBB7-4363-99FB-6A3E797B9112}"/>
    <cellStyle name="输出 3 2 3 3 6" xfId="15441" xr:uid="{F81DA897-88F9-4695-9EF5-5259E30C5866}"/>
    <cellStyle name="输出 3 2 3 4" xfId="5386" xr:uid="{548A08B2-3EBC-4325-AB57-D2EF2CA0C961}"/>
    <cellStyle name="输出 3 2 4" xfId="3327" xr:uid="{D6950947-5B65-4644-8FC0-F863F58B765C}"/>
    <cellStyle name="输出 3 2 4 2" xfId="4207" xr:uid="{87119669-A5F4-4B37-815B-CA3A2352FCFF}"/>
    <cellStyle name="输出 3 2 4 2 2" xfId="8131" xr:uid="{AAB86689-6286-4EBF-AA3F-0D48239641C7}"/>
    <cellStyle name="输出 3 2 4 2 3" xfId="9826" xr:uid="{D676A358-0CCD-4A63-8818-B89B64C3E5E5}"/>
    <cellStyle name="输出 3 2 4 2 4" xfId="12810" xr:uid="{3B6E1EFB-98C6-477F-95A1-17B0B9EA6AAB}"/>
    <cellStyle name="输出 3 2 4 2 5" xfId="14469" xr:uid="{23A1E2B7-994B-45FC-87B0-529EEB9631D1}"/>
    <cellStyle name="输出 3 2 4 2 6" xfId="16150" xr:uid="{9F2518D0-C49F-4ABD-867F-64345A6846C8}"/>
    <cellStyle name="输出 3 2 4 3" xfId="3768" xr:uid="{314D558F-F399-4259-88C6-113703711EB7}"/>
    <cellStyle name="输出 3 2 4 3 2" xfId="7699" xr:uid="{0D9EA319-AF9D-4CAE-B366-1A1D45BA1A9C}"/>
    <cellStyle name="输出 3 2 4 3 3" xfId="9387" xr:uid="{F4FDDBD2-7F7D-448B-A352-CD50333995B2}"/>
    <cellStyle name="输出 3 2 4 3 4" xfId="12378" xr:uid="{0C9A587A-3501-4B81-ACD5-673E0F8DB192}"/>
    <cellStyle name="输出 3 2 4 3 5" xfId="14030" xr:uid="{4B5CF878-259F-4AFB-951B-503C1A6D3236}"/>
    <cellStyle name="输出 3 2 4 3 6" xfId="15718" xr:uid="{4BD0E29D-3BEA-4FD9-A0C6-F36034036E7F}"/>
    <cellStyle name="输出 3 2 4 4" xfId="8990" xr:uid="{E41DE290-51D3-4F46-86C3-A46799132B22}"/>
    <cellStyle name="输出 3 2 5" xfId="3338" xr:uid="{37A5A760-5BEC-469A-83D5-16A771961FB4}"/>
    <cellStyle name="输出 3 2 5 2" xfId="4218" xr:uid="{F1EAE9DD-2F47-4652-8AF0-EBD408E97EEA}"/>
    <cellStyle name="输出 3 2 5 2 2" xfId="8141" xr:uid="{999DD047-CA81-4ED0-85D6-D25A2873DF03}"/>
    <cellStyle name="输出 3 2 5 2 3" xfId="9837" xr:uid="{FAE4961A-E90B-4EA0-A897-916B5CA851F7}"/>
    <cellStyle name="输出 3 2 5 2 4" xfId="12820" xr:uid="{F32FF58D-DC5F-4B03-A4E9-B04361B5C454}"/>
    <cellStyle name="输出 3 2 5 2 5" xfId="14480" xr:uid="{87D99A3F-0EDF-45F9-A520-8BB7D2A98522}"/>
    <cellStyle name="输出 3 2 5 2 6" xfId="16160" xr:uid="{FCCFC5AF-9286-4016-916B-0F96977C8ADB}"/>
    <cellStyle name="输出 3 2 5 3" xfId="3778" xr:uid="{40E5D9CA-3D12-4334-A912-C909F290A925}"/>
    <cellStyle name="输出 3 2 5 3 2" xfId="7709" xr:uid="{A2462F03-7F44-4871-9727-E53C8AF410B0}"/>
    <cellStyle name="输出 3 2 5 3 3" xfId="9397" xr:uid="{0B04088D-AC33-4819-B521-BE0A651559ED}"/>
    <cellStyle name="输出 3 2 5 3 4" xfId="12388" xr:uid="{74FDFEBC-E37A-4B8E-B5DF-30B1D993C5AF}"/>
    <cellStyle name="输出 3 2 5 3 5" xfId="14040" xr:uid="{5558E8CC-78E5-4CFB-8615-B03317939800}"/>
    <cellStyle name="输出 3 2 5 3 6" xfId="15728" xr:uid="{D179B5AE-E273-4E6A-B1FD-AFAAF32849FE}"/>
    <cellStyle name="输出 3 2 5 4" xfId="8999" xr:uid="{2D90A120-6AF6-48D4-93D8-DB41F0E27046}"/>
    <cellStyle name="输出 3 2 6" xfId="3347" xr:uid="{035C228D-6136-4952-9AE6-C8C1CEB97CE0}"/>
    <cellStyle name="输出 3 2 6 10" xfId="15304" xr:uid="{5F4A16F0-C961-40F5-943C-A2942AE4F539}"/>
    <cellStyle name="输出 3 2 6 2" xfId="4227" xr:uid="{F3F64A61-68C7-4F11-A7DF-958BB56D8157}"/>
    <cellStyle name="输出 3 2 6 2 2" xfId="8150" xr:uid="{050F2CE5-818B-4211-8FCE-8FE1B4CD8D89}"/>
    <cellStyle name="输出 3 2 6 2 3" xfId="9846" xr:uid="{023763D9-6372-41E6-B032-EC3BEE8CD309}"/>
    <cellStyle name="输出 3 2 6 2 4" xfId="12829" xr:uid="{589FFB5C-E586-4220-8C73-764EB41D4F0A}"/>
    <cellStyle name="输出 3 2 6 2 5" xfId="14489" xr:uid="{1D28FEF3-4902-452D-B267-CCC5EF81E5AF}"/>
    <cellStyle name="输出 3 2 6 2 6" xfId="16169" xr:uid="{DAF77CBC-76FC-43D5-A35F-EC64F32D5C3D}"/>
    <cellStyle name="输出 3 2 6 3" xfId="3787" xr:uid="{C22D38FB-A03C-4D95-BEA3-E551989B7512}"/>
    <cellStyle name="输出 3 2 6 3 2" xfId="7718" xr:uid="{9687FB72-84C1-44C9-9A38-20C19D00CCC3}"/>
    <cellStyle name="输出 3 2 6 3 3" xfId="9406" xr:uid="{412215B0-F903-4C62-8CCB-B51696D7173D}"/>
    <cellStyle name="输出 3 2 6 3 4" xfId="12397" xr:uid="{0C3E6E2F-0EC7-4477-939E-0E06C22EA6E1}"/>
    <cellStyle name="输出 3 2 6 3 5" xfId="14049" xr:uid="{BBA6FE4F-9311-40E6-B6D3-A20F0467CB62}"/>
    <cellStyle name="输出 3 2 6 3 6" xfId="15737" xr:uid="{0A74C44C-2155-4ADA-B482-0C686585AED7}"/>
    <cellStyle name="输出 3 2 6 4" xfId="4403" xr:uid="{8A617431-D01F-4CC4-9E07-E2059BBBFA46}"/>
    <cellStyle name="输出 3 2 6 4 2" xfId="8320" xr:uid="{29CC2223-89ED-4A7E-BB4A-EF2F599F4BFF}"/>
    <cellStyle name="输出 3 2 6 4 3" xfId="10020" xr:uid="{7B724C0B-55CC-4673-BFED-B03CA65FE9C4}"/>
    <cellStyle name="输出 3 2 6 4 4" xfId="12997" xr:uid="{7AA227CB-9A89-412D-AF8B-B6EBB016420B}"/>
    <cellStyle name="输出 3 2 6 4 5" xfId="14663" xr:uid="{C861FDC4-3362-4183-AADC-33E64A69AD42}"/>
    <cellStyle name="输出 3 2 6 4 6" xfId="16337" xr:uid="{637EF072-2921-4CDD-A9E1-F585D0823C92}"/>
    <cellStyle name="输出 3 2 6 5" xfId="6105" xr:uid="{BEF27011-FB52-44FF-BA11-0985C5EA1179}"/>
    <cellStyle name="输出 3 2 6 6" xfId="5094" xr:uid="{91A2781B-83D6-49E3-8959-D22CC92227B2}"/>
    <cellStyle name="输出 3 2 6 7" xfId="10737" xr:uid="{A698BEE3-4712-49CE-932F-A45E5127CCB5}"/>
    <cellStyle name="输出 3 2 6 8" xfId="10685" xr:uid="{1D286B4A-AD55-4CA8-9E9C-76D86E8DF3F8}"/>
    <cellStyle name="输出 3 2 6 9" xfId="13613" xr:uid="{23264594-0D03-4F5E-A9D5-78D7234D320B}"/>
    <cellStyle name="输出 3 2 7" xfId="3038" xr:uid="{68EFFAAE-83A2-43EE-95CD-B2C9B26945F8}"/>
    <cellStyle name="输出 3 2 7 2" xfId="3918" xr:uid="{21E74150-D159-45E5-8B88-55524FA97284}"/>
    <cellStyle name="输出 3 2 7 2 2" xfId="7846" xr:uid="{9802AA83-7646-4C2F-A39A-5AA328087CE7}"/>
    <cellStyle name="输出 3 2 7 2 3" xfId="9537" xr:uid="{133BDCB6-2F9A-4881-A8F7-592469A836F2}"/>
    <cellStyle name="输出 3 2 7 2 4" xfId="12525" xr:uid="{A946A6FE-DC1A-4258-BEBD-70A0881DC951}"/>
    <cellStyle name="输出 3 2 7 2 5" xfId="14180" xr:uid="{75BD0C3B-9375-42C5-8BFF-C8FC6CD6657D}"/>
    <cellStyle name="输出 3 2 7 2 6" xfId="15865" xr:uid="{0B73A50C-0FAC-4C01-8D09-0D3B5C785609}"/>
    <cellStyle name="输出 3 2 7 3" xfId="3480" xr:uid="{FDE732AE-BDB2-4882-B034-7EDF0B8B7143}"/>
    <cellStyle name="输出 3 2 7 3 2" xfId="5065" xr:uid="{02B86198-1149-4A89-A13C-59C054D85C9E}"/>
    <cellStyle name="输出 3 2 7 3 3" xfId="9099" xr:uid="{A9501FC8-A493-4418-9C48-CB720F9C390C}"/>
    <cellStyle name="输出 3 2 7 3 4" xfId="5490" xr:uid="{AEB004F0-7E34-4A57-A679-B2F16E686357}"/>
    <cellStyle name="输出 3 2 7 3 5" xfId="13742" xr:uid="{CA62260A-A58B-4FDA-A27C-A20104F2777F}"/>
    <cellStyle name="输出 3 2 7 3 6" xfId="15433" xr:uid="{23A60132-EC6B-4858-97C1-84B30A400C9D}"/>
    <cellStyle name="输出 3 2 7 4" xfId="5549" xr:uid="{812A6F65-4670-468F-B2FF-E5DC60926AB3}"/>
    <cellStyle name="输出 3 2 8" xfId="3044" xr:uid="{55EB42F6-3EF7-4F92-A2C0-472923B9C58A}"/>
    <cellStyle name="输出 3 2 8 10" xfId="11508" xr:uid="{D59C4AD0-DA1B-469A-B575-6E8AEF95A4AC}"/>
    <cellStyle name="输出 3 2 8 2" xfId="3924" xr:uid="{6277BA8E-8944-4833-9EE6-38617E75A9DB}"/>
    <cellStyle name="输出 3 2 8 2 2" xfId="7852" xr:uid="{0EC6DC6B-5AC8-4DBC-A93F-B64A50DAAA28}"/>
    <cellStyle name="输出 3 2 8 2 3" xfId="9543" xr:uid="{7B82D57E-D1FB-4BB3-8189-8BD97177F0FC}"/>
    <cellStyle name="输出 3 2 8 2 4" xfId="12531" xr:uid="{667A41BF-30F6-4BE8-92FA-2AFA02F9B6EA}"/>
    <cellStyle name="输出 3 2 8 2 5" xfId="14186" xr:uid="{47736CB6-9B28-4990-BF7E-626A97179523}"/>
    <cellStyle name="输出 3 2 8 2 6" xfId="15871" xr:uid="{ED6143AA-A0C6-484E-91DC-6F5FA699993C}"/>
    <cellStyle name="输出 3 2 8 3" xfId="3486" xr:uid="{1B9C6409-4C04-4388-BF22-23299F24658A}"/>
    <cellStyle name="输出 3 2 8 3 2" xfId="5168" xr:uid="{4461E16D-933E-4CFE-8E28-6ECD9783479C}"/>
    <cellStyle name="输出 3 2 8 3 3" xfId="9105" xr:uid="{5088AC26-B6A8-472F-8D33-0F2553077FD2}"/>
    <cellStyle name="输出 3 2 8 3 4" xfId="5721" xr:uid="{13C4B945-20A3-4384-A86A-91920D2FB204}"/>
    <cellStyle name="输出 3 2 8 3 5" xfId="13748" xr:uid="{925CAE80-A1C3-48CD-BBE1-6929366011E2}"/>
    <cellStyle name="输出 3 2 8 3 6" xfId="15439" xr:uid="{E86E5A20-FC30-42F5-BEC8-620D596662BA}"/>
    <cellStyle name="输出 3 2 8 4" xfId="4292" xr:uid="{4A6C8DA0-E94E-41CC-8188-3B4A28DCDCA2}"/>
    <cellStyle name="输出 3 2 8 4 2" xfId="8214" xr:uid="{D0F6E289-C844-46E1-B1C7-76F159D99A3D}"/>
    <cellStyle name="输出 3 2 8 4 3" xfId="9909" xr:uid="{0F09193E-7D71-4DDF-AB9F-7A4D78A05115}"/>
    <cellStyle name="输出 3 2 8 4 4" xfId="12891" xr:uid="{610A2D7D-44F6-4110-83F8-0DAC2639B5C5}"/>
    <cellStyle name="输出 3 2 8 4 5" xfId="14552" xr:uid="{E4B0178C-8E3D-4DE6-A2B7-292E231490B7}"/>
    <cellStyle name="输出 3 2 8 4 6" xfId="16231" xr:uid="{9E5EDF5C-E1BC-4802-BF87-00F35CBC993D}"/>
    <cellStyle name="输出 3 2 8 5" xfId="5927" xr:uid="{A3BBF3A4-8E69-4CA8-BA06-F3A3533A88F4}"/>
    <cellStyle name="输出 3 2 8 6" xfId="5567" xr:uid="{10474868-59E9-43E4-B44E-F997B50099D7}"/>
    <cellStyle name="输出 3 2 8 7" xfId="5782" xr:uid="{E76315AC-3895-4881-8FD3-5CD53D3CA833}"/>
    <cellStyle name="输出 3 2 8 8" xfId="5485" xr:uid="{A87FCCE3-3777-4C39-8E4C-77ADC215F2E7}"/>
    <cellStyle name="输出 3 2 8 9" xfId="5639" xr:uid="{FD9F2B02-C928-4F35-8C22-73A182DB20D0}"/>
    <cellStyle name="输出 3 2 9" xfId="3296" xr:uid="{C5F286A5-AD91-429E-81B4-64242EBE2DF4}"/>
    <cellStyle name="输出 3 2 9 10" xfId="15300" xr:uid="{DF399D5E-3063-42EA-9CF0-DA0EEE51CA5C}"/>
    <cellStyle name="输出 3 2 9 2" xfId="4176" xr:uid="{69E363A5-EC3E-4BDA-8F1A-5EDC7668E039}"/>
    <cellStyle name="输出 3 2 9 2 2" xfId="8100" xr:uid="{D55C63DC-0405-42EF-895C-08E88AF3C2AF}"/>
    <cellStyle name="输出 3 2 9 2 3" xfId="9795" xr:uid="{4B3C105C-FE56-491D-8E2D-F494B51E4AB9}"/>
    <cellStyle name="输出 3 2 9 2 4" xfId="12779" xr:uid="{D0BE4614-357F-44EA-BE97-55E0A3DC5C08}"/>
    <cellStyle name="输出 3 2 9 2 5" xfId="14438" xr:uid="{BCF0287B-FDEC-4F57-839E-584A4FF49BBC}"/>
    <cellStyle name="输出 3 2 9 2 6" xfId="16119" xr:uid="{87829236-7814-459A-97FB-36954D1C220E}"/>
    <cellStyle name="输出 3 2 9 3" xfId="3737" xr:uid="{516C908B-ACF0-41DE-94BF-EA2F2F22E243}"/>
    <cellStyle name="输出 3 2 9 3 2" xfId="7668" xr:uid="{BBDCA213-5277-471F-B1A6-CEC991FB72AA}"/>
    <cellStyle name="输出 3 2 9 3 3" xfId="9356" xr:uid="{093E9566-54D7-4707-9CCA-DBD1AA27F67E}"/>
    <cellStyle name="输出 3 2 9 3 4" xfId="12347" xr:uid="{8D4E9237-97AB-499D-A44A-302D4D1A4F6B}"/>
    <cellStyle name="输出 3 2 9 3 5" xfId="13999" xr:uid="{77B44880-659C-4CAD-A4C7-D617ECE00ECD}"/>
    <cellStyle name="输出 3 2 9 3 6" xfId="15687" xr:uid="{A523BD81-26A0-4C07-AF40-2113858F18C0}"/>
    <cellStyle name="输出 3 2 9 4" xfId="4398" xr:uid="{B4BC2108-5F82-4B09-B17F-C38325DB44AA}"/>
    <cellStyle name="输出 3 2 9 4 2" xfId="8316" xr:uid="{44B0BEF6-FB31-4411-8D66-662A417EE11F}"/>
    <cellStyle name="输出 3 2 9 4 3" xfId="10015" xr:uid="{C60C1067-F089-4883-98F3-02EB53B48CCD}"/>
    <cellStyle name="输出 3 2 9 4 4" xfId="12993" xr:uid="{C73F4209-154B-4805-83B6-008B55439457}"/>
    <cellStyle name="输出 3 2 9 4 5" xfId="14658" xr:uid="{C9496967-BDCE-4D1D-AE73-84412683696B}"/>
    <cellStyle name="输出 3 2 9 4 6" xfId="16333" xr:uid="{33F545BB-F635-4B62-9BCA-5956963AE0C1}"/>
    <cellStyle name="输出 3 2 9 5" xfId="6086" xr:uid="{9AF9870A-C378-4D90-A2C6-F26349376E51}"/>
    <cellStyle name="输出 3 2 9 6" xfId="5573" xr:uid="{C498B54F-B729-4CF6-A991-CEA83ABF5DF9}"/>
    <cellStyle name="输出 3 2 9 7" xfId="10723" xr:uid="{A1B355FF-30C5-44E7-AF50-F4C3BE2850AE}"/>
    <cellStyle name="输出 3 2 9 8" xfId="5433" xr:uid="{1FE3B059-151F-47FB-9B50-8C2990E81914}"/>
    <cellStyle name="输出 3 2 9 9" xfId="13607" xr:uid="{2E1847D0-50A5-44D6-A1BC-63175F044097}"/>
    <cellStyle name="输出 3 3" xfId="3257" xr:uid="{9238312F-3B69-4DBA-9285-D4F80EC56318}"/>
    <cellStyle name="输出 3 3 2" xfId="4137" xr:uid="{FA7218FE-5AD9-46BF-BF33-D6D3090E29C6}"/>
    <cellStyle name="输出 3 3 2 2" xfId="8062" xr:uid="{192A6CB0-CBEF-48B2-BE42-1C72DE5E2A9A}"/>
    <cellStyle name="输出 3 3 2 3" xfId="9756" xr:uid="{782C6B32-6DD1-4016-BFCC-968AA1817B88}"/>
    <cellStyle name="输出 3 3 2 4" xfId="12741" xr:uid="{AA525C95-DB2D-452B-BAE2-44202787703B}"/>
    <cellStyle name="输出 3 3 2 5" xfId="14399" xr:uid="{81BEB4EC-FFD8-4589-8891-DBB756BDBACD}"/>
    <cellStyle name="输出 3 3 2 6" xfId="16081" xr:uid="{F3FE0015-584B-4168-A5F8-668EB9FAF283}"/>
    <cellStyle name="输出 3 3 3" xfId="3699" xr:uid="{21E4D2F4-A1A4-4AE2-BD25-F015F339B21F}"/>
    <cellStyle name="输出 3 3 3 2" xfId="7630" xr:uid="{32E314A4-23CC-43D5-8ADA-7D87C91D0874}"/>
    <cellStyle name="输出 3 3 3 3" xfId="9318" xr:uid="{9A0B845B-A7DE-4A97-8F79-EF8BA2070136}"/>
    <cellStyle name="输出 3 3 3 4" xfId="12309" xr:uid="{0DBFA1B8-A362-4E04-A85C-15D059BA6CA9}"/>
    <cellStyle name="输出 3 3 3 5" xfId="13961" xr:uid="{3B03A111-326A-48F4-A74E-CDD70BFC801D}"/>
    <cellStyle name="输出 3 3 3 6" xfId="15649" xr:uid="{C6DDB4A2-B31D-47AF-B74B-6D1EB9E55D0D}"/>
    <cellStyle name="输出 3 3 4" xfId="8924" xr:uid="{D3D5E9D8-6B5F-4635-BACA-FF1FA1411624}"/>
    <cellStyle name="输出 3 4" xfId="3129" xr:uid="{234516F8-5878-4B07-9168-89DBCBBA65C1}"/>
    <cellStyle name="输出 3 4 2" xfId="4009" xr:uid="{1708A62C-AFDF-47FD-BBFB-B50CB99BAAFE}"/>
    <cellStyle name="输出 3 4 2 2" xfId="7935" xr:uid="{7E2975D8-94A2-4DCC-AC51-66F882ED148A}"/>
    <cellStyle name="输出 3 4 2 3" xfId="9628" xr:uid="{7461DDD2-79B0-4817-9CF3-4D01156AF148}"/>
    <cellStyle name="输出 3 4 2 4" xfId="12614" xr:uid="{61EA5D9D-5CBA-4AE4-8D3B-FE3B353B93B5}"/>
    <cellStyle name="输出 3 4 2 5" xfId="14271" xr:uid="{359A2C57-FAC7-4792-9A04-73C049F067B3}"/>
    <cellStyle name="输出 3 4 2 6" xfId="15954" xr:uid="{647D289A-5B3E-437D-B4D8-0E2C81A1722B}"/>
    <cellStyle name="输出 3 4 3" xfId="3571" xr:uid="{56EB69D5-3B64-40A8-B54A-2EE164A68186}"/>
    <cellStyle name="输出 3 4 3 2" xfId="5504" xr:uid="{CE5711A0-6A43-41A1-884E-C9B923523CA2}"/>
    <cellStyle name="输出 3 4 3 3" xfId="9190" xr:uid="{8B1BCCED-E14D-43A4-B503-122AA822443D}"/>
    <cellStyle name="输出 3 4 3 4" xfId="12182" xr:uid="{44F7CA4B-1FD1-4F07-BA5B-F0277E0881B6}"/>
    <cellStyle name="输出 3 4 3 5" xfId="13833" xr:uid="{0214150A-081C-4D09-AACE-38608EF853D6}"/>
    <cellStyle name="输出 3 4 3 6" xfId="15522" xr:uid="{E58FA8D4-92C6-4AB9-8E67-B97B8743F661}"/>
    <cellStyle name="输出 3 4 4" xfId="5531" xr:uid="{E5C479AE-12F7-47DC-8EA3-D526868CAAE3}"/>
    <cellStyle name="输出 3 5" xfId="3106" xr:uid="{10D96E26-7572-46ED-A1E6-58986E8442C9}"/>
    <cellStyle name="输出 3 5 2" xfId="3986" xr:uid="{F0152973-9BA1-45E5-B47C-EB98CCA5E67E}"/>
    <cellStyle name="输出 3 5 2 2" xfId="7912" xr:uid="{F0F63329-F358-4531-AB29-6568EBC27ECA}"/>
    <cellStyle name="输出 3 5 2 3" xfId="9605" xr:uid="{37B7DF4F-B085-49A6-AC9D-36DE6EB0B9D3}"/>
    <cellStyle name="输出 3 5 2 4" xfId="12591" xr:uid="{50D82103-0669-4A1E-8A39-04CDFDE9901E}"/>
    <cellStyle name="输出 3 5 2 5" xfId="14248" xr:uid="{BCDFCB3B-6950-4F13-A214-CB6C7CDC41AF}"/>
    <cellStyle name="输出 3 5 2 6" xfId="15931" xr:uid="{D8B4F853-774E-46BD-8103-D88E401DDEAF}"/>
    <cellStyle name="输出 3 5 3" xfId="3548" xr:uid="{19938558-5D5A-4A98-8BAD-19AC9471298B}"/>
    <cellStyle name="输出 3 5 3 2" xfId="5125" xr:uid="{E2A0F3BE-B73C-46B9-8A26-1B8015BD171C}"/>
    <cellStyle name="输出 3 5 3 3" xfId="9167" xr:uid="{908C88D3-BE50-4915-B9E9-42B3FF090DF4}"/>
    <cellStyle name="输出 3 5 3 4" xfId="12159" xr:uid="{1230E5BF-E9DA-4A58-81AA-CD4870C3EB24}"/>
    <cellStyle name="输出 3 5 3 5" xfId="13810" xr:uid="{EB314114-CE69-40B4-A963-70B345E8854F}"/>
    <cellStyle name="输出 3 5 3 6" xfId="15499" xr:uid="{F45AF89F-C715-4A47-BEAF-A7E40F42D98A}"/>
    <cellStyle name="输出 3 5 4" xfId="6697" xr:uid="{FC75AE99-DC58-467C-BE9C-F8F25B258658}"/>
    <cellStyle name="输出 3 6" xfId="3241" xr:uid="{6332F88C-330E-431F-BEC5-9F890D3DA43B}"/>
    <cellStyle name="输出 3 6 2" xfId="4121" xr:uid="{150701DA-AA9F-4BCA-9C36-F7FD27D2F323}"/>
    <cellStyle name="输出 3 6 2 2" xfId="8046" xr:uid="{6BEA0344-C896-4676-8915-416076287591}"/>
    <cellStyle name="输出 3 6 2 3" xfId="9740" xr:uid="{B031886F-911E-4AE7-86A3-705855A1315C}"/>
    <cellStyle name="输出 3 6 2 4" xfId="12725" xr:uid="{F776FC29-9A3B-4CAC-8F78-B5761F8D879F}"/>
    <cellStyle name="输出 3 6 2 5" xfId="14383" xr:uid="{6875D53E-D9DE-4777-8F57-503A33F46DDB}"/>
    <cellStyle name="输出 3 6 2 6" xfId="16065" xr:uid="{50ABAE6B-883D-4F73-8B6D-5416BF6F5264}"/>
    <cellStyle name="输出 3 6 3" xfId="3683" xr:uid="{0BDC0D04-3887-4CF9-A4F1-796475290334}"/>
    <cellStyle name="输出 3 6 3 2" xfId="7614" xr:uid="{45C71EA9-46C7-4DBD-B470-74090EA7C986}"/>
    <cellStyle name="输出 3 6 3 3" xfId="9302" xr:uid="{1CB32944-707D-470E-B332-15C03A447CD1}"/>
    <cellStyle name="输出 3 6 3 4" xfId="12293" xr:uid="{1FEE73E4-FB4B-4D5C-9939-782A5AE3F054}"/>
    <cellStyle name="输出 3 6 3 5" xfId="13945" xr:uid="{9F2722CC-4890-4C04-BABF-B3CDAC9B3B08}"/>
    <cellStyle name="输出 3 6 3 6" xfId="15633" xr:uid="{1FF4DCF5-9C9A-4594-B9CB-C56A2273D7B5}"/>
    <cellStyle name="输出 3 6 4" xfId="6237" xr:uid="{5D838D61-7CC8-4BFB-95AB-5ED5985FC9F3}"/>
    <cellStyle name="输出 3 7" xfId="3085" xr:uid="{1306B8E2-784E-4A8D-9747-47E59309026C}"/>
    <cellStyle name="输出 3 7 10" xfId="11071" xr:uid="{39A4B396-F9CA-4C7D-9817-ACAFBD37EC04}"/>
    <cellStyle name="输出 3 7 2" xfId="3965" xr:uid="{E6B3D683-4AA5-42E7-B03F-E875E9761D8B}"/>
    <cellStyle name="输出 3 7 2 2" xfId="7891" xr:uid="{9B5080B5-4A00-451F-B948-37F6A9DAE2A2}"/>
    <cellStyle name="输出 3 7 2 3" xfId="9584" xr:uid="{E60767D9-000F-491C-BB39-75FA7243625B}"/>
    <cellStyle name="输出 3 7 2 4" xfId="12570" xr:uid="{17039486-32B9-47D3-B749-FCA0FB4ABCB6}"/>
    <cellStyle name="输出 3 7 2 5" xfId="14227" xr:uid="{2483636B-86B8-4EF0-B60A-E73B707261F3}"/>
    <cellStyle name="输出 3 7 2 6" xfId="15910" xr:uid="{5040408A-A753-46DF-87CD-440D20C4936C}"/>
    <cellStyle name="输出 3 7 3" xfId="3527" xr:uid="{3788964C-1C7A-4A59-8251-7DD19A9EF7A6}"/>
    <cellStyle name="输出 3 7 3 2" xfId="5140" xr:uid="{979C5911-7AE2-4101-B82D-7320D82EA496}"/>
    <cellStyle name="输出 3 7 3 3" xfId="9146" xr:uid="{C8AEFA70-28D7-4370-AA43-F8E3B4050B32}"/>
    <cellStyle name="输出 3 7 3 4" xfId="12138" xr:uid="{4F4B8039-10D5-4493-A319-9E947CBE77ED}"/>
    <cellStyle name="输出 3 7 3 5" xfId="13789" xr:uid="{CF306E79-49D2-4BBC-BB03-5585EF45C1C0}"/>
    <cellStyle name="输出 3 7 3 6" xfId="15478" xr:uid="{F66D5F38-BF30-4033-BE6A-21478637F959}"/>
    <cellStyle name="输出 3 7 4" xfId="4318" xr:uid="{AD593D31-BC8A-4028-9203-6E4312B58F93}"/>
    <cellStyle name="输出 3 7 4 2" xfId="8238" xr:uid="{1F07E7C0-1AE9-4922-B905-A7E523E60572}"/>
    <cellStyle name="输出 3 7 4 3" xfId="9935" xr:uid="{A3B29DD1-D404-4B60-A7D5-765DC3EE5663}"/>
    <cellStyle name="输出 3 7 4 4" xfId="12915" xr:uid="{FC9983E6-2F23-4762-9179-43893919FA44}"/>
    <cellStyle name="输出 3 7 4 5" xfId="14578" xr:uid="{EA462DD0-A513-4D00-8BFD-8406FAE2DF25}"/>
    <cellStyle name="输出 3 7 4 6" xfId="16255" xr:uid="{B715C6A3-D825-4137-AA2B-9B2144106876}"/>
    <cellStyle name="输出 3 7 5" xfId="5959" xr:uid="{D139E4A8-A5DB-49FC-9011-FA59E3758EA6}"/>
    <cellStyle name="输出 3 7 6" xfId="5715" xr:uid="{5CF4EF80-55B3-42D8-B991-D6B66346E016}"/>
    <cellStyle name="输出 3 7 7" xfId="6070" xr:uid="{D12199FF-9D79-472B-97A8-4E8D7DB24604}"/>
    <cellStyle name="输出 3 7 8" xfId="5458" xr:uid="{577C3611-7E6B-422F-BD97-D99DBA7AB09A}"/>
    <cellStyle name="输出 3 7 9" xfId="5409" xr:uid="{C8AF467D-B55C-4E23-9E1B-A2104E36CFD5}"/>
    <cellStyle name="输出 3 8" xfId="3209" xr:uid="{52F18BA9-0AA7-4402-88A1-D85D573E11BB}"/>
    <cellStyle name="输出 3 8 10" xfId="10999" xr:uid="{A48C6466-256C-4697-BFC2-A9E37528F602}"/>
    <cellStyle name="输出 3 8 2" xfId="4089" xr:uid="{CB3ED75F-1AF5-4CA5-8ACC-E763164CFAE6}"/>
    <cellStyle name="输出 3 8 2 2" xfId="8014" xr:uid="{6BB53ED4-72C1-4E6A-A9A6-414461D0D296}"/>
    <cellStyle name="输出 3 8 2 3" xfId="9708" xr:uid="{4498C843-F29C-4BF7-9639-1BB0111D8C09}"/>
    <cellStyle name="输出 3 8 2 4" xfId="12693" xr:uid="{A4BF547E-DA66-47E9-81D0-42770EA7B337}"/>
    <cellStyle name="输出 3 8 2 5" xfId="14351" xr:uid="{6232A242-0B49-4FD8-9AFC-DA72340CCB52}"/>
    <cellStyle name="输出 3 8 2 6" xfId="16033" xr:uid="{15410B4B-B446-4465-B373-80D0D045FCF4}"/>
    <cellStyle name="输出 3 8 3" xfId="3651" xr:uid="{96D0BCF8-7143-465E-B17C-C6DE5C31D0CB}"/>
    <cellStyle name="输出 3 8 3 2" xfId="7582" xr:uid="{7433A918-6EDE-4223-865F-96CFA0FAD03A}"/>
    <cellStyle name="输出 3 8 3 3" xfId="9270" xr:uid="{76CEA7CF-61C2-45AA-885F-D4210A9630A2}"/>
    <cellStyle name="输出 3 8 3 4" xfId="12261" xr:uid="{353D516B-ABF2-48A8-850E-DACE856D453F}"/>
    <cellStyle name="输出 3 8 3 5" xfId="13913" xr:uid="{CE8C61C0-B8B9-47C9-80ED-BAE3CFA8109D}"/>
    <cellStyle name="输出 3 8 3 6" xfId="15601" xr:uid="{419C0DF5-D17C-4749-9284-67CCF51B5A71}"/>
    <cellStyle name="输出 3 8 4" xfId="4367" xr:uid="{F10126CD-F608-4B78-ACC9-7070EA8F6CDC}"/>
    <cellStyle name="输出 3 8 4 2" xfId="8286" xr:uid="{D83A147F-C26C-489D-8E49-164DD9A24E67}"/>
    <cellStyle name="输出 3 8 4 3" xfId="9984" xr:uid="{4714A82D-8272-40D4-8129-8A107F66DAD2}"/>
    <cellStyle name="输出 3 8 4 4" xfId="12963" xr:uid="{52F6EB44-AAE2-4378-9952-D55A30D6EC73}"/>
    <cellStyle name="输出 3 8 4 5" xfId="14627" xr:uid="{515DB227-9FF3-4F17-9B19-643E25524B96}"/>
    <cellStyle name="输出 3 8 4 6" xfId="16303" xr:uid="{1B928672-E545-462F-97B2-1F0570D82993}"/>
    <cellStyle name="输出 3 8 5" xfId="6034" xr:uid="{F9C5E05A-B6FA-4FBC-8FA2-128135A37525}"/>
    <cellStyle name="输出 3 8 6" xfId="5620" xr:uid="{E9EC38AA-9E72-4827-A511-ED6FA6129A31}"/>
    <cellStyle name="输出 3 8 7" xfId="10679" xr:uid="{2B987350-C17C-462E-A4B4-94F3FB18A283}"/>
    <cellStyle name="输出 3 8 8" xfId="5491" xr:uid="{899B59D5-ACE5-46BD-9E60-02A7967D0AC5}"/>
    <cellStyle name="输出 3 8 9" xfId="11425" xr:uid="{C226B34C-C23D-498D-A557-6290BBE43211}"/>
    <cellStyle name="输出 3 9" xfId="3022" xr:uid="{56A2A35D-10B6-458D-88E6-665353A694AE}"/>
    <cellStyle name="输出 3 9 10" xfId="5242" xr:uid="{4DD1B870-53B0-4165-993D-4E30999EEF84}"/>
    <cellStyle name="输出 3 9 2" xfId="3902" xr:uid="{6B34EDED-4234-478F-B2B1-630EFD08EEA5}"/>
    <cellStyle name="输出 3 9 2 2" xfId="7830" xr:uid="{28D89622-B308-4E29-9015-DFB5A547981C}"/>
    <cellStyle name="输出 3 9 2 3" xfId="9521" xr:uid="{737ED1F9-7E17-4F11-8CE9-7199AAD1D17A}"/>
    <cellStyle name="输出 3 9 2 4" xfId="12509" xr:uid="{21F674FC-E906-494F-93DE-410A5ACD0904}"/>
    <cellStyle name="输出 3 9 2 5" xfId="14164" xr:uid="{19904F30-C161-4F3C-8D94-F0B7F6FC8773}"/>
    <cellStyle name="输出 3 9 2 6" xfId="15849" xr:uid="{D51BB6F4-BBAC-4FD7-B88A-ED92600B2AF5}"/>
    <cellStyle name="输出 3 9 3" xfId="3464" xr:uid="{3D85D913-13BA-430E-9F40-3AC6EC12DE6C}"/>
    <cellStyle name="输出 3 9 3 2" xfId="5182" xr:uid="{C13DBA58-D279-4796-8AA5-A7CDEC30A0E0}"/>
    <cellStyle name="输出 3 9 3 3" xfId="9083" xr:uid="{A92729A1-2FA3-4BA2-BDD2-900B0CDCE97A}"/>
    <cellStyle name="输出 3 9 3 4" xfId="5240" xr:uid="{37B3724F-CE4D-4D16-BFEE-B00A8D52FDC3}"/>
    <cellStyle name="输出 3 9 3 5" xfId="13726" xr:uid="{E7DEDDC8-A2CE-45D4-BD04-7E492DDA516D}"/>
    <cellStyle name="输出 3 9 3 6" xfId="15417" xr:uid="{7E4EC842-1DD4-4E12-A679-AB672CE1698D}"/>
    <cellStyle name="输出 3 9 4" xfId="4275" xr:uid="{947D1D39-8D6D-443F-95AC-2726E4861544}"/>
    <cellStyle name="输出 3 9 4 2" xfId="8197" xr:uid="{0D321493-63DC-46E0-B9B8-EF34D3750615}"/>
    <cellStyle name="输出 3 9 4 3" xfId="9892" xr:uid="{4B1C277E-F4B9-4478-8EE5-FDB5A72D9B14}"/>
    <cellStyle name="输出 3 9 4 4" xfId="12874" xr:uid="{CD0AA311-984F-490F-A760-25EE158E9901}"/>
    <cellStyle name="输出 3 9 4 5" xfId="14535" xr:uid="{83C615F8-08F4-4FAD-8B04-8098A43DAFCE}"/>
    <cellStyle name="输出 3 9 4 6" xfId="16214" xr:uid="{3E9BE5C9-09E4-4C34-929C-6F1C99B5E12D}"/>
    <cellStyle name="输出 3 9 5" xfId="5909" xr:uid="{9D2539BE-E8FE-4B8A-9B2F-951BBFFA8692}"/>
    <cellStyle name="输出 3 9 6" xfId="5770" xr:uid="{BA0FF479-19C3-43D2-A6CA-81F79621585D}"/>
    <cellStyle name="输出 3 9 7" xfId="5744" xr:uid="{B55AF5A0-724C-476F-B272-95F6FBAEC4EC}"/>
    <cellStyle name="输出 3 9 8" xfId="5273" xr:uid="{12A3D7AA-5423-4C2E-B8BC-717DA2EBF745}"/>
    <cellStyle name="输出 3 9 9" xfId="5446" xr:uid="{6E9EA70D-1307-4998-9205-552CB5081318}"/>
    <cellStyle name="输出 4" xfId="3102" xr:uid="{E4CD5C52-B348-4F3F-8C3D-6100E541766B}"/>
    <cellStyle name="输出 4 2" xfId="3982" xr:uid="{84BE93BF-FC7B-4F7E-B852-A40105BBADA1}"/>
    <cellStyle name="输出 4 2 2" xfId="7908" xr:uid="{0C93B3D4-B3B2-4C17-B42C-5893119A69BA}"/>
    <cellStyle name="输出 4 2 3" xfId="9601" xr:uid="{D04A804E-224D-416F-B38D-087C874ABEA1}"/>
    <cellStyle name="输出 4 2 4" xfId="12587" xr:uid="{0044CE8F-8CCF-44C2-B13A-57879C6B2C2B}"/>
    <cellStyle name="输出 4 2 5" xfId="14244" xr:uid="{050F23C8-67C4-41DC-982C-54D66D69FB54}"/>
    <cellStyle name="输出 4 2 6" xfId="15927" xr:uid="{59E509B5-92BA-4ED6-A558-43F62747DC13}"/>
    <cellStyle name="输出 4 3" xfId="3544" xr:uid="{236F576B-1189-4D59-AAD5-41394ADB22FC}"/>
    <cellStyle name="输出 4 3 2" xfId="5127" xr:uid="{E102E2B5-B069-460F-BD4D-7105C414B4BF}"/>
    <cellStyle name="输出 4 3 3" xfId="9163" xr:uid="{6265177E-5AAA-4069-8F69-96749CE95BD1}"/>
    <cellStyle name="输出 4 3 4" xfId="12155" xr:uid="{98BEBBF8-C58D-43FB-B1B4-1A806E4A209B}"/>
    <cellStyle name="输出 4 3 5" xfId="13806" xr:uid="{D1F5FCCB-1ED4-4619-827C-4004E0C20F94}"/>
    <cellStyle name="输出 4 3 6" xfId="15495" xr:uid="{38947327-9074-4C7A-9E63-E16C839A7BDE}"/>
    <cellStyle name="输出 4 4" xfId="5778" xr:uid="{CA8525FA-ACCD-4F92-9B4B-91F7640C2F84}"/>
    <cellStyle name="输出 5" xfId="3177" xr:uid="{813469AF-758B-4D02-9782-0F275F62E4C6}"/>
    <cellStyle name="输出 5 10" xfId="5784" xr:uid="{B06B9290-AAA1-4C4B-BFAA-A5515A5BB068}"/>
    <cellStyle name="输出 5 2" xfId="4057" xr:uid="{8ABA8FDD-EF99-4B0E-808D-6A56914538C6}"/>
    <cellStyle name="输出 5 2 2" xfId="7982" xr:uid="{02D0C72C-29B6-4709-9046-B387E1167F48}"/>
    <cellStyle name="输出 5 2 3" xfId="9676" xr:uid="{7FBE0445-B502-4232-BDC2-5D4A2D17BAED}"/>
    <cellStyle name="输出 5 2 4" xfId="12661" xr:uid="{685207C9-5CB5-4274-A895-0EFC85AE5355}"/>
    <cellStyle name="输出 5 2 5" xfId="14319" xr:uid="{DB7E3818-C2E7-4FAF-AB99-9542AAD3CF2A}"/>
    <cellStyle name="输出 5 2 6" xfId="16001" xr:uid="{2B2CF98F-FF7C-44D4-825F-9173540D918C}"/>
    <cellStyle name="输出 5 3" xfId="3619" xr:uid="{682212EA-BF70-49D1-B4BA-47D92DD255AC}"/>
    <cellStyle name="输出 5 3 2" xfId="7550" xr:uid="{A257E437-52CD-4E6E-B98D-E4EC5ED2B4EA}"/>
    <cellStyle name="输出 5 3 3" xfId="9238" xr:uid="{F3CB784F-A8D8-4821-8490-6734989A6774}"/>
    <cellStyle name="输出 5 3 4" xfId="12229" xr:uid="{4BF172C5-820C-4802-A868-5D263428A128}"/>
    <cellStyle name="输出 5 3 5" xfId="13881" xr:uid="{14A6E28F-5283-4EFC-B497-62FC2C7683AF}"/>
    <cellStyle name="输出 5 3 6" xfId="15569" xr:uid="{54A59C28-A266-442C-B93F-B94DB8F0DB18}"/>
    <cellStyle name="输出 5 4" xfId="4343" xr:uid="{22A71150-84DA-47D0-85E7-4A7B7B1F2A92}"/>
    <cellStyle name="输出 5 4 2" xfId="8262" xr:uid="{05AAE193-67FA-46DE-A298-F68374270888}"/>
    <cellStyle name="输出 5 4 3" xfId="9960" xr:uid="{4EE4E89B-16CB-4C04-B2FB-1BB66858C7AF}"/>
    <cellStyle name="输出 5 4 4" xfId="12939" xr:uid="{91B5A8E3-75BF-4CA8-8175-FC25518524B3}"/>
    <cellStyle name="输出 5 4 5" xfId="14603" xr:uid="{686148A5-C70C-4FC0-900C-0944CAD33F64}"/>
    <cellStyle name="输出 5 4 6" xfId="16279" xr:uid="{6B3D8BAC-E6C6-4EA7-9F3A-463293916F87}"/>
    <cellStyle name="输出 5 5" xfId="6007" xr:uid="{7E909162-51E4-49B2-AB85-37BB00FDD452}"/>
    <cellStyle name="输出 5 6" xfId="5768" xr:uid="{EA5AE189-1F3D-4463-AF5A-D144080EC24F}"/>
    <cellStyle name="输出 5 7" xfId="10654" xr:uid="{1E983D05-5844-4C94-93CE-74553AEC4D3C}"/>
    <cellStyle name="输出 5 8" xfId="5052" xr:uid="{D9808E03-5C82-45C8-9526-DA03CA664C20}"/>
    <cellStyle name="输出 5 9" xfId="11265" xr:uid="{005D0E5C-9DA9-4A86-8E99-C48B3A16B7F5}"/>
    <cellStyle name="输出 6" xfId="3356" xr:uid="{6A15FF7C-7B35-43C0-9907-E935A24F9F9F}"/>
    <cellStyle name="输出 6 10" xfId="15313" xr:uid="{DD5DEA54-6577-4181-9D55-AA9CA86E8C26}"/>
    <cellStyle name="输出 6 2" xfId="4236" xr:uid="{0606358C-7FEB-4A0D-A1E0-B3DA6529D9DA}"/>
    <cellStyle name="输出 6 2 2" xfId="8159" xr:uid="{B4F4AAE7-1BDD-4E97-ADFB-2DFAA0B86BE0}"/>
    <cellStyle name="输出 6 2 3" xfId="9855" xr:uid="{319DD74B-B709-459C-839E-678E7106DE1B}"/>
    <cellStyle name="输出 6 2 4" xfId="12838" xr:uid="{63BEF6A1-7FD6-43F5-8F59-A9EC1E2B2865}"/>
    <cellStyle name="输出 6 2 5" xfId="14498" xr:uid="{441C2C4A-2280-4F72-B7D1-CB0CD46C3621}"/>
    <cellStyle name="输出 6 2 6" xfId="16178" xr:uid="{64E7B6E0-7F35-4282-AE90-84F4007765E3}"/>
    <cellStyle name="输出 6 3" xfId="3796" xr:uid="{A79191F2-483B-4DCC-B766-007FEF3896A2}"/>
    <cellStyle name="输出 6 3 2" xfId="7727" xr:uid="{43400DA0-1EBB-4762-AB3F-F65608174F66}"/>
    <cellStyle name="输出 6 3 3" xfId="9415" xr:uid="{8E9F1F88-B59C-44DF-AA20-8DBB93C17FF2}"/>
    <cellStyle name="输出 6 3 4" xfId="12406" xr:uid="{B5F31CAA-9D45-40CF-ACF9-2A3F7E7C67C3}"/>
    <cellStyle name="输出 6 3 5" xfId="14058" xr:uid="{A2B0DD91-570F-46EC-9E02-7B823CB1AB1B}"/>
    <cellStyle name="输出 6 3 6" xfId="15746" xr:uid="{8984CF0C-FE09-46C3-A80E-ADBCD25876D9}"/>
    <cellStyle name="输出 6 4" xfId="4412" xr:uid="{F5D30705-DAA2-4C26-8E82-73427D75018A}"/>
    <cellStyle name="输出 6 4 2" xfId="8329" xr:uid="{8262CD7C-7B6F-44F8-845E-732FE08305AE}"/>
    <cellStyle name="输出 6 4 3" xfId="10029" xr:uid="{E3DBC3DC-E3C6-4E86-BA74-1366275B5596}"/>
    <cellStyle name="输出 6 4 4" xfId="13006" xr:uid="{593C870F-2228-42A9-BCFA-338B55198228}"/>
    <cellStyle name="输出 6 4 5" xfId="14672" xr:uid="{985DADF4-9E73-4232-8E7F-EB4B979C49C7}"/>
    <cellStyle name="输出 6 4 6" xfId="16346" xr:uid="{6BFC0B3F-8154-43F9-BE65-7FEB10334547}"/>
    <cellStyle name="输出 6 5" xfId="6114" xr:uid="{B51973C3-69C5-44D2-9474-0927FCCFA46A}"/>
    <cellStyle name="输出 6 6" xfId="5642" xr:uid="{4691E4F8-1869-413F-9848-A7ABD1193391}"/>
    <cellStyle name="输出 6 7" xfId="10746" xr:uid="{A6E487F6-F2BD-4600-A73B-5DB665FCF253}"/>
    <cellStyle name="输出 6 8" xfId="10690" xr:uid="{32B88745-1717-46CB-8E93-75370B2F8C47}"/>
    <cellStyle name="输出 6 9" xfId="13622" xr:uid="{10AE69D6-3519-4F5F-B85A-AA4FFA074CF8}"/>
    <cellStyle name="输出 7" xfId="3835" xr:uid="{DA0DD20D-5123-44C5-A314-38E456B5DB47}"/>
    <cellStyle name="输出 7 2" xfId="7764" xr:uid="{CFB92C32-E19B-42AD-B098-EE869619134F}"/>
    <cellStyle name="输出 7 3" xfId="9454" xr:uid="{ACCF8123-67B5-4BD7-A704-BB7823FE394D}"/>
    <cellStyle name="输出 7 4" xfId="12443" xr:uid="{5F81F402-3A89-4EBD-945B-348695986C1F}"/>
    <cellStyle name="输出 7 5" xfId="14097" xr:uid="{69E4675F-69FD-4FE1-984E-0AC11A87965D}"/>
    <cellStyle name="输出 7 6" xfId="15783" xr:uid="{02356843-66A0-43F6-A08B-BCC29CD209D2}"/>
    <cellStyle name="输出 8" xfId="3398" xr:uid="{1D296A78-A198-4727-B799-1473BBD64D68}"/>
    <cellStyle name="输出 8 2" xfId="6073" xr:uid="{F9FA88F7-536C-4A59-B38F-177C265C2705}"/>
    <cellStyle name="输出 8 3" xfId="9017" xr:uid="{24E5DFE6-E215-464A-95E9-E9C92EB8CB7F}"/>
    <cellStyle name="输出 8 4" xfId="5259" xr:uid="{D7DE767D-6F53-4812-958D-4691AEB3E1DB}"/>
    <cellStyle name="输出 8 5" xfId="13660" xr:uid="{1C13CDAD-4C1B-4EAF-A2E5-BDB0EFC220AF}"/>
    <cellStyle name="输出 8 6" xfId="15351" xr:uid="{78BC77FE-C934-4A7B-B079-FCA42D976EF2}"/>
    <cellStyle name="输出 9" xfId="5723" xr:uid="{87CE4C9B-1ABE-4E8C-9F30-D367396DB2E5}"/>
    <cellStyle name="适中" xfId="240" xr:uid="{EC85049A-3035-4A75-90C5-075697A17C2E}"/>
    <cellStyle name="連結的儲存格" xfId="17381" xr:uid="{D9C5AB1D-F51C-445C-84E3-DCFB2D9FD98D}"/>
    <cellStyle name="链接单元格" xfId="241" xr:uid="{62329A71-1286-41BD-8126-79E40B12691D}"/>
    <cellStyle name="㼿" xfId="16949" xr:uid="{602418FF-CBBE-4D55-92CD-B09C45C0D0BE}"/>
    <cellStyle name="㼿?" xfId="16950" xr:uid="{AE7303AD-6177-4124-BCE6-4AE236323599}"/>
    <cellStyle name="㼿㼿" xfId="16951" xr:uid="{26258D9B-7ABF-443E-A42D-2D817B21D634}"/>
    <cellStyle name="㼿㼿?" xfId="16952" xr:uid="{33B5C926-A048-4F21-B75A-FAB94F4838B5}"/>
    <cellStyle name="㼿㼿㼿" xfId="16953" xr:uid="{8C03B94C-DD93-4731-8CF1-6F9F3839F52E}"/>
    <cellStyle name="㼿㼿㼿㼿?" xfId="16954" xr:uid="{AE7DE355-D375-499D-AA05-CDA9BD09039C}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B043F3"/>
      <color rgb="FF8A0A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4</xdr:row>
      <xdr:rowOff>28575</xdr:rowOff>
    </xdr:from>
    <xdr:to>
      <xdr:col>4</xdr:col>
      <xdr:colOff>504825</xdr:colOff>
      <xdr:row>4</xdr:row>
      <xdr:rowOff>104775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D9ADE685-F47E-04D2-93E6-5EF29E89E24D}"/>
            </a:ext>
          </a:extLst>
        </xdr:cNvPr>
        <xdr:cNvSpPr/>
      </xdr:nvSpPr>
      <xdr:spPr>
        <a:xfrm rot="5400000">
          <a:off x="4048125" y="561975"/>
          <a:ext cx="76200" cy="43815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466725</xdr:colOff>
      <xdr:row>4</xdr:row>
      <xdr:rowOff>161924</xdr:rowOff>
    </xdr:from>
    <xdr:to>
      <xdr:col>4</xdr:col>
      <xdr:colOff>809625</xdr:colOff>
      <xdr:row>9</xdr:row>
      <xdr:rowOff>95249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F76AFF-D089-6852-8D34-BC20CE64AB6D}"/>
            </a:ext>
          </a:extLst>
        </xdr:cNvPr>
        <xdr:cNvSpPr/>
      </xdr:nvSpPr>
      <xdr:spPr>
        <a:xfrm>
          <a:off x="3657600" y="876299"/>
          <a:ext cx="952500" cy="885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MYC = PRODUKSI SUEDE</a:t>
          </a:r>
        </a:p>
      </xdr:txBody>
    </xdr:sp>
    <xdr:clientData/>
  </xdr:twoCellAnchor>
  <xdr:twoCellAnchor>
    <xdr:from>
      <xdr:col>4</xdr:col>
      <xdr:colOff>581025</xdr:colOff>
      <xdr:row>2</xdr:row>
      <xdr:rowOff>38100</xdr:rowOff>
    </xdr:from>
    <xdr:to>
      <xdr:col>4</xdr:col>
      <xdr:colOff>1152525</xdr:colOff>
      <xdr:row>3</xdr:row>
      <xdr:rowOff>28575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CCEB4E2E-943D-EA13-F2B9-E72F0DEA861C}"/>
            </a:ext>
          </a:extLst>
        </xdr:cNvPr>
        <xdr:cNvSpPr/>
      </xdr:nvSpPr>
      <xdr:spPr>
        <a:xfrm rot="5400000">
          <a:off x="4576762" y="33338"/>
          <a:ext cx="180975" cy="571500"/>
        </a:xfrm>
        <a:prstGeom prst="lef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247650</xdr:colOff>
      <xdr:row>0</xdr:row>
      <xdr:rowOff>28575</xdr:rowOff>
    </xdr:from>
    <xdr:to>
      <xdr:col>4</xdr:col>
      <xdr:colOff>1828800</xdr:colOff>
      <xdr:row>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2C4D06-ACA8-5229-EA3E-448D40C9FE2D}"/>
            </a:ext>
          </a:extLst>
        </xdr:cNvPr>
        <xdr:cNvSpPr/>
      </xdr:nvSpPr>
      <xdr:spPr>
        <a:xfrm>
          <a:off x="4048125" y="28575"/>
          <a:ext cx="158115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LR028 = KODE FACTORY</a:t>
          </a:r>
        </a:p>
      </xdr:txBody>
    </xdr:sp>
    <xdr:clientData/>
  </xdr:twoCellAnchor>
  <xdr:twoCellAnchor>
    <xdr:from>
      <xdr:col>4</xdr:col>
      <xdr:colOff>1243012</xdr:colOff>
      <xdr:row>4</xdr:row>
      <xdr:rowOff>23814</xdr:rowOff>
    </xdr:from>
    <xdr:to>
      <xdr:col>4</xdr:col>
      <xdr:colOff>1943099</xdr:colOff>
      <xdr:row>4</xdr:row>
      <xdr:rowOff>142878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932F4424-B52C-73EB-E062-F4A946DC2820}"/>
            </a:ext>
          </a:extLst>
        </xdr:cNvPr>
        <xdr:cNvSpPr/>
      </xdr:nvSpPr>
      <xdr:spPr>
        <a:xfrm rot="5400000">
          <a:off x="5333999" y="638177"/>
          <a:ext cx="119064" cy="700087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1238250</xdr:colOff>
      <xdr:row>5</xdr:row>
      <xdr:rowOff>19050</xdr:rowOff>
    </xdr:from>
    <xdr:to>
      <xdr:col>4</xdr:col>
      <xdr:colOff>2152650</xdr:colOff>
      <xdr:row>8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C4A61FF-A189-4A04-E7D5-6548F679A50A}"/>
            </a:ext>
          </a:extLst>
        </xdr:cNvPr>
        <xdr:cNvSpPr/>
      </xdr:nvSpPr>
      <xdr:spPr>
        <a:xfrm>
          <a:off x="5038725" y="1114425"/>
          <a:ext cx="914400" cy="685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250107 = TANGGAL INPUT</a:t>
          </a:r>
        </a:p>
      </xdr:txBody>
    </xdr:sp>
    <xdr:clientData/>
  </xdr:twoCellAnchor>
  <xdr:twoCellAnchor>
    <xdr:from>
      <xdr:col>5</xdr:col>
      <xdr:colOff>47625</xdr:colOff>
      <xdr:row>3</xdr:row>
      <xdr:rowOff>142875</xdr:rowOff>
    </xdr:from>
    <xdr:to>
      <xdr:col>5</xdr:col>
      <xdr:colOff>533400</xdr:colOff>
      <xdr:row>3</xdr:row>
      <xdr:rowOff>142875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A1F3649-E854-1D95-F610-A0445BB8F3D4}"/>
            </a:ext>
          </a:extLst>
        </xdr:cNvPr>
        <xdr:cNvCxnSpPr/>
      </xdr:nvCxnSpPr>
      <xdr:spPr>
        <a:xfrm>
          <a:off x="6353175" y="714375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</xdr:row>
      <xdr:rowOff>171450</xdr:rowOff>
    </xdr:from>
    <xdr:to>
      <xdr:col>7</xdr:col>
      <xdr:colOff>581025</xdr:colOff>
      <xdr:row>5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A1AF680-D6B9-B38B-48F5-6C81671F9345}"/>
            </a:ext>
          </a:extLst>
        </xdr:cNvPr>
        <xdr:cNvSpPr/>
      </xdr:nvSpPr>
      <xdr:spPr>
        <a:xfrm>
          <a:off x="6924675" y="552450"/>
          <a:ext cx="1181100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001 = URUTAN DI SISTEM</a:t>
          </a:r>
        </a:p>
      </xdr:txBody>
    </xdr:sp>
    <xdr:clientData/>
  </xdr:twoCellAnchor>
  <xdr:twoCellAnchor>
    <xdr:from>
      <xdr:col>12</xdr:col>
      <xdr:colOff>47625</xdr:colOff>
      <xdr:row>10</xdr:row>
      <xdr:rowOff>19049</xdr:rowOff>
    </xdr:from>
    <xdr:to>
      <xdr:col>12</xdr:col>
      <xdr:colOff>571500</xdr:colOff>
      <xdr:row>10</xdr:row>
      <xdr:rowOff>123824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C0155EE4-3E8B-9822-C8AE-F033A425F2A7}"/>
            </a:ext>
          </a:extLst>
        </xdr:cNvPr>
        <xdr:cNvSpPr/>
      </xdr:nvSpPr>
      <xdr:spPr>
        <a:xfrm rot="5400000">
          <a:off x="10829925" y="2105024"/>
          <a:ext cx="104775" cy="523875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66675</xdr:colOff>
      <xdr:row>10</xdr:row>
      <xdr:rowOff>9525</xdr:rowOff>
    </xdr:from>
    <xdr:to>
      <xdr:col>13</xdr:col>
      <xdr:colOff>590550</xdr:colOff>
      <xdr:row>10</xdr:row>
      <xdr:rowOff>114300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9D0EB2A0-56BC-4244-AA02-C0736E6E7969}"/>
            </a:ext>
          </a:extLst>
        </xdr:cNvPr>
        <xdr:cNvSpPr/>
      </xdr:nvSpPr>
      <xdr:spPr>
        <a:xfrm rot="5400000">
          <a:off x="12163425" y="2095500"/>
          <a:ext cx="104775" cy="523875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676275</xdr:colOff>
      <xdr:row>8</xdr:row>
      <xdr:rowOff>171450</xdr:rowOff>
    </xdr:from>
    <xdr:to>
      <xdr:col>12</xdr:col>
      <xdr:colOff>1200150</xdr:colOff>
      <xdr:row>9</xdr:row>
      <xdr:rowOff>85725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4240DE6D-29FF-42F7-8BA9-C0B59D1A65F1}"/>
            </a:ext>
          </a:extLst>
        </xdr:cNvPr>
        <xdr:cNvSpPr/>
      </xdr:nvSpPr>
      <xdr:spPr>
        <a:xfrm rot="16200000">
          <a:off x="11458575" y="1704975"/>
          <a:ext cx="104775" cy="523875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600075</xdr:colOff>
      <xdr:row>11</xdr:row>
      <xdr:rowOff>9525</xdr:rowOff>
    </xdr:from>
    <xdr:to>
      <xdr:col>12</xdr:col>
      <xdr:colOff>800100</xdr:colOff>
      <xdr:row>13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D72E53C-5D38-5419-7F5F-34BC130136E8}"/>
            </a:ext>
          </a:extLst>
        </xdr:cNvPr>
        <xdr:cNvSpPr/>
      </xdr:nvSpPr>
      <xdr:spPr>
        <a:xfrm>
          <a:off x="10563225" y="2495550"/>
          <a:ext cx="809625" cy="69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PUM = PRODUKSI PU</a:t>
          </a:r>
        </a:p>
      </xdr:txBody>
    </xdr:sp>
    <xdr:clientData/>
  </xdr:twoCellAnchor>
  <xdr:twoCellAnchor>
    <xdr:from>
      <xdr:col>12</xdr:col>
      <xdr:colOff>409575</xdr:colOff>
      <xdr:row>7</xdr:row>
      <xdr:rowOff>47625</xdr:rowOff>
    </xdr:from>
    <xdr:to>
      <xdr:col>13</xdr:col>
      <xdr:colOff>714375</xdr:colOff>
      <xdr:row>8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621027-E564-48A7-E73B-16BDFEF2C434}"/>
            </a:ext>
          </a:extLst>
        </xdr:cNvPr>
        <xdr:cNvSpPr/>
      </xdr:nvSpPr>
      <xdr:spPr>
        <a:xfrm>
          <a:off x="10982325" y="1600200"/>
          <a:ext cx="1619250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SL043 = KODE FACTORY</a:t>
          </a:r>
        </a:p>
      </xdr:txBody>
    </xdr:sp>
    <xdr:clientData/>
  </xdr:twoCellAnchor>
  <xdr:twoCellAnchor>
    <xdr:from>
      <xdr:col>12</xdr:col>
      <xdr:colOff>1285875</xdr:colOff>
      <xdr:row>10</xdr:row>
      <xdr:rowOff>161925</xdr:rowOff>
    </xdr:from>
    <xdr:to>
      <xdr:col>13</xdr:col>
      <xdr:colOff>933450</xdr:colOff>
      <xdr:row>12</xdr:row>
      <xdr:rowOff>180975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74A49DE-FE01-0D95-D93D-25AC5EF72CB3}"/>
            </a:ext>
          </a:extLst>
        </xdr:cNvPr>
        <xdr:cNvSpPr/>
      </xdr:nvSpPr>
      <xdr:spPr>
        <a:xfrm>
          <a:off x="11858625" y="2457450"/>
          <a:ext cx="962025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250710 = TGL</a:t>
          </a:r>
          <a:r>
            <a:rPr lang="en-ID" sz="1100" baseline="0"/>
            <a:t> INPUT</a:t>
          </a:r>
          <a:endParaRPr lang="en-ID" sz="1100"/>
        </a:p>
      </xdr:txBody>
    </xdr:sp>
    <xdr:clientData/>
  </xdr:twoCellAnchor>
  <xdr:twoCellAnchor>
    <xdr:from>
      <xdr:col>14</xdr:col>
      <xdr:colOff>28575</xdr:colOff>
      <xdr:row>9</xdr:row>
      <xdr:rowOff>171450</xdr:rowOff>
    </xdr:from>
    <xdr:to>
      <xdr:col>15</xdr:col>
      <xdr:colOff>266700</xdr:colOff>
      <xdr:row>9</xdr:row>
      <xdr:rowOff>171450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BC27C89-F135-4656-B242-249930C80AE4}"/>
            </a:ext>
          </a:extLst>
        </xdr:cNvPr>
        <xdr:cNvCxnSpPr/>
      </xdr:nvCxnSpPr>
      <xdr:spPr>
        <a:xfrm>
          <a:off x="13296900" y="2105025"/>
          <a:ext cx="8477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8</xdr:row>
      <xdr:rowOff>180975</xdr:rowOff>
    </xdr:from>
    <xdr:to>
      <xdr:col>16</xdr:col>
      <xdr:colOff>561975</xdr:colOff>
      <xdr:row>12</xdr:row>
      <xdr:rowOff>47625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3FEEFA9-EA84-D744-66A3-2F03DB65C7BE}"/>
            </a:ext>
          </a:extLst>
        </xdr:cNvPr>
        <xdr:cNvSpPr/>
      </xdr:nvSpPr>
      <xdr:spPr>
        <a:xfrm>
          <a:off x="14173200" y="1924050"/>
          <a:ext cx="876300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002</a:t>
          </a:r>
          <a:r>
            <a:rPr lang="en-ID" sz="1100" baseline="0"/>
            <a:t> = URUTAN DI SISTEM</a:t>
          </a:r>
          <a:endParaRPr lang="en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5099\Downloads\Bid+Form-NIKEFWBAP--FAHO24-Rou-TONGHONGTANNERYCOLTD-1018231311.xlsm" TargetMode="External"/><Relationship Id="rId1" Type="http://schemas.openxmlformats.org/officeDocument/2006/relationships/externalLinkPath" Target="/Users/15099/Downloads/Bid+Form-NIKEFWBAP--FAHO24-Rou-TONGHONGTANNERYCOLTD-10182313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erial Price List"/>
      <sheetName val="UOM"/>
      <sheetName val="TOC"/>
      <sheetName val="validationInfo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CIF</v>
          </cell>
        </row>
        <row r="2">
          <cell r="A2" t="str">
            <v>CNF</v>
          </cell>
        </row>
        <row r="3">
          <cell r="A3" t="str">
            <v>CNI</v>
          </cell>
        </row>
        <row r="4">
          <cell r="A4" t="str">
            <v>DDP</v>
          </cell>
        </row>
        <row r="5">
          <cell r="A5" t="str">
            <v>DDU</v>
          </cell>
        </row>
        <row r="6">
          <cell r="A6" t="str">
            <v>EXW</v>
          </cell>
        </row>
        <row r="7">
          <cell r="A7" t="str">
            <v>FOB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2" headers="0" growShrinkType="overwriteClear" adjustColumnWidth="0" connectionId="7" xr16:uid="{D9792AE9-820B-4B78-88F2-06E907F021D8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2" headers="0" growShrinkType="overwriteClear" adjustColumnWidth="0" connectionId="2" xr16:uid="{A5AD74A8-1EEA-431E-B9D6-B638CEAEF834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6" headers="0" growShrinkType="overwriteClear" adjustColumnWidth="0" connectionId="10" xr16:uid="{8B067BA1-D71A-4E46-B53A-A7A675E0655A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plan_Date"/>
      <deletedField name="Trace_Name"/>
      <deletedField name="not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0" headers="0" growShrinkType="overwriteClear" adjustColumnWidth="0" connectionId="5" xr16:uid="{4E0AEDCA-3B8A-410E-A8A3-8E0A37C665C3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4">
      <deletedField name="add_amt"/>
      <deletedField name="plan_Date"/>
      <deletedField name="Trace_Name"/>
      <deletedField name="deliv_Dat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5" headers="0" growShrinkType="overwriteClear" adjustColumnWidth="0" connectionId="12" xr16:uid="{3D4B0830-4695-44A4-A8E2-E04C130DAE97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plan_Date"/>
      <deletedField name="Trace_Name"/>
      <deletedField name="not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1" headers="0" growShrinkType="overwriteClear" adjustColumnWidth="0" connectionId="22" xr16:uid="{299386E2-CE59-46A4-9174-037DDC1E39BC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plan_Date"/>
      <deletedField name="Trace_Name"/>
      <deletedField name="note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7" headers="0" growShrinkType="overwriteClear" adjustColumnWidth="0" connectionId="11" xr16:uid="{3C3F3C92-AD0C-40C2-8CAA-3D4D2FC31AC0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plan_Date"/>
      <deletedField name="Trace_Name"/>
      <deletedField name="note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1" headers="0" growShrinkType="overwriteClear" adjustColumnWidth="0" connectionId="19" xr16:uid="{ECD6417D-BD67-4EEC-9C97-2A10228AB4C5}" autoFormatId="16" applyNumberFormats="0" applyBorderFormats="0" applyFontFormats="1" applyPatternFormats="1" applyAlignmentFormats="0" applyWidthHeightFormats="0">
  <queryTableRefresh headersInLastRefresh="0" nextId="30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</queryTableFields>
    <queryTableDeletedFields count="5">
      <deletedField name="add_amt"/>
      <deletedField name="note"/>
      <deletedField name="plan_Date"/>
      <deletedField name="Trace_Name"/>
      <deletedField name="deliv_Date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7" headers="0" growShrinkType="overwriteClear" adjustColumnWidth="0" connectionId="30" xr16:uid="{2F1476B5-147D-4380-BC23-6CCB0E33912F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name="plan_Date"/>
      <queryTableField id="24" name="Trace_Name"/>
      <queryTableField id="26" name="mo_no"/>
      <queryTableField id="25" name="note"/>
    </queryTableFields>
    <queryTableDeletedFields count="1">
      <deletedField name="add_amt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9" headers="0" growShrinkType="overwriteClear" adjustColumnWidth="0" connectionId="1" xr16:uid="{D31D26B6-06D2-4BE3-9739-D232D5D087EC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28" dataBound="0" fillFormulas="1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4">
      <deletedField name="add_amt"/>
      <deletedField name="plan_Date"/>
      <deletedField name="Trace_Name"/>
      <deletedField name="deliv_Date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2" headers="0" growShrinkType="overwriteClear" adjustColumnWidth="0" connectionId="20" xr16:uid="{61670477-96AA-47DF-A8C1-3AC29EF61131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</queryTableFields>
    <queryTableDeletedFields count="5">
      <deletedField name="add_amt"/>
      <deletedField name="plan_Date"/>
      <deletedField name="Trace_Name"/>
      <deletedField name="deliv_Date"/>
      <deletedField name="note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3" headers="0" growShrinkType="overwriteClear" adjustColumnWidth="0" connectionId="38" xr16:uid="{F81E121D-2866-455E-A8EC-E128B20CC6B0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8" headers="0" growShrinkType="overwriteClear" adjustColumnWidth="0" connectionId="35" xr16:uid="{7F567C63-99DF-446B-9B5E-5AB99B7B19D6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name="plan_Date"/>
      <queryTableField id="24" name="Trace_Name"/>
      <queryTableField id="26" name="mo_no"/>
      <queryTableField id="25" name="note"/>
    </queryTableFields>
    <queryTableDeletedFields count="1">
      <deletedField name="add_amt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0" headers="0" growShrinkType="overwriteClear" adjustColumnWidth="0" connectionId="21" xr16:uid="{8D3A6F5F-3D44-4ACC-85F0-6179792D1303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plan_Date"/>
      <deletedField name="Trace_Name"/>
      <deletedField name="note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4" headers="0" growShrinkType="overwriteClear" adjustColumnWidth="0" connectionId="37" xr16:uid="{6FF34E3C-61D9-4E10-9850-4726536E1B1E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plan_Date"/>
      <deletedField name="Trace_Name"/>
      <deletedField name="note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8" headers="0" growShrinkType="overwriteClear" adjustColumnWidth="0" connectionId="14" xr16:uid="{B6C49AD0-034B-4D23-BF18-B5C94C8BE94D}" autoFormatId="16" applyNumberFormats="0" applyBorderFormats="0" applyFontFormats="1" applyPatternFormats="1" applyAlignmentFormats="0" applyWidthHeightFormats="0">
  <queryTableRefresh headersInLastRefresh="0" nextId="31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</queryTableFields>
    <queryTableDeletedFields count="5">
      <deletedField name="add_amt"/>
      <deletedField name="plan_Date"/>
      <deletedField name="Trace_Name"/>
      <deletedField name="deliv_Date"/>
      <deletedField name="note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1" headers="0" growShrinkType="overwriteClear" adjustColumnWidth="0" connectionId="6" xr16:uid="{CF361235-0E05-442E-B23A-3D56EF1ECDE7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4">
      <deletedField name="add_amt"/>
      <deletedField name="deliv_Date"/>
      <deletedField name="plan_Date"/>
      <deletedField name="Trace_Name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9" headers="0" growShrinkType="overwriteClear" adjustColumnWidth="0" connectionId="4" xr16:uid="{B4DD9AAF-7EE5-49AB-B213-BBA3428A5715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dataBound="0" fillFormulas="1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4">
      <deletedField name="add_amt"/>
      <deletedField name="plan_Date"/>
      <deletedField name="Trace_Name"/>
      <deletedField name="deliv_Date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6" headers="0" growShrinkType="overwriteClear" adjustColumnWidth="0" connectionId="18" xr16:uid="{8DABEE45-1FEA-4385-8107-6262D8B2E94E}" autoFormatId="16" applyNumberFormats="0" applyBorderFormats="0" applyFontFormats="1" applyPatternFormats="1" applyAlignmentFormats="0" applyWidthHeightFormats="0">
  <queryTableRefresh headersInLastRefresh="0" nextId="30">
    <queryTableFields count="23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 dataBound="0" fillFormulas="1"/>
      <queryTableField id="23" dataBound="0" fillFormulas="1"/>
      <queryTableField id="24" dataBound="0" fillFormulas="1"/>
      <queryTableField id="26" name="mo_no"/>
    </queryTableFields>
    <queryTableDeletedFields count="4">
      <deletedField name="add_amt"/>
      <deletedField name="note"/>
      <deletedField name="plan_Date"/>
      <deletedField name="Trace_Name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7" headers="0" growShrinkType="overwriteClear" adjustColumnWidth="0" connectionId="17" xr16:uid="{3100C281-FD13-4861-B734-E52AB0A3864B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2" headers="0" growShrinkType="overwriteClear" adjustColumnWidth="0" connectionId="31" xr16:uid="{68344E96-BA72-4AEE-90AE-1EA242D968F7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0" headers="0" growShrinkType="overwriteClear" adjustColumnWidth="0" connectionId="24" xr16:uid="{7BBAEDD9-F27B-4771-8A0D-AC1AF5C60BDF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4" headers="0" growShrinkType="overwriteClear" adjustColumnWidth="0" connectionId="36" xr16:uid="{C3826923-3FEE-4341-A649-734CC92BB691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28" dataBound="0" fillFormulas="1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9" headers="0" growShrinkType="overwriteClear" adjustColumnWidth="0" connectionId="23" xr16:uid="{1DE21589-E491-4E0F-A56C-6490322BA380}" autoFormatId="16" applyNumberFormats="0" applyBorderFormats="0" applyFontFormats="1" applyPatternFormats="1" applyAlignmentFormats="0" applyWidthHeightFormats="0">
  <queryTableRefresh headersInLastRefresh="0" nextId="32">
    <queryTableFields count="24">
      <queryTableField id="1" name="order_date"/>
      <queryTableField id="2" name="order_No"/>
      <queryTableField id="3" name="Cust_name"/>
      <queryTableField id="12" name="pin_Pai"/>
      <queryTableField id="8"/>
      <queryTableField id="4" name="cuSt_order"/>
      <queryTableField id="5" name="mtr_name"/>
      <queryTableField id="6" name="Mtr_thick"/>
      <queryTableField id="7" name="mtr_line"/>
      <queryTableField id="9" name="mtr_soft"/>
      <queryTableField id="10"/>
      <queryTableField id="11" name="cust_soft"/>
      <queryTableField id="13" name="Mtr_Amt"/>
      <queryTableField id="16" name="mtr_prs"/>
      <queryTableField id="18" name="color_card"/>
      <queryTableField id="19" name="bottom_color"/>
      <queryTableField id="20" name="shoe_model"/>
      <queryTableField id="21" name="cust_mtrtype"/>
      <queryTableField id="17" name="deliv_Date"/>
      <queryTableField id="22"/>
      <queryTableField id="23" dataBound="0" fillFormulas="1"/>
      <queryTableField id="24" dataBound="0" fillFormulas="1"/>
      <queryTableField id="26" name="mo_no"/>
      <queryTableField id="25" name="note"/>
    </queryTableFields>
    <queryTableDeletedFields count="3">
      <deletedField name="add_amt"/>
      <deletedField name="plan_Date"/>
      <deletedField name="Trace_Name"/>
    </queryTableDeleted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6.xml"/><Relationship Id="rId13" Type="http://schemas.openxmlformats.org/officeDocument/2006/relationships/queryTable" Target="../queryTables/queryTable11.xml"/><Relationship Id="rId18" Type="http://schemas.openxmlformats.org/officeDocument/2006/relationships/queryTable" Target="../queryTables/queryTable16.xml"/><Relationship Id="rId3" Type="http://schemas.openxmlformats.org/officeDocument/2006/relationships/queryTable" Target="../queryTables/queryTable1.xml"/><Relationship Id="rId21" Type="http://schemas.openxmlformats.org/officeDocument/2006/relationships/queryTable" Target="../queryTables/queryTable19.xml"/><Relationship Id="rId7" Type="http://schemas.openxmlformats.org/officeDocument/2006/relationships/queryTable" Target="../queryTables/queryTable5.xml"/><Relationship Id="rId12" Type="http://schemas.openxmlformats.org/officeDocument/2006/relationships/queryTable" Target="../queryTables/queryTable10.xml"/><Relationship Id="rId17" Type="http://schemas.openxmlformats.org/officeDocument/2006/relationships/queryTable" Target="../queryTables/queryTable15.xml"/><Relationship Id="rId2" Type="http://schemas.openxmlformats.org/officeDocument/2006/relationships/vmlDrawing" Target="../drawings/vmlDrawing1.vml"/><Relationship Id="rId16" Type="http://schemas.openxmlformats.org/officeDocument/2006/relationships/queryTable" Target="../queryTables/queryTable14.xml"/><Relationship Id="rId20" Type="http://schemas.openxmlformats.org/officeDocument/2006/relationships/queryTable" Target="../queryTables/queryTable18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11" Type="http://schemas.openxmlformats.org/officeDocument/2006/relationships/queryTable" Target="../queryTables/queryTable9.xml"/><Relationship Id="rId5" Type="http://schemas.openxmlformats.org/officeDocument/2006/relationships/queryTable" Target="../queryTables/queryTable3.xml"/><Relationship Id="rId15" Type="http://schemas.openxmlformats.org/officeDocument/2006/relationships/queryTable" Target="../queryTables/queryTable13.xml"/><Relationship Id="rId10" Type="http://schemas.openxmlformats.org/officeDocument/2006/relationships/queryTable" Target="../queryTables/queryTable8.xml"/><Relationship Id="rId19" Type="http://schemas.openxmlformats.org/officeDocument/2006/relationships/queryTable" Target="../queryTables/queryTable17.xml"/><Relationship Id="rId4" Type="http://schemas.openxmlformats.org/officeDocument/2006/relationships/queryTable" Target="../queryTables/queryTable2.xml"/><Relationship Id="rId9" Type="http://schemas.openxmlformats.org/officeDocument/2006/relationships/queryTable" Target="../queryTables/queryTable7.xml"/><Relationship Id="rId14" Type="http://schemas.openxmlformats.org/officeDocument/2006/relationships/queryTable" Target="../queryTables/queryTable12.xml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1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6" Type="http://schemas.openxmlformats.org/officeDocument/2006/relationships/queryTable" Target="../queryTables/queryTable24.xml"/><Relationship Id="rId5" Type="http://schemas.openxmlformats.org/officeDocument/2006/relationships/queryTable" Target="../queryTables/queryTable23.xml"/><Relationship Id="rId4" Type="http://schemas.openxmlformats.org/officeDocument/2006/relationships/queryTable" Target="../queryTables/queryTable2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954F-4805-403C-B958-01E62CFF16C4}">
  <sheetPr codeName="Sheet4">
    <pageSetUpPr fitToPage="1"/>
  </sheetPr>
  <dimension ref="A1:BO1313"/>
  <sheetViews>
    <sheetView zoomScale="115" zoomScaleNormal="115" workbookViewId="0">
      <pane xSplit="4" ySplit="3" topLeftCell="T4" activePane="bottomRight" state="frozen"/>
      <selection pane="topRight" activeCell="E1" sqref="E1"/>
      <selection pane="bottomLeft" activeCell="A4" sqref="A4"/>
      <selection pane="bottomRight" activeCell="X6" sqref="X6"/>
    </sheetView>
  </sheetViews>
  <sheetFormatPr defaultRowHeight="15"/>
  <cols>
    <col min="1" max="1" width="9" bestFit="1" customWidth="1"/>
    <col min="2" max="2" width="12.85546875" bestFit="1" customWidth="1"/>
    <col min="3" max="3" width="20" bestFit="1" customWidth="1"/>
    <col min="4" max="4" width="8.7109375" customWidth="1"/>
    <col min="5" max="5" width="10.7109375" customWidth="1"/>
    <col min="6" max="6" width="35.85546875" customWidth="1"/>
    <col min="7" max="7" width="20.85546875" customWidth="1"/>
    <col min="8" max="8" width="13.42578125" customWidth="1"/>
    <col min="9" max="9" width="9.5703125" customWidth="1"/>
    <col min="10" max="10" width="18.28515625" customWidth="1"/>
    <col min="11" max="11" width="26.28515625" customWidth="1"/>
    <col min="12" max="12" width="11.85546875" customWidth="1"/>
    <col min="13" max="13" width="16.85546875" customWidth="1"/>
    <col min="14" max="14" width="7.28515625" customWidth="1"/>
    <col min="15" max="15" width="19.7109375" customWidth="1"/>
    <col min="16" max="16" width="11.5703125" customWidth="1"/>
    <col min="17" max="17" width="25.140625" customWidth="1"/>
    <col min="18" max="18" width="46.42578125" customWidth="1"/>
    <col min="19" max="19" width="6.140625" customWidth="1"/>
    <col min="20" max="20" width="12.85546875" bestFit="1" customWidth="1"/>
    <col min="21" max="21" width="18.28515625" customWidth="1"/>
    <col min="22" max="22" width="17.140625" style="62" customWidth="1"/>
    <col min="23" max="23" width="18" customWidth="1"/>
    <col min="24" max="24" width="21" customWidth="1"/>
    <col min="25" max="25" width="26.28515625" customWidth="1"/>
    <col min="26" max="26" width="9.42578125" bestFit="1" customWidth="1"/>
    <col min="27" max="27" width="10.7109375" bestFit="1" customWidth="1"/>
    <col min="28" max="28" width="9.42578125" bestFit="1" customWidth="1"/>
    <col min="29" max="29" width="10.7109375" bestFit="1" customWidth="1"/>
    <col min="30" max="30" width="9.42578125" bestFit="1" customWidth="1"/>
    <col min="31" max="31" width="10.7109375" bestFit="1" customWidth="1"/>
    <col min="32" max="32" width="9.42578125" bestFit="1" customWidth="1"/>
    <col min="33" max="33" width="10.7109375" bestFit="1" customWidth="1"/>
    <col min="34" max="34" width="9.42578125" bestFit="1" customWidth="1"/>
    <col min="35" max="35" width="10.7109375" bestFit="1" customWidth="1"/>
  </cols>
  <sheetData>
    <row r="1" spans="1:67" ht="23.25">
      <c r="A1" s="427" t="s">
        <v>78</v>
      </c>
      <c r="B1" s="427"/>
      <c r="C1" s="427"/>
      <c r="M1" s="41">
        <f>SUBTOTAL(9,M4:M1048576)</f>
        <v>3049720.0399999991</v>
      </c>
      <c r="U1" s="41">
        <f>SUBTOTAL(9,U4:U1048576)</f>
        <v>30585.999999999996</v>
      </c>
      <c r="V1" s="61">
        <f>SUBTOTAL(9,V4:V1048576)</f>
        <v>116897.87999999999</v>
      </c>
      <c r="W1" s="64"/>
      <c r="X1" s="65"/>
      <c r="Y1" s="65"/>
    </row>
    <row r="2" spans="1:67" s="66" customFormat="1" ht="19.5" customHeight="1">
      <c r="A2" s="419" t="s">
        <v>0</v>
      </c>
      <c r="B2" s="419" t="s">
        <v>1</v>
      </c>
      <c r="C2" s="418" t="s">
        <v>2</v>
      </c>
      <c r="D2" s="419" t="s">
        <v>3</v>
      </c>
      <c r="E2" s="418" t="s">
        <v>4</v>
      </c>
      <c r="F2" s="419" t="s">
        <v>123</v>
      </c>
      <c r="G2" s="419" t="s">
        <v>6</v>
      </c>
      <c r="H2" s="419" t="s">
        <v>7</v>
      </c>
      <c r="I2" s="419" t="s">
        <v>8</v>
      </c>
      <c r="J2" s="418" t="s">
        <v>9</v>
      </c>
      <c r="K2" s="419" t="s">
        <v>10</v>
      </c>
      <c r="L2" s="418" t="s">
        <v>11</v>
      </c>
      <c r="M2" s="419" t="s">
        <v>39</v>
      </c>
      <c r="N2" s="420" t="s">
        <v>12</v>
      </c>
      <c r="O2" s="419" t="s">
        <v>13</v>
      </c>
      <c r="P2" s="419" t="s">
        <v>14</v>
      </c>
      <c r="Q2" s="419" t="s">
        <v>15</v>
      </c>
      <c r="R2" s="419" t="s">
        <v>16</v>
      </c>
      <c r="S2" s="419" t="s">
        <v>40</v>
      </c>
      <c r="T2" s="418" t="s">
        <v>17</v>
      </c>
      <c r="U2" s="422" t="s">
        <v>18</v>
      </c>
      <c r="V2" s="424" t="s">
        <v>41</v>
      </c>
      <c r="W2" s="419" t="s">
        <v>19</v>
      </c>
      <c r="X2" s="421" t="s">
        <v>20</v>
      </c>
      <c r="Y2" s="425" t="s">
        <v>1760</v>
      </c>
      <c r="Z2" s="419" t="s">
        <v>42</v>
      </c>
      <c r="AA2" s="419"/>
      <c r="AB2" s="419" t="s">
        <v>43</v>
      </c>
      <c r="AC2" s="419"/>
      <c r="AD2" s="419" t="s">
        <v>44</v>
      </c>
      <c r="AE2" s="419"/>
      <c r="AF2" s="419" t="s">
        <v>45</v>
      </c>
      <c r="AG2" s="419"/>
      <c r="AH2" s="419" t="s">
        <v>46</v>
      </c>
      <c r="AI2" s="419"/>
      <c r="AJ2" s="419" t="s">
        <v>81</v>
      </c>
      <c r="AK2" s="419"/>
      <c r="AL2" s="419" t="s">
        <v>83</v>
      </c>
      <c r="AM2" s="419"/>
      <c r="AN2" s="419" t="s">
        <v>1751</v>
      </c>
      <c r="AO2" s="419"/>
      <c r="AP2" s="419" t="s">
        <v>1752</v>
      </c>
      <c r="AQ2" s="419"/>
      <c r="AR2" s="419" t="s">
        <v>1753</v>
      </c>
      <c r="AS2" s="419"/>
      <c r="AT2" s="419" t="s">
        <v>1754</v>
      </c>
      <c r="AU2" s="419"/>
      <c r="AV2" s="419" t="s">
        <v>1755</v>
      </c>
      <c r="AW2" s="419"/>
      <c r="AX2" s="419" t="s">
        <v>1756</v>
      </c>
      <c r="AY2" s="419"/>
      <c r="AZ2" s="419" t="s">
        <v>1757</v>
      </c>
      <c r="BA2" s="419"/>
      <c r="BB2" s="419" t="s">
        <v>1758</v>
      </c>
      <c r="BC2" s="419"/>
      <c r="BD2" s="419" t="s">
        <v>1759</v>
      </c>
      <c r="BE2" s="419"/>
      <c r="BF2" s="419" t="s">
        <v>1772</v>
      </c>
      <c r="BG2" s="419"/>
      <c r="BH2" s="419" t="s">
        <v>1774</v>
      </c>
      <c r="BI2" s="419"/>
      <c r="BJ2" s="419" t="s">
        <v>1775</v>
      </c>
      <c r="BK2" s="419"/>
      <c r="BL2" s="419" t="s">
        <v>1791</v>
      </c>
      <c r="BM2" s="419"/>
      <c r="BN2" s="419" t="s">
        <v>1832</v>
      </c>
      <c r="BO2" s="419"/>
    </row>
    <row r="3" spans="1:67" s="66" customFormat="1" ht="17.25" customHeight="1">
      <c r="A3" s="419"/>
      <c r="B3" s="419"/>
      <c r="C3" s="418"/>
      <c r="D3" s="419"/>
      <c r="E3" s="418"/>
      <c r="F3" s="419"/>
      <c r="G3" s="419"/>
      <c r="H3" s="419"/>
      <c r="I3" s="419"/>
      <c r="J3" s="419"/>
      <c r="K3" s="419"/>
      <c r="L3" s="418"/>
      <c r="M3" s="419"/>
      <c r="N3" s="420"/>
      <c r="O3" s="419"/>
      <c r="P3" s="419"/>
      <c r="Q3" s="419"/>
      <c r="R3" s="419"/>
      <c r="S3" s="419"/>
      <c r="T3" s="418"/>
      <c r="U3" s="423"/>
      <c r="V3" s="424"/>
      <c r="W3" s="419"/>
      <c r="X3" s="421"/>
      <c r="Y3" s="426"/>
      <c r="Z3" s="67" t="s">
        <v>21</v>
      </c>
      <c r="AA3" s="68" t="s">
        <v>22</v>
      </c>
      <c r="AB3" s="67" t="s">
        <v>21</v>
      </c>
      <c r="AC3" s="68" t="s">
        <v>22</v>
      </c>
      <c r="AD3" s="67" t="s">
        <v>21</v>
      </c>
      <c r="AE3" s="68" t="s">
        <v>22</v>
      </c>
      <c r="AF3" s="67" t="s">
        <v>21</v>
      </c>
      <c r="AG3" s="68" t="s">
        <v>22</v>
      </c>
      <c r="AH3" s="67" t="s">
        <v>21</v>
      </c>
      <c r="AI3" s="68" t="s">
        <v>22</v>
      </c>
      <c r="AJ3" s="67" t="s">
        <v>21</v>
      </c>
      <c r="AK3" s="68" t="s">
        <v>22</v>
      </c>
      <c r="AL3" s="67" t="s">
        <v>21</v>
      </c>
      <c r="AM3" s="68" t="s">
        <v>22</v>
      </c>
      <c r="AN3" s="67" t="s">
        <v>21</v>
      </c>
      <c r="AO3" s="68" t="s">
        <v>22</v>
      </c>
      <c r="AP3" s="67" t="s">
        <v>21</v>
      </c>
      <c r="AQ3" s="68" t="s">
        <v>22</v>
      </c>
      <c r="AR3" s="67" t="s">
        <v>21</v>
      </c>
      <c r="AS3" s="68" t="s">
        <v>22</v>
      </c>
      <c r="AT3" s="67" t="s">
        <v>21</v>
      </c>
      <c r="AU3" s="68" t="s">
        <v>22</v>
      </c>
      <c r="AV3" s="67" t="s">
        <v>21</v>
      </c>
      <c r="AW3" s="68" t="s">
        <v>22</v>
      </c>
      <c r="AX3" s="67" t="s">
        <v>21</v>
      </c>
      <c r="AY3" s="68" t="s">
        <v>22</v>
      </c>
      <c r="AZ3" s="67" t="s">
        <v>21</v>
      </c>
      <c r="BA3" s="68" t="s">
        <v>22</v>
      </c>
      <c r="BB3" s="67" t="s">
        <v>21</v>
      </c>
      <c r="BC3" s="68" t="s">
        <v>22</v>
      </c>
      <c r="BD3" s="67" t="s">
        <v>21</v>
      </c>
      <c r="BE3" s="68" t="s">
        <v>22</v>
      </c>
      <c r="BF3" s="67" t="s">
        <v>21</v>
      </c>
      <c r="BG3" s="68" t="s">
        <v>22</v>
      </c>
      <c r="BH3" s="67" t="s">
        <v>21</v>
      </c>
      <c r="BI3" s="68" t="s">
        <v>22</v>
      </c>
      <c r="BJ3" s="67" t="s">
        <v>21</v>
      </c>
      <c r="BK3" s="68" t="s">
        <v>22</v>
      </c>
      <c r="BL3" s="67" t="s">
        <v>21</v>
      </c>
      <c r="BM3" s="68" t="s">
        <v>22</v>
      </c>
      <c r="BN3" s="67" t="s">
        <v>21</v>
      </c>
      <c r="BO3" s="68" t="s">
        <v>22</v>
      </c>
    </row>
    <row r="4" spans="1:67" s="36" customFormat="1" ht="20.25" customHeight="1">
      <c r="A4" s="7">
        <v>45664</v>
      </c>
      <c r="B4" s="19" t="s">
        <v>702</v>
      </c>
      <c r="C4" s="19" t="s">
        <v>243</v>
      </c>
      <c r="D4" s="19" t="s">
        <v>212</v>
      </c>
      <c r="E4" s="19" t="s">
        <v>25</v>
      </c>
      <c r="F4" s="19" t="s">
        <v>703</v>
      </c>
      <c r="G4" s="19" t="s">
        <v>71</v>
      </c>
      <c r="H4" s="19" t="s">
        <v>31</v>
      </c>
      <c r="I4" s="19" t="s">
        <v>63</v>
      </c>
      <c r="J4" s="19" t="s">
        <v>27</v>
      </c>
      <c r="K4" s="19" t="s">
        <v>384</v>
      </c>
      <c r="L4" s="19" t="s">
        <v>35</v>
      </c>
      <c r="M4" s="20">
        <v>301.10000000000002</v>
      </c>
      <c r="N4" s="25">
        <v>1.33</v>
      </c>
      <c r="O4" s="19" t="s">
        <v>67</v>
      </c>
      <c r="P4" s="19" t="s">
        <v>29</v>
      </c>
      <c r="Q4" s="19" t="s">
        <v>29</v>
      </c>
      <c r="R4" s="19" t="s">
        <v>29</v>
      </c>
      <c r="S4" s="8">
        <v>45678</v>
      </c>
      <c r="T4" s="8">
        <v>45680</v>
      </c>
      <c r="U4" s="19"/>
      <c r="V4" s="55">
        <f>M4-U4-Z4</f>
        <v>0</v>
      </c>
      <c r="W4" s="266" t="s">
        <v>704</v>
      </c>
      <c r="X4" s="15"/>
      <c r="Y4" s="15"/>
      <c r="Z4" s="19">
        <v>301.10000000000002</v>
      </c>
      <c r="AA4" s="18">
        <v>45679</v>
      </c>
      <c r="AB4" s="46"/>
      <c r="AC4" s="46"/>
      <c r="AD4" s="46"/>
      <c r="AE4" s="46"/>
      <c r="AF4" s="46"/>
      <c r="AG4" s="46"/>
      <c r="AH4" s="46"/>
      <c r="AI4" s="46"/>
      <c r="AJ4" s="239"/>
      <c r="AK4" s="239"/>
      <c r="AL4" s="239"/>
      <c r="AM4" s="239"/>
      <c r="AN4" s="379"/>
      <c r="AO4" s="379"/>
      <c r="AP4" s="379"/>
      <c r="AQ4" s="379"/>
      <c r="AR4" s="379"/>
      <c r="AS4" s="379"/>
      <c r="AT4" s="379"/>
      <c r="AU4" s="379"/>
      <c r="AV4" s="379"/>
      <c r="AW4" s="379"/>
      <c r="AX4" s="379"/>
      <c r="AY4" s="379"/>
      <c r="AZ4" s="379"/>
      <c r="BA4" s="379"/>
      <c r="BB4" s="379"/>
      <c r="BC4" s="379"/>
      <c r="BD4" s="379"/>
      <c r="BE4" s="379"/>
      <c r="BF4" s="140"/>
      <c r="BG4" s="29"/>
      <c r="BH4" s="29"/>
      <c r="BI4" s="29"/>
      <c r="BJ4" s="29"/>
      <c r="BK4" s="29"/>
      <c r="BL4" s="29"/>
      <c r="BM4" s="29"/>
      <c r="BN4" s="29"/>
      <c r="BO4" s="29"/>
    </row>
    <row r="5" spans="1:67" s="29" customFormat="1" ht="20.25" customHeight="1">
      <c r="A5" s="7">
        <v>45664</v>
      </c>
      <c r="B5" s="19" t="s">
        <v>702</v>
      </c>
      <c r="C5" s="19" t="s">
        <v>243</v>
      </c>
      <c r="D5" s="19" t="s">
        <v>212</v>
      </c>
      <c r="E5" s="19" t="s">
        <v>25</v>
      </c>
      <c r="F5" s="19" t="s">
        <v>703</v>
      </c>
      <c r="G5" s="19" t="s">
        <v>71</v>
      </c>
      <c r="H5" s="19" t="s">
        <v>31</v>
      </c>
      <c r="I5" s="19" t="s">
        <v>63</v>
      </c>
      <c r="J5" s="19" t="s">
        <v>27</v>
      </c>
      <c r="K5" s="19" t="s">
        <v>645</v>
      </c>
      <c r="L5" s="19" t="s">
        <v>35</v>
      </c>
      <c r="M5" s="20">
        <v>54.3</v>
      </c>
      <c r="N5" s="25">
        <v>1.33</v>
      </c>
      <c r="O5" s="19" t="s">
        <v>67</v>
      </c>
      <c r="P5" s="19" t="s">
        <v>29</v>
      </c>
      <c r="Q5" s="19" t="s">
        <v>29</v>
      </c>
      <c r="R5" s="19" t="s">
        <v>29</v>
      </c>
      <c r="S5" s="8">
        <v>45678</v>
      </c>
      <c r="T5" s="8">
        <v>45680</v>
      </c>
      <c r="U5" s="19"/>
      <c r="V5" s="55">
        <f>M5-U5-Z5</f>
        <v>0</v>
      </c>
      <c r="W5" s="15" t="s">
        <v>705</v>
      </c>
      <c r="X5" s="15"/>
      <c r="Y5" s="266"/>
      <c r="Z5" s="80">
        <v>54.3</v>
      </c>
      <c r="AA5" s="38">
        <v>45679</v>
      </c>
      <c r="AB5" s="142"/>
      <c r="AC5" s="142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28"/>
      <c r="BH5" s="28"/>
      <c r="BI5" s="28"/>
      <c r="BJ5" s="28"/>
      <c r="BK5" s="28"/>
      <c r="BL5" s="28"/>
      <c r="BM5" s="28"/>
      <c r="BN5" s="28"/>
      <c r="BO5" s="28"/>
    </row>
    <row r="6" spans="1:67" s="29" customFormat="1" ht="20.25" customHeight="1">
      <c r="A6" s="7">
        <v>45670</v>
      </c>
      <c r="B6" s="19" t="s">
        <v>706</v>
      </c>
      <c r="C6" s="19" t="s">
        <v>228</v>
      </c>
      <c r="D6" s="19" t="s">
        <v>212</v>
      </c>
      <c r="E6" s="19" t="s">
        <v>25</v>
      </c>
      <c r="F6" s="19" t="s">
        <v>707</v>
      </c>
      <c r="G6" s="19" t="s">
        <v>71</v>
      </c>
      <c r="H6" s="19" t="s">
        <v>31</v>
      </c>
      <c r="I6" s="19" t="s">
        <v>63</v>
      </c>
      <c r="J6" s="19" t="s">
        <v>27</v>
      </c>
      <c r="K6" s="19" t="s">
        <v>708</v>
      </c>
      <c r="L6" s="19" t="s">
        <v>35</v>
      </c>
      <c r="M6" s="20">
        <v>6500</v>
      </c>
      <c r="N6" s="25">
        <v>1.33</v>
      </c>
      <c r="O6" s="19" t="s">
        <v>67</v>
      </c>
      <c r="P6" s="19" t="s">
        <v>29</v>
      </c>
      <c r="Q6" s="19" t="s">
        <v>480</v>
      </c>
      <c r="R6" s="19" t="s">
        <v>709</v>
      </c>
      <c r="S6" s="8">
        <v>45677</v>
      </c>
      <c r="T6" s="8">
        <v>45677</v>
      </c>
      <c r="U6" s="19"/>
      <c r="V6" s="55">
        <f>M6-U6-Z6-AB6</f>
        <v>0</v>
      </c>
      <c r="W6" s="15" t="s">
        <v>710</v>
      </c>
      <c r="X6" s="1"/>
      <c r="Y6" s="15"/>
      <c r="Z6" s="10">
        <v>16</v>
      </c>
      <c r="AA6" s="18">
        <v>45673</v>
      </c>
      <c r="AB6" s="10">
        <v>6484</v>
      </c>
      <c r="AC6" s="18">
        <v>45677</v>
      </c>
      <c r="AD6" s="46"/>
      <c r="AE6" s="46"/>
      <c r="AF6" s="46"/>
      <c r="AG6" s="46"/>
      <c r="AH6" s="46"/>
      <c r="AI6" s="46"/>
      <c r="AJ6" s="46"/>
      <c r="AK6" s="4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</row>
    <row r="7" spans="1:67" s="29" customFormat="1" ht="20.25" customHeight="1">
      <c r="A7" s="7">
        <v>45671</v>
      </c>
      <c r="B7" s="19" t="s">
        <v>711</v>
      </c>
      <c r="C7" s="19" t="s">
        <v>267</v>
      </c>
      <c r="D7" s="19" t="s">
        <v>212</v>
      </c>
      <c r="E7" s="19" t="s">
        <v>25</v>
      </c>
      <c r="F7" s="19" t="s">
        <v>712</v>
      </c>
      <c r="G7" s="19" t="s">
        <v>71</v>
      </c>
      <c r="H7" s="19" t="s">
        <v>26</v>
      </c>
      <c r="I7" s="19" t="s">
        <v>63</v>
      </c>
      <c r="J7" s="19" t="s">
        <v>27</v>
      </c>
      <c r="K7" s="19" t="s">
        <v>214</v>
      </c>
      <c r="L7" s="19" t="s">
        <v>75</v>
      </c>
      <c r="M7" s="20">
        <v>31686</v>
      </c>
      <c r="N7" s="25">
        <v>1.33</v>
      </c>
      <c r="O7" s="19" t="s">
        <v>67</v>
      </c>
      <c r="P7" s="19" t="s">
        <v>29</v>
      </c>
      <c r="Q7" s="19" t="s">
        <v>713</v>
      </c>
      <c r="R7" s="19" t="s">
        <v>29</v>
      </c>
      <c r="S7" s="8">
        <v>45685</v>
      </c>
      <c r="T7" s="8">
        <v>45685</v>
      </c>
      <c r="U7" s="19"/>
      <c r="V7" s="55">
        <f>M7-U7-Z7-AB7</f>
        <v>0</v>
      </c>
      <c r="W7" s="15" t="s">
        <v>714</v>
      </c>
      <c r="X7" s="15"/>
      <c r="Y7" s="15"/>
      <c r="Z7" s="19">
        <f>1620.4+2888.2+2714.2+2370.2+2150.8+2835.1+1456.4+2264.7+765.5+278.9+2832.6+3721.5+3420.9+1532.3</f>
        <v>30851.7</v>
      </c>
      <c r="AA7" s="38">
        <v>45698</v>
      </c>
      <c r="AB7" s="104">
        <v>834.3</v>
      </c>
      <c r="AC7" s="86">
        <v>45708</v>
      </c>
      <c r="AD7" s="142"/>
      <c r="AE7" s="36"/>
      <c r="AF7" s="36"/>
      <c r="AG7" s="36"/>
      <c r="AH7" s="36"/>
      <c r="AI7" s="36"/>
      <c r="AJ7" s="36"/>
      <c r="AK7" s="36"/>
      <c r="AL7" s="36"/>
      <c r="AM7" s="36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</row>
    <row r="8" spans="1:67" s="29" customFormat="1" ht="20.25" customHeight="1">
      <c r="A8" s="7">
        <v>45671</v>
      </c>
      <c r="B8" s="19" t="s">
        <v>715</v>
      </c>
      <c r="C8" s="19" t="s">
        <v>211</v>
      </c>
      <c r="D8" s="19" t="s">
        <v>212</v>
      </c>
      <c r="E8" s="19" t="s">
        <v>25</v>
      </c>
      <c r="F8" s="19" t="s">
        <v>716</v>
      </c>
      <c r="G8" s="19" t="s">
        <v>71</v>
      </c>
      <c r="H8" s="19" t="s">
        <v>26</v>
      </c>
      <c r="I8" s="19" t="s">
        <v>63</v>
      </c>
      <c r="J8" s="19" t="s">
        <v>27</v>
      </c>
      <c r="K8" s="19" t="s">
        <v>214</v>
      </c>
      <c r="L8" s="19" t="s">
        <v>75</v>
      </c>
      <c r="M8" s="20">
        <v>401</v>
      </c>
      <c r="N8" s="25">
        <v>1.33</v>
      </c>
      <c r="O8" s="19" t="s">
        <v>67</v>
      </c>
      <c r="P8" s="19" t="s">
        <v>29</v>
      </c>
      <c r="Q8" s="19" t="s">
        <v>240</v>
      </c>
      <c r="R8" s="19" t="s">
        <v>29</v>
      </c>
      <c r="S8" s="8">
        <v>45681</v>
      </c>
      <c r="T8" s="8">
        <v>45681</v>
      </c>
      <c r="U8" s="19"/>
      <c r="V8" s="55">
        <f>M8-U8-Z8</f>
        <v>0</v>
      </c>
      <c r="W8" s="15" t="s">
        <v>717</v>
      </c>
      <c r="X8" s="15"/>
      <c r="Y8" s="15"/>
      <c r="Z8" s="10">
        <v>401</v>
      </c>
      <c r="AA8" s="18">
        <v>45679</v>
      </c>
      <c r="AB8" s="36"/>
      <c r="AC8" s="36"/>
      <c r="AD8" s="36"/>
      <c r="AE8" s="36"/>
      <c r="AF8" s="36"/>
      <c r="AG8" s="36"/>
      <c r="AH8" s="36"/>
      <c r="AI8" s="36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</row>
    <row r="9" spans="1:67" s="36" customFormat="1" ht="20.25" customHeight="1">
      <c r="A9" s="241">
        <v>45671</v>
      </c>
      <c r="B9" s="103" t="s">
        <v>715</v>
      </c>
      <c r="C9" s="103" t="s">
        <v>211</v>
      </c>
      <c r="D9" s="103" t="s">
        <v>212</v>
      </c>
      <c r="E9" s="103" t="s">
        <v>25</v>
      </c>
      <c r="F9" s="103" t="s">
        <v>716</v>
      </c>
      <c r="G9" s="103" t="s">
        <v>71</v>
      </c>
      <c r="H9" s="103" t="s">
        <v>26</v>
      </c>
      <c r="I9" s="103" t="s">
        <v>63</v>
      </c>
      <c r="J9" s="103" t="s">
        <v>27</v>
      </c>
      <c r="K9" s="103" t="s">
        <v>214</v>
      </c>
      <c r="L9" s="103" t="s">
        <v>75</v>
      </c>
      <c r="M9" s="242">
        <v>383</v>
      </c>
      <c r="N9" s="243">
        <v>1.33</v>
      </c>
      <c r="O9" s="103" t="s">
        <v>67</v>
      </c>
      <c r="P9" s="103" t="s">
        <v>29</v>
      </c>
      <c r="Q9" s="103" t="s">
        <v>240</v>
      </c>
      <c r="R9" s="103" t="s">
        <v>29</v>
      </c>
      <c r="S9" s="8">
        <v>45681</v>
      </c>
      <c r="T9" s="8">
        <v>45692</v>
      </c>
      <c r="U9" s="19"/>
      <c r="V9" s="55">
        <f>M9-U9-Z9</f>
        <v>0</v>
      </c>
      <c r="W9" s="245" t="s">
        <v>718</v>
      </c>
      <c r="X9" s="15"/>
      <c r="Y9" s="15"/>
      <c r="Z9" s="10">
        <v>383</v>
      </c>
      <c r="AA9" s="18">
        <v>45679</v>
      </c>
      <c r="AJ9" s="139"/>
      <c r="AK9" s="139"/>
      <c r="AL9" s="139"/>
      <c r="AM9" s="139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29"/>
      <c r="BH9" s="29"/>
      <c r="BI9" s="29"/>
      <c r="BJ9" s="29"/>
      <c r="BK9" s="29"/>
      <c r="BL9" s="29"/>
      <c r="BM9" s="29"/>
      <c r="BN9" s="29"/>
      <c r="BO9" s="29"/>
    </row>
    <row r="10" spans="1:67" s="37" customFormat="1" ht="20.25" customHeight="1">
      <c r="A10" s="7">
        <v>45671</v>
      </c>
      <c r="B10" s="19" t="s">
        <v>715</v>
      </c>
      <c r="C10" s="19" t="s">
        <v>211</v>
      </c>
      <c r="D10" s="19" t="s">
        <v>212</v>
      </c>
      <c r="E10" s="19" t="s">
        <v>25</v>
      </c>
      <c r="F10" s="19" t="s">
        <v>716</v>
      </c>
      <c r="G10" s="19" t="s">
        <v>71</v>
      </c>
      <c r="H10" s="19" t="s">
        <v>26</v>
      </c>
      <c r="I10" s="19" t="s">
        <v>63</v>
      </c>
      <c r="J10" s="19" t="s">
        <v>27</v>
      </c>
      <c r="K10" s="19" t="s">
        <v>214</v>
      </c>
      <c r="L10" s="19" t="s">
        <v>75</v>
      </c>
      <c r="M10" s="20">
        <v>241</v>
      </c>
      <c r="N10" s="25">
        <v>1.33</v>
      </c>
      <c r="O10" s="19" t="s">
        <v>67</v>
      </c>
      <c r="P10" s="19" t="s">
        <v>29</v>
      </c>
      <c r="Q10" s="19" t="s">
        <v>240</v>
      </c>
      <c r="R10" s="19" t="s">
        <v>29</v>
      </c>
      <c r="S10" s="8">
        <v>45681</v>
      </c>
      <c r="T10" s="8">
        <v>45692</v>
      </c>
      <c r="U10" s="19"/>
      <c r="V10" s="55">
        <f>M10-U10-Z10</f>
        <v>0</v>
      </c>
      <c r="W10" s="15" t="s">
        <v>719</v>
      </c>
      <c r="X10" s="15"/>
      <c r="Y10" s="266"/>
      <c r="Z10" s="153">
        <v>241</v>
      </c>
      <c r="AA10" s="38">
        <v>45679</v>
      </c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29"/>
      <c r="BH10" s="29"/>
      <c r="BI10" s="29"/>
      <c r="BJ10" s="29"/>
      <c r="BK10" s="29"/>
      <c r="BL10" s="29"/>
      <c r="BM10" s="29"/>
      <c r="BN10" s="29"/>
      <c r="BO10" s="29"/>
    </row>
    <row r="11" spans="1:67" s="37" customFormat="1" ht="20.25" customHeight="1">
      <c r="A11" s="7">
        <v>45671</v>
      </c>
      <c r="B11" s="19" t="s">
        <v>715</v>
      </c>
      <c r="C11" s="19" t="s">
        <v>211</v>
      </c>
      <c r="D11" s="19" t="s">
        <v>212</v>
      </c>
      <c r="E11" s="19" t="s">
        <v>25</v>
      </c>
      <c r="F11" s="19" t="s">
        <v>716</v>
      </c>
      <c r="G11" s="19" t="s">
        <v>71</v>
      </c>
      <c r="H11" s="19" t="s">
        <v>26</v>
      </c>
      <c r="I11" s="19" t="s">
        <v>63</v>
      </c>
      <c r="J11" s="19" t="s">
        <v>27</v>
      </c>
      <c r="K11" s="19" t="s">
        <v>645</v>
      </c>
      <c r="L11" s="19" t="s">
        <v>75</v>
      </c>
      <c r="M11" s="20">
        <v>722</v>
      </c>
      <c r="N11" s="25">
        <v>1.33</v>
      </c>
      <c r="O11" s="19" t="s">
        <v>572</v>
      </c>
      <c r="P11" s="19" t="s">
        <v>29</v>
      </c>
      <c r="Q11" s="19" t="s">
        <v>375</v>
      </c>
      <c r="R11" s="19" t="s">
        <v>29</v>
      </c>
      <c r="S11" s="8">
        <v>45681</v>
      </c>
      <c r="T11" s="8">
        <v>45692</v>
      </c>
      <c r="U11" s="19"/>
      <c r="V11" s="55">
        <f>M11-U11-Z11</f>
        <v>0</v>
      </c>
      <c r="W11" s="15" t="s">
        <v>720</v>
      </c>
      <c r="X11" s="15"/>
      <c r="Y11" s="15"/>
      <c r="Z11" s="10">
        <v>722</v>
      </c>
      <c r="AA11" s="18">
        <v>45679</v>
      </c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28"/>
      <c r="BH11" s="28"/>
      <c r="BI11" s="28"/>
      <c r="BJ11" s="28"/>
      <c r="BK11" s="28"/>
      <c r="BL11" s="28"/>
      <c r="BM11" s="28"/>
      <c r="BN11" s="28"/>
      <c r="BO11" s="28"/>
    </row>
    <row r="12" spans="1:67" s="37" customFormat="1" ht="20.25" customHeight="1">
      <c r="A12" s="7">
        <v>45671</v>
      </c>
      <c r="B12" s="19" t="s">
        <v>715</v>
      </c>
      <c r="C12" s="19" t="s">
        <v>211</v>
      </c>
      <c r="D12" s="19" t="s">
        <v>212</v>
      </c>
      <c r="E12" s="19" t="s">
        <v>25</v>
      </c>
      <c r="F12" s="19" t="s">
        <v>716</v>
      </c>
      <c r="G12" s="19" t="s">
        <v>71</v>
      </c>
      <c r="H12" s="19" t="s">
        <v>26</v>
      </c>
      <c r="I12" s="19" t="s">
        <v>63</v>
      </c>
      <c r="J12" s="19" t="s">
        <v>27</v>
      </c>
      <c r="K12" s="19" t="s">
        <v>645</v>
      </c>
      <c r="L12" s="19" t="s">
        <v>75</v>
      </c>
      <c r="M12" s="20">
        <v>691</v>
      </c>
      <c r="N12" s="25">
        <v>1.33</v>
      </c>
      <c r="O12" s="19" t="s">
        <v>572</v>
      </c>
      <c r="P12" s="19" t="s">
        <v>29</v>
      </c>
      <c r="Q12" s="19" t="s">
        <v>375</v>
      </c>
      <c r="R12" s="19" t="s">
        <v>29</v>
      </c>
      <c r="S12" s="8">
        <v>45681</v>
      </c>
      <c r="T12" s="8">
        <v>45692</v>
      </c>
      <c r="U12" s="19"/>
      <c r="V12" s="55">
        <f>M12-U12-Z12</f>
        <v>0</v>
      </c>
      <c r="W12" s="15" t="s">
        <v>721</v>
      </c>
      <c r="X12" s="15"/>
      <c r="Y12" s="15"/>
      <c r="Z12" s="10">
        <v>691</v>
      </c>
      <c r="AA12" s="18">
        <v>45679</v>
      </c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28"/>
      <c r="BH12" s="28"/>
      <c r="BI12" s="28"/>
      <c r="BJ12" s="28"/>
      <c r="BK12" s="28"/>
      <c r="BL12" s="28"/>
      <c r="BM12" s="28"/>
      <c r="BN12" s="28"/>
      <c r="BO12" s="28"/>
    </row>
    <row r="13" spans="1:67" s="37" customFormat="1" ht="20.25" customHeight="1">
      <c r="A13" s="7">
        <v>45671</v>
      </c>
      <c r="B13" s="19" t="s">
        <v>715</v>
      </c>
      <c r="C13" s="19" t="s">
        <v>211</v>
      </c>
      <c r="D13" s="19" t="s">
        <v>212</v>
      </c>
      <c r="E13" s="19" t="s">
        <v>25</v>
      </c>
      <c r="F13" s="19" t="s">
        <v>716</v>
      </c>
      <c r="G13" s="19" t="s">
        <v>71</v>
      </c>
      <c r="H13" s="19" t="s">
        <v>26</v>
      </c>
      <c r="I13" s="19" t="s">
        <v>63</v>
      </c>
      <c r="J13" s="19" t="s">
        <v>27</v>
      </c>
      <c r="K13" s="19" t="s">
        <v>645</v>
      </c>
      <c r="L13" s="19" t="s">
        <v>75</v>
      </c>
      <c r="M13" s="20">
        <v>456</v>
      </c>
      <c r="N13" s="25">
        <v>1.33</v>
      </c>
      <c r="O13" s="19" t="s">
        <v>572</v>
      </c>
      <c r="P13" s="19" t="s">
        <v>29</v>
      </c>
      <c r="Q13" s="19" t="s">
        <v>375</v>
      </c>
      <c r="R13" s="19" t="s">
        <v>29</v>
      </c>
      <c r="S13" s="8">
        <v>45681</v>
      </c>
      <c r="T13" s="8">
        <v>45692</v>
      </c>
      <c r="U13" s="19"/>
      <c r="V13" s="55">
        <f>M13-U13-Z13</f>
        <v>0</v>
      </c>
      <c r="W13" s="15" t="s">
        <v>722</v>
      </c>
      <c r="X13" s="15"/>
      <c r="Y13" s="15"/>
      <c r="Z13" s="10">
        <f>269.7+186.3</f>
        <v>456</v>
      </c>
      <c r="AA13" s="18">
        <v>45679</v>
      </c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28"/>
      <c r="BH13" s="28"/>
      <c r="BI13" s="28"/>
      <c r="BJ13" s="28"/>
      <c r="BK13" s="28"/>
      <c r="BL13" s="28"/>
      <c r="BM13" s="28"/>
      <c r="BN13" s="28"/>
      <c r="BO13" s="28"/>
    </row>
    <row r="14" spans="1:67" s="37" customFormat="1" ht="20.25" customHeight="1">
      <c r="A14" s="7">
        <v>45673</v>
      </c>
      <c r="B14" s="19" t="s">
        <v>723</v>
      </c>
      <c r="C14" s="19" t="s">
        <v>400</v>
      </c>
      <c r="D14" s="19" t="s">
        <v>212</v>
      </c>
      <c r="E14" s="19" t="s">
        <v>25</v>
      </c>
      <c r="F14" s="19" t="s">
        <v>724</v>
      </c>
      <c r="G14" s="19" t="s">
        <v>71</v>
      </c>
      <c r="H14" s="19" t="s">
        <v>26</v>
      </c>
      <c r="I14" s="19" t="s">
        <v>63</v>
      </c>
      <c r="J14" s="19" t="s">
        <v>27</v>
      </c>
      <c r="K14" s="19" t="s">
        <v>645</v>
      </c>
      <c r="L14" s="19" t="s">
        <v>75</v>
      </c>
      <c r="M14" s="20">
        <v>1125.83</v>
      </c>
      <c r="N14" s="25">
        <v>1.33</v>
      </c>
      <c r="O14" s="19" t="s">
        <v>67</v>
      </c>
      <c r="P14" s="19" t="s">
        <v>29</v>
      </c>
      <c r="Q14" s="19" t="s">
        <v>725</v>
      </c>
      <c r="R14" s="19" t="s">
        <v>726</v>
      </c>
      <c r="S14" s="8">
        <v>45687</v>
      </c>
      <c r="T14" s="8">
        <v>45687</v>
      </c>
      <c r="U14" s="19"/>
      <c r="V14" s="55">
        <f>M14-U14-Z14</f>
        <v>2.9999999999972715E-2</v>
      </c>
      <c r="W14" s="15" t="s">
        <v>727</v>
      </c>
      <c r="X14" s="15"/>
      <c r="Y14" s="15"/>
      <c r="Z14" s="10">
        <v>1125.8</v>
      </c>
      <c r="AA14" s="18">
        <v>45680</v>
      </c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28"/>
      <c r="BH14" s="28"/>
      <c r="BI14" s="28"/>
      <c r="BJ14" s="28"/>
      <c r="BK14" s="28"/>
      <c r="BL14" s="28"/>
      <c r="BM14" s="28"/>
      <c r="BN14" s="28"/>
      <c r="BO14" s="28"/>
    </row>
    <row r="15" spans="1:67" s="37" customFormat="1" ht="20.25" customHeight="1">
      <c r="A15" s="7">
        <v>45678</v>
      </c>
      <c r="B15" s="19" t="s">
        <v>728</v>
      </c>
      <c r="C15" s="19" t="s">
        <v>211</v>
      </c>
      <c r="D15" s="19" t="s">
        <v>212</v>
      </c>
      <c r="E15" s="19" t="s">
        <v>25</v>
      </c>
      <c r="F15" s="19" t="s">
        <v>729</v>
      </c>
      <c r="G15" s="19" t="s">
        <v>71</v>
      </c>
      <c r="H15" s="19" t="s">
        <v>26</v>
      </c>
      <c r="I15" s="19" t="s">
        <v>63</v>
      </c>
      <c r="J15" s="19" t="s">
        <v>27</v>
      </c>
      <c r="K15" s="19" t="s">
        <v>218</v>
      </c>
      <c r="L15" s="19" t="s">
        <v>75</v>
      </c>
      <c r="M15" s="20">
        <v>9003</v>
      </c>
      <c r="N15" s="25">
        <v>1.33</v>
      </c>
      <c r="O15" s="19" t="s">
        <v>67</v>
      </c>
      <c r="P15" s="19" t="s">
        <v>29</v>
      </c>
      <c r="Q15" s="19" t="s">
        <v>324</v>
      </c>
      <c r="R15" s="19" t="s">
        <v>29</v>
      </c>
      <c r="S15" s="8">
        <v>45688</v>
      </c>
      <c r="T15" s="8">
        <v>45688</v>
      </c>
      <c r="U15" s="19"/>
      <c r="V15" s="55">
        <f>M15-U15-Z15</f>
        <v>0</v>
      </c>
      <c r="W15" s="15" t="s">
        <v>730</v>
      </c>
      <c r="X15" s="1"/>
      <c r="Y15" s="15"/>
      <c r="Z15" s="19">
        <f>4798.7+4204.3</f>
        <v>9003</v>
      </c>
      <c r="AA15" s="18">
        <v>45688</v>
      </c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29"/>
      <c r="BH15" s="29"/>
      <c r="BI15" s="29"/>
      <c r="BJ15" s="29"/>
      <c r="BK15" s="29"/>
      <c r="BL15" s="29"/>
      <c r="BM15" s="29"/>
      <c r="BN15" s="29"/>
      <c r="BO15" s="29"/>
    </row>
    <row r="16" spans="1:67" s="37" customFormat="1" ht="20.25" customHeight="1">
      <c r="A16" s="289">
        <v>45679</v>
      </c>
      <c r="B16" s="278" t="s">
        <v>731</v>
      </c>
      <c r="C16" s="278" t="s">
        <v>243</v>
      </c>
      <c r="D16" s="278" t="s">
        <v>212</v>
      </c>
      <c r="E16" s="278" t="s">
        <v>25</v>
      </c>
      <c r="F16" s="278" t="s">
        <v>732</v>
      </c>
      <c r="G16" s="278" t="s">
        <v>71</v>
      </c>
      <c r="H16" s="278" t="s">
        <v>31</v>
      </c>
      <c r="I16" s="278" t="s">
        <v>63</v>
      </c>
      <c r="J16" s="278" t="s">
        <v>27</v>
      </c>
      <c r="K16" s="278" t="s">
        <v>555</v>
      </c>
      <c r="L16" s="278" t="s">
        <v>75</v>
      </c>
      <c r="M16" s="290"/>
      <c r="N16" s="291">
        <v>1.33</v>
      </c>
      <c r="O16" s="278" t="s">
        <v>67</v>
      </c>
      <c r="P16" s="278" t="s">
        <v>29</v>
      </c>
      <c r="Q16" s="278" t="s">
        <v>733</v>
      </c>
      <c r="R16" s="278" t="s">
        <v>29</v>
      </c>
      <c r="S16" s="297" t="s">
        <v>734</v>
      </c>
      <c r="T16" s="278" t="s">
        <v>29</v>
      </c>
      <c r="U16" s="278"/>
      <c r="V16" s="293">
        <f>M16-U16-Z16</f>
        <v>0</v>
      </c>
      <c r="W16" s="294" t="s">
        <v>735</v>
      </c>
      <c r="X16" s="1">
        <v>440</v>
      </c>
      <c r="Y16" s="294"/>
      <c r="Z16" s="299"/>
      <c r="AA16" s="299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7"/>
      <c r="AU16" s="287"/>
      <c r="AV16" s="287"/>
      <c r="AW16" s="287"/>
      <c r="AX16" s="287"/>
      <c r="AY16" s="287"/>
      <c r="AZ16" s="287"/>
      <c r="BA16" s="287"/>
      <c r="BB16" s="287"/>
      <c r="BC16" s="287"/>
      <c r="BD16" s="287"/>
      <c r="BE16" s="287"/>
      <c r="BF16" s="287"/>
      <c r="BG16" s="286"/>
      <c r="BH16" s="286"/>
      <c r="BI16" s="286"/>
      <c r="BJ16" s="286"/>
      <c r="BK16" s="286"/>
      <c r="BL16" s="286"/>
      <c r="BM16" s="286"/>
      <c r="BN16" s="286"/>
      <c r="BO16" s="286"/>
    </row>
    <row r="17" spans="1:67" s="29" customFormat="1" ht="20.25" customHeight="1">
      <c r="A17" s="289">
        <v>45679</v>
      </c>
      <c r="B17" s="278" t="s">
        <v>731</v>
      </c>
      <c r="C17" s="278" t="s">
        <v>243</v>
      </c>
      <c r="D17" s="278" t="s">
        <v>212</v>
      </c>
      <c r="E17" s="278" t="s">
        <v>25</v>
      </c>
      <c r="F17" s="278" t="s">
        <v>732</v>
      </c>
      <c r="G17" s="278" t="s">
        <v>71</v>
      </c>
      <c r="H17" s="278" t="s">
        <v>31</v>
      </c>
      <c r="I17" s="278" t="s">
        <v>63</v>
      </c>
      <c r="J17" s="278" t="s">
        <v>27</v>
      </c>
      <c r="K17" s="278" t="s">
        <v>332</v>
      </c>
      <c r="L17" s="278" t="s">
        <v>75</v>
      </c>
      <c r="M17" s="290"/>
      <c r="N17" s="291">
        <v>1.33</v>
      </c>
      <c r="O17" s="278" t="s">
        <v>67</v>
      </c>
      <c r="P17" s="278" t="s">
        <v>29</v>
      </c>
      <c r="Q17" s="278" t="s">
        <v>733</v>
      </c>
      <c r="R17" s="278" t="s">
        <v>29</v>
      </c>
      <c r="S17" s="297" t="s">
        <v>734</v>
      </c>
      <c r="T17" s="278" t="s">
        <v>29</v>
      </c>
      <c r="U17" s="278"/>
      <c r="V17" s="293">
        <f>M17-U17-Z17</f>
        <v>0</v>
      </c>
      <c r="W17" s="294" t="s">
        <v>736</v>
      </c>
      <c r="X17" s="294">
        <v>314</v>
      </c>
      <c r="Y17" s="342"/>
      <c r="Z17" s="355"/>
      <c r="AA17" s="355"/>
      <c r="AB17" s="296"/>
      <c r="AC17" s="296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  <c r="AO17" s="287"/>
      <c r="AP17" s="287"/>
      <c r="AQ17" s="287"/>
      <c r="AR17" s="287"/>
      <c r="AS17" s="287"/>
      <c r="AT17" s="287"/>
      <c r="AU17" s="287"/>
      <c r="AV17" s="287"/>
      <c r="AW17" s="287"/>
      <c r="AX17" s="287"/>
      <c r="AY17" s="287"/>
      <c r="AZ17" s="287"/>
      <c r="BA17" s="287"/>
      <c r="BB17" s="287"/>
      <c r="BC17" s="287"/>
      <c r="BD17" s="287"/>
      <c r="BE17" s="287"/>
      <c r="BF17" s="287"/>
      <c r="BG17" s="286"/>
      <c r="BH17" s="286"/>
      <c r="BI17" s="286"/>
      <c r="BJ17" s="286"/>
      <c r="BK17" s="286"/>
      <c r="BL17" s="286"/>
      <c r="BM17" s="286"/>
      <c r="BN17" s="286"/>
      <c r="BO17" s="286"/>
    </row>
    <row r="18" spans="1:67" s="29" customFormat="1" ht="20.25" customHeight="1">
      <c r="A18" s="7">
        <v>45680</v>
      </c>
      <c r="B18" s="19" t="s">
        <v>737</v>
      </c>
      <c r="C18" s="19" t="s">
        <v>211</v>
      </c>
      <c r="D18" s="19" t="s">
        <v>212</v>
      </c>
      <c r="E18" s="19" t="s">
        <v>25</v>
      </c>
      <c r="F18" s="19" t="s">
        <v>738</v>
      </c>
      <c r="G18" s="19" t="s">
        <v>71</v>
      </c>
      <c r="H18" s="19" t="s">
        <v>26</v>
      </c>
      <c r="I18" s="19" t="s">
        <v>63</v>
      </c>
      <c r="J18" s="19" t="s">
        <v>27</v>
      </c>
      <c r="K18" s="19" t="s">
        <v>214</v>
      </c>
      <c r="L18" s="19" t="s">
        <v>75</v>
      </c>
      <c r="M18" s="20">
        <v>7279</v>
      </c>
      <c r="N18" s="25">
        <v>1.33</v>
      </c>
      <c r="O18" s="19" t="s">
        <v>67</v>
      </c>
      <c r="P18" s="19" t="s">
        <v>29</v>
      </c>
      <c r="Q18" s="19" t="s">
        <v>739</v>
      </c>
      <c r="R18" s="19" t="s">
        <v>29</v>
      </c>
      <c r="S18" s="8">
        <v>45701</v>
      </c>
      <c r="T18" s="8">
        <v>45701</v>
      </c>
      <c r="U18" s="19"/>
      <c r="V18" s="55">
        <f>M18-U18-Z18</f>
        <v>0</v>
      </c>
      <c r="W18" s="15" t="s">
        <v>740</v>
      </c>
      <c r="X18" s="15"/>
      <c r="Y18" s="15"/>
      <c r="Z18" s="19">
        <f>2963.4+4315.6</f>
        <v>7279</v>
      </c>
      <c r="AA18" s="18">
        <v>45688</v>
      </c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</row>
    <row r="19" spans="1:67" s="29" customFormat="1" ht="20.25" customHeight="1">
      <c r="A19" s="7">
        <v>45681</v>
      </c>
      <c r="B19" s="19" t="s">
        <v>745</v>
      </c>
      <c r="C19" s="19" t="s">
        <v>267</v>
      </c>
      <c r="D19" s="19" t="s">
        <v>212</v>
      </c>
      <c r="E19" s="19" t="s">
        <v>25</v>
      </c>
      <c r="F19" s="19" t="s">
        <v>746</v>
      </c>
      <c r="G19" s="19" t="s">
        <v>71</v>
      </c>
      <c r="H19" s="19" t="s">
        <v>26</v>
      </c>
      <c r="I19" s="19" t="s">
        <v>63</v>
      </c>
      <c r="J19" s="19" t="s">
        <v>27</v>
      </c>
      <c r="K19" s="19" t="s">
        <v>273</v>
      </c>
      <c r="L19" s="19" t="s">
        <v>75</v>
      </c>
      <c r="M19" s="20">
        <v>110</v>
      </c>
      <c r="N19" s="25">
        <v>1.33</v>
      </c>
      <c r="O19" s="19" t="s">
        <v>67</v>
      </c>
      <c r="P19" s="19" t="s">
        <v>29</v>
      </c>
      <c r="Q19" s="19" t="s">
        <v>288</v>
      </c>
      <c r="R19" s="19" t="s">
        <v>29</v>
      </c>
      <c r="S19" s="8">
        <v>45702</v>
      </c>
      <c r="T19" s="8">
        <v>45708</v>
      </c>
      <c r="U19" s="19"/>
      <c r="V19" s="55">
        <f>M19-U19-Z19</f>
        <v>0</v>
      </c>
      <c r="W19" s="15" t="s">
        <v>747</v>
      </c>
      <c r="X19" s="1" t="s">
        <v>288</v>
      </c>
      <c r="Y19" s="15"/>
      <c r="Z19" s="19">
        <v>110</v>
      </c>
      <c r="AA19" s="18">
        <v>45708</v>
      </c>
      <c r="AB19" s="142"/>
      <c r="AC19" s="142"/>
      <c r="AD19" s="142"/>
      <c r="AE19" s="36"/>
      <c r="AF19" s="36"/>
      <c r="AG19" s="36"/>
      <c r="AH19" s="36"/>
      <c r="AI19" s="36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</row>
    <row r="20" spans="1:67" s="29" customFormat="1" ht="20.25" customHeight="1">
      <c r="A20" s="7">
        <v>45681</v>
      </c>
      <c r="B20" s="19" t="s">
        <v>748</v>
      </c>
      <c r="C20" s="19" t="s">
        <v>267</v>
      </c>
      <c r="D20" s="19" t="s">
        <v>212</v>
      </c>
      <c r="E20" s="19" t="s">
        <v>25</v>
      </c>
      <c r="F20" s="19" t="s">
        <v>749</v>
      </c>
      <c r="G20" s="19" t="s">
        <v>71</v>
      </c>
      <c r="H20" s="19" t="s">
        <v>26</v>
      </c>
      <c r="I20" s="19" t="s">
        <v>63</v>
      </c>
      <c r="J20" s="19" t="s">
        <v>27</v>
      </c>
      <c r="K20" s="19" t="s">
        <v>273</v>
      </c>
      <c r="L20" s="19" t="s">
        <v>75</v>
      </c>
      <c r="M20" s="20">
        <v>1491</v>
      </c>
      <c r="N20" s="25">
        <v>1.33</v>
      </c>
      <c r="O20" s="19" t="s">
        <v>67</v>
      </c>
      <c r="P20" s="19" t="s">
        <v>29</v>
      </c>
      <c r="Q20" s="19" t="s">
        <v>29</v>
      </c>
      <c r="R20" s="19" t="s">
        <v>29</v>
      </c>
      <c r="S20" s="8">
        <v>45709</v>
      </c>
      <c r="T20" s="8">
        <v>45708</v>
      </c>
      <c r="U20" s="19"/>
      <c r="V20" s="55">
        <f>M20-U20-Z20-AB20-AD20</f>
        <v>-0.40000000000009095</v>
      </c>
      <c r="W20" s="15" t="s">
        <v>750</v>
      </c>
      <c r="X20" s="1">
        <v>45712</v>
      </c>
      <c r="Y20" s="144"/>
      <c r="Z20" s="19">
        <f>881.6+546.3</f>
        <v>1427.9</v>
      </c>
      <c r="AA20" s="18">
        <v>45708</v>
      </c>
      <c r="AB20" s="104">
        <v>18.600000000000001</v>
      </c>
      <c r="AC20" s="86">
        <v>45713</v>
      </c>
      <c r="AD20" s="104">
        <v>44.9</v>
      </c>
      <c r="AE20" s="86">
        <v>45715</v>
      </c>
      <c r="AF20" s="36"/>
      <c r="AG20" s="36"/>
      <c r="AH20" s="213"/>
      <c r="AI20" s="213"/>
      <c r="AJ20" s="212"/>
      <c r="AK20" s="212"/>
      <c r="AL20" s="212"/>
      <c r="AM20" s="212"/>
      <c r="AN20" s="213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</row>
    <row r="21" spans="1:67" s="29" customFormat="1" ht="20.25" customHeight="1">
      <c r="A21" s="7">
        <v>45681</v>
      </c>
      <c r="B21" s="19" t="s">
        <v>741</v>
      </c>
      <c r="C21" s="19" t="s">
        <v>243</v>
      </c>
      <c r="D21" s="19" t="s">
        <v>212</v>
      </c>
      <c r="E21" s="19" t="s">
        <v>25</v>
      </c>
      <c r="F21" s="19" t="s">
        <v>742</v>
      </c>
      <c r="G21" s="19" t="s">
        <v>71</v>
      </c>
      <c r="H21" s="19" t="s">
        <v>31</v>
      </c>
      <c r="I21" s="19" t="s">
        <v>63</v>
      </c>
      <c r="J21" s="19" t="s">
        <v>27</v>
      </c>
      <c r="K21" s="19" t="s">
        <v>743</v>
      </c>
      <c r="L21" s="19" t="s">
        <v>85</v>
      </c>
      <c r="M21" s="20">
        <v>4319.7</v>
      </c>
      <c r="N21" s="25">
        <v>1.33</v>
      </c>
      <c r="O21" s="19" t="s">
        <v>63</v>
      </c>
      <c r="P21" s="19" t="s">
        <v>29</v>
      </c>
      <c r="Q21" s="19"/>
      <c r="R21" s="19"/>
      <c r="S21" s="8">
        <v>45702</v>
      </c>
      <c r="T21" s="8">
        <v>45702</v>
      </c>
      <c r="U21" s="19"/>
      <c r="V21" s="55">
        <f>M21-U21-Z21-AB21</f>
        <v>-1.0000000000002842</v>
      </c>
      <c r="W21" s="15" t="s">
        <v>744</v>
      </c>
      <c r="X21" s="1"/>
      <c r="Y21" s="15"/>
      <c r="Z21" s="19">
        <v>3922.4</v>
      </c>
      <c r="AA21" s="18">
        <v>45706</v>
      </c>
      <c r="AB21" s="104">
        <v>398.3</v>
      </c>
      <c r="AC21" s="86">
        <v>45720</v>
      </c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</row>
    <row r="22" spans="1:67" s="29" customFormat="1" ht="20.25" customHeight="1">
      <c r="A22" s="7">
        <v>45687</v>
      </c>
      <c r="B22" s="19" t="s">
        <v>751</v>
      </c>
      <c r="C22" s="19" t="s">
        <v>211</v>
      </c>
      <c r="D22" s="19" t="s">
        <v>212</v>
      </c>
      <c r="E22" s="19" t="s">
        <v>25</v>
      </c>
      <c r="F22" s="19" t="s">
        <v>752</v>
      </c>
      <c r="G22" s="19" t="s">
        <v>71</v>
      </c>
      <c r="H22" s="19" t="s">
        <v>26</v>
      </c>
      <c r="I22" s="19" t="s">
        <v>63</v>
      </c>
      <c r="J22" s="19" t="s">
        <v>27</v>
      </c>
      <c r="K22" s="19" t="s">
        <v>214</v>
      </c>
      <c r="L22" s="19" t="s">
        <v>75</v>
      </c>
      <c r="M22" s="20">
        <v>9470</v>
      </c>
      <c r="N22" s="25">
        <v>1.33</v>
      </c>
      <c r="O22" s="19" t="s">
        <v>67</v>
      </c>
      <c r="P22" s="19" t="s">
        <v>29</v>
      </c>
      <c r="Q22" s="19" t="s">
        <v>739</v>
      </c>
      <c r="R22" s="19" t="s">
        <v>29</v>
      </c>
      <c r="S22" s="8">
        <v>45702</v>
      </c>
      <c r="T22" s="8">
        <v>45713</v>
      </c>
      <c r="U22" s="19"/>
      <c r="V22" s="55">
        <f>M22-U22-Z22-AB22</f>
        <v>0</v>
      </c>
      <c r="W22" s="15" t="s">
        <v>753</v>
      </c>
      <c r="X22" s="15"/>
      <c r="Y22" s="15"/>
      <c r="Z22" s="19">
        <f>1466+1147.1+3182.6</f>
        <v>5795.7</v>
      </c>
      <c r="AA22" s="371">
        <v>45702</v>
      </c>
      <c r="AB22" s="104">
        <f>2122+1552.3</f>
        <v>3674.3</v>
      </c>
      <c r="AC22" s="86">
        <v>45709</v>
      </c>
      <c r="AD22" s="36"/>
      <c r="AE22" s="36"/>
      <c r="AF22" s="36"/>
      <c r="AG22" s="36"/>
      <c r="AH22" s="36"/>
      <c r="AI22" s="36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</row>
    <row r="23" spans="1:67" s="29" customFormat="1" ht="20.25" customHeight="1">
      <c r="A23" s="7">
        <v>45687</v>
      </c>
      <c r="B23" s="19" t="s">
        <v>751</v>
      </c>
      <c r="C23" s="19" t="s">
        <v>211</v>
      </c>
      <c r="D23" s="19" t="s">
        <v>212</v>
      </c>
      <c r="E23" s="19" t="s">
        <v>25</v>
      </c>
      <c r="F23" s="19" t="s">
        <v>752</v>
      </c>
      <c r="G23" s="19" t="s">
        <v>71</v>
      </c>
      <c r="H23" s="19" t="s">
        <v>26</v>
      </c>
      <c r="I23" s="19" t="s">
        <v>63</v>
      </c>
      <c r="J23" s="19" t="s">
        <v>27</v>
      </c>
      <c r="K23" s="19" t="s">
        <v>214</v>
      </c>
      <c r="L23" s="19" t="s">
        <v>75</v>
      </c>
      <c r="M23" s="20">
        <v>759</v>
      </c>
      <c r="N23" s="25">
        <v>1.33</v>
      </c>
      <c r="O23" s="19" t="s">
        <v>67</v>
      </c>
      <c r="P23" s="19" t="s">
        <v>29</v>
      </c>
      <c r="Q23" s="19" t="s">
        <v>739</v>
      </c>
      <c r="R23" s="19" t="s">
        <v>29</v>
      </c>
      <c r="S23" s="8">
        <v>45702</v>
      </c>
      <c r="T23" s="8">
        <v>45713</v>
      </c>
      <c r="U23" s="19"/>
      <c r="V23" s="55">
        <f>M23-U23-Z23</f>
        <v>0</v>
      </c>
      <c r="W23" s="15" t="s">
        <v>754</v>
      </c>
      <c r="X23" s="15"/>
      <c r="Y23" s="15"/>
      <c r="Z23" s="19">
        <f>399.4+359.6</f>
        <v>759</v>
      </c>
      <c r="AA23" s="18">
        <v>45702</v>
      </c>
      <c r="AB23" s="36"/>
      <c r="AC23" s="36"/>
      <c r="AD23" s="36"/>
      <c r="AE23" s="36"/>
      <c r="AF23" s="36"/>
      <c r="AG23" s="36"/>
      <c r="AH23" s="36"/>
      <c r="AI23" s="36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</row>
    <row r="24" spans="1:67" s="29" customFormat="1" ht="20.25" customHeight="1">
      <c r="A24" s="7">
        <v>45687</v>
      </c>
      <c r="B24" s="19" t="s">
        <v>751</v>
      </c>
      <c r="C24" s="19" t="s">
        <v>211</v>
      </c>
      <c r="D24" s="19" t="s">
        <v>212</v>
      </c>
      <c r="E24" s="19" t="s">
        <v>25</v>
      </c>
      <c r="F24" s="19" t="s">
        <v>752</v>
      </c>
      <c r="G24" s="19" t="s">
        <v>71</v>
      </c>
      <c r="H24" s="19" t="s">
        <v>26</v>
      </c>
      <c r="I24" s="19" t="s">
        <v>63</v>
      </c>
      <c r="J24" s="19" t="s">
        <v>27</v>
      </c>
      <c r="K24" s="19" t="s">
        <v>555</v>
      </c>
      <c r="L24" s="19" t="s">
        <v>75</v>
      </c>
      <c r="M24" s="20">
        <v>799</v>
      </c>
      <c r="N24" s="25">
        <v>1.33</v>
      </c>
      <c r="O24" s="19" t="s">
        <v>67</v>
      </c>
      <c r="P24" s="19" t="s">
        <v>29</v>
      </c>
      <c r="Q24" s="19" t="s">
        <v>739</v>
      </c>
      <c r="R24" s="19" t="s">
        <v>29</v>
      </c>
      <c r="S24" s="8">
        <v>45702</v>
      </c>
      <c r="T24" s="8">
        <v>45713</v>
      </c>
      <c r="U24" s="19"/>
      <c r="V24" s="55">
        <f>M24-U24-Z24</f>
        <v>-1.1000000000000227</v>
      </c>
      <c r="W24" s="15" t="s">
        <v>755</v>
      </c>
      <c r="X24" s="1"/>
      <c r="Y24" s="15"/>
      <c r="Z24" s="19">
        <v>800.1</v>
      </c>
      <c r="AA24" s="86">
        <v>45712</v>
      </c>
      <c r="AB24" s="46"/>
      <c r="AC24" s="46"/>
      <c r="AD24" s="36"/>
      <c r="AE24" s="36"/>
      <c r="AF24" s="36"/>
      <c r="AG24" s="36"/>
      <c r="AH24" s="36"/>
      <c r="AI24" s="36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</row>
    <row r="25" spans="1:67" s="29" customFormat="1" ht="20.25" customHeight="1">
      <c r="A25" s="7">
        <v>45687</v>
      </c>
      <c r="B25" s="19" t="s">
        <v>751</v>
      </c>
      <c r="C25" s="19" t="s">
        <v>211</v>
      </c>
      <c r="D25" s="19" t="s">
        <v>212</v>
      </c>
      <c r="E25" s="19" t="s">
        <v>25</v>
      </c>
      <c r="F25" s="19" t="s">
        <v>752</v>
      </c>
      <c r="G25" s="19" t="s">
        <v>71</v>
      </c>
      <c r="H25" s="19" t="s">
        <v>26</v>
      </c>
      <c r="I25" s="19" t="s">
        <v>63</v>
      </c>
      <c r="J25" s="19" t="s">
        <v>27</v>
      </c>
      <c r="K25" s="19" t="s">
        <v>555</v>
      </c>
      <c r="L25" s="19" t="s">
        <v>75</v>
      </c>
      <c r="M25" s="20">
        <v>7686</v>
      </c>
      <c r="N25" s="25">
        <v>1.33</v>
      </c>
      <c r="O25" s="19" t="s">
        <v>67</v>
      </c>
      <c r="P25" s="19" t="s">
        <v>29</v>
      </c>
      <c r="Q25" s="19" t="s">
        <v>739</v>
      </c>
      <c r="R25" s="19" t="s">
        <v>29</v>
      </c>
      <c r="S25" s="8">
        <v>45702</v>
      </c>
      <c r="T25" s="8">
        <v>45713</v>
      </c>
      <c r="U25" s="19"/>
      <c r="V25" s="55">
        <f>M25-U25-Z25-AB25-AD25-AF25</f>
        <v>-0.3000000000001819</v>
      </c>
      <c r="W25" s="15" t="s">
        <v>756</v>
      </c>
      <c r="X25" s="1" t="s">
        <v>757</v>
      </c>
      <c r="Y25" s="144"/>
      <c r="Z25" s="19">
        <v>2557.3000000000002</v>
      </c>
      <c r="AA25" s="18">
        <v>45709</v>
      </c>
      <c r="AB25" s="104">
        <v>200.6</v>
      </c>
      <c r="AC25" s="86">
        <v>45712</v>
      </c>
      <c r="AD25" s="104">
        <f>2310.8+422.2+2028.9</f>
        <v>4761.8999999999996</v>
      </c>
      <c r="AE25" s="86">
        <v>45714</v>
      </c>
      <c r="AF25" s="104">
        <v>166.5</v>
      </c>
      <c r="AG25" s="86">
        <v>45720</v>
      </c>
      <c r="AH25" s="36"/>
      <c r="AI25" s="36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</row>
    <row r="26" spans="1:67" s="29" customFormat="1" ht="20.25" customHeight="1">
      <c r="A26" s="7">
        <v>45688</v>
      </c>
      <c r="B26" s="19" t="s">
        <v>758</v>
      </c>
      <c r="C26" s="19" t="s">
        <v>211</v>
      </c>
      <c r="D26" s="19" t="s">
        <v>212</v>
      </c>
      <c r="E26" s="19" t="s">
        <v>25</v>
      </c>
      <c r="F26" s="19" t="s">
        <v>759</v>
      </c>
      <c r="G26" s="19" t="s">
        <v>71</v>
      </c>
      <c r="H26" s="19" t="s">
        <v>26</v>
      </c>
      <c r="I26" s="19" t="s">
        <v>63</v>
      </c>
      <c r="J26" s="19" t="s">
        <v>27</v>
      </c>
      <c r="K26" s="19" t="s">
        <v>214</v>
      </c>
      <c r="L26" s="19" t="s">
        <v>75</v>
      </c>
      <c r="M26" s="20">
        <v>1802</v>
      </c>
      <c r="N26" s="25">
        <v>1.33</v>
      </c>
      <c r="O26" s="19" t="s">
        <v>67</v>
      </c>
      <c r="P26" s="19" t="s">
        <v>29</v>
      </c>
      <c r="Q26" s="19" t="s">
        <v>761</v>
      </c>
      <c r="R26" s="19" t="s">
        <v>29</v>
      </c>
      <c r="S26" s="8">
        <v>45714</v>
      </c>
      <c r="T26" s="8">
        <v>45714</v>
      </c>
      <c r="U26" s="19"/>
      <c r="V26" s="55">
        <f>M26-U26-Z26</f>
        <v>0</v>
      </c>
      <c r="W26" s="15" t="s">
        <v>763</v>
      </c>
      <c r="X26" s="15"/>
      <c r="Y26" s="15"/>
      <c r="Z26" s="19">
        <v>1802</v>
      </c>
      <c r="AA26" s="86">
        <v>45709</v>
      </c>
      <c r="AB26" s="36"/>
      <c r="AC26" s="36"/>
      <c r="AD26" s="36"/>
      <c r="AE26" s="36"/>
      <c r="AF26" s="36"/>
      <c r="AG26" s="36"/>
      <c r="AH26" s="36"/>
      <c r="AI26" s="36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</row>
    <row r="27" spans="1:67" s="29" customFormat="1" ht="20.25" customHeight="1">
      <c r="A27" s="7">
        <v>45688</v>
      </c>
      <c r="B27" s="19" t="s">
        <v>764</v>
      </c>
      <c r="C27" s="19" t="s">
        <v>211</v>
      </c>
      <c r="D27" s="19" t="s">
        <v>212</v>
      </c>
      <c r="E27" s="19" t="s">
        <v>25</v>
      </c>
      <c r="F27" s="19" t="s">
        <v>765</v>
      </c>
      <c r="G27" s="19" t="s">
        <v>71</v>
      </c>
      <c r="H27" s="19" t="s">
        <v>26</v>
      </c>
      <c r="I27" s="19" t="s">
        <v>63</v>
      </c>
      <c r="J27" s="19" t="s">
        <v>27</v>
      </c>
      <c r="K27" s="19" t="s">
        <v>214</v>
      </c>
      <c r="L27" s="19" t="s">
        <v>75</v>
      </c>
      <c r="M27" s="20">
        <v>583</v>
      </c>
      <c r="N27" s="25">
        <v>1.33</v>
      </c>
      <c r="O27" s="19" t="s">
        <v>67</v>
      </c>
      <c r="P27" s="19" t="s">
        <v>29</v>
      </c>
      <c r="Q27" s="19" t="s">
        <v>29</v>
      </c>
      <c r="R27" s="19" t="s">
        <v>29</v>
      </c>
      <c r="S27" s="8">
        <v>45714</v>
      </c>
      <c r="T27" s="8">
        <v>45714</v>
      </c>
      <c r="U27" s="19"/>
      <c r="V27" s="55">
        <f>M27-U27-Z27</f>
        <v>0</v>
      </c>
      <c r="W27" s="15" t="s">
        <v>766</v>
      </c>
      <c r="X27" s="15"/>
      <c r="Y27" s="15"/>
      <c r="Z27" s="19">
        <f>391.8+191.2</f>
        <v>583</v>
      </c>
      <c r="AA27" s="18">
        <v>45709</v>
      </c>
      <c r="AB27" s="36"/>
      <c r="AC27" s="36"/>
      <c r="AD27" s="36"/>
      <c r="AE27" s="36"/>
      <c r="AF27" s="36"/>
      <c r="AG27" s="36"/>
      <c r="AH27" s="36"/>
      <c r="AI27" s="36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</row>
    <row r="28" spans="1:67" s="29" customFormat="1" ht="20.25" customHeight="1">
      <c r="A28" s="7">
        <v>45688</v>
      </c>
      <c r="B28" s="19" t="s">
        <v>764</v>
      </c>
      <c r="C28" s="19" t="s">
        <v>211</v>
      </c>
      <c r="D28" s="19" t="s">
        <v>212</v>
      </c>
      <c r="E28" s="19" t="s">
        <v>25</v>
      </c>
      <c r="F28" s="19" t="s">
        <v>765</v>
      </c>
      <c r="G28" s="19" t="s">
        <v>71</v>
      </c>
      <c r="H28" s="19" t="s">
        <v>26</v>
      </c>
      <c r="I28" s="19" t="s">
        <v>63</v>
      </c>
      <c r="J28" s="19" t="s">
        <v>27</v>
      </c>
      <c r="K28" s="19" t="s">
        <v>214</v>
      </c>
      <c r="L28" s="19" t="s">
        <v>75</v>
      </c>
      <c r="M28" s="20">
        <v>8307</v>
      </c>
      <c r="N28" s="25">
        <v>1.33</v>
      </c>
      <c r="O28" s="19" t="s">
        <v>67</v>
      </c>
      <c r="P28" s="19" t="s">
        <v>29</v>
      </c>
      <c r="Q28" s="19" t="s">
        <v>767</v>
      </c>
      <c r="R28" s="19" t="s">
        <v>29</v>
      </c>
      <c r="S28" s="8">
        <v>45714</v>
      </c>
      <c r="T28" s="8">
        <v>45714</v>
      </c>
      <c r="U28" s="19"/>
      <c r="V28" s="55">
        <f>M28-U28-Z28-AB28-AD28</f>
        <v>-0.3000000000001819</v>
      </c>
      <c r="W28" s="15" t="s">
        <v>770</v>
      </c>
      <c r="X28" s="15">
        <v>45713</v>
      </c>
      <c r="Y28" s="267"/>
      <c r="Z28" s="354">
        <f>328.4+1274.7+2325+746</f>
        <v>4674.1000000000004</v>
      </c>
      <c r="AA28" s="361">
        <v>45709</v>
      </c>
      <c r="AB28" s="104">
        <v>685.1</v>
      </c>
      <c r="AC28" s="86">
        <v>45712</v>
      </c>
      <c r="AD28" s="104">
        <f>2746.2+201.9</f>
        <v>2948.1</v>
      </c>
      <c r="AE28" s="86">
        <v>45714</v>
      </c>
      <c r="AF28" s="36"/>
      <c r="AG28" s="36"/>
      <c r="AH28" s="36"/>
      <c r="AI28" s="36"/>
      <c r="AJ28" s="36"/>
      <c r="AK28" s="36"/>
      <c r="AL28" s="36"/>
      <c r="AM28" s="36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</row>
    <row r="29" spans="1:67" s="29" customFormat="1" ht="20.25" customHeight="1">
      <c r="A29" s="289">
        <v>45688</v>
      </c>
      <c r="B29" s="278" t="s">
        <v>764</v>
      </c>
      <c r="C29" s="278" t="s">
        <v>211</v>
      </c>
      <c r="D29" s="278" t="s">
        <v>212</v>
      </c>
      <c r="E29" s="278" t="s">
        <v>25</v>
      </c>
      <c r="F29" s="278" t="s">
        <v>765</v>
      </c>
      <c r="G29" s="278" t="s">
        <v>71</v>
      </c>
      <c r="H29" s="278" t="s">
        <v>26</v>
      </c>
      <c r="I29" s="278" t="s">
        <v>63</v>
      </c>
      <c r="J29" s="278" t="s">
        <v>27</v>
      </c>
      <c r="K29" s="278" t="s">
        <v>555</v>
      </c>
      <c r="L29" s="278" t="s">
        <v>75</v>
      </c>
      <c r="M29" s="290"/>
      <c r="N29" s="291">
        <v>1.33</v>
      </c>
      <c r="O29" s="278" t="s">
        <v>67</v>
      </c>
      <c r="P29" s="278" t="s">
        <v>29</v>
      </c>
      <c r="Q29" s="278" t="s">
        <v>767</v>
      </c>
      <c r="R29" s="278" t="s">
        <v>29</v>
      </c>
      <c r="S29" s="292">
        <v>45714</v>
      </c>
      <c r="T29" s="292">
        <v>45714</v>
      </c>
      <c r="U29" s="278"/>
      <c r="V29" s="293"/>
      <c r="W29" s="294" t="s">
        <v>769</v>
      </c>
      <c r="X29" s="1"/>
      <c r="Y29" s="294"/>
      <c r="Z29" s="299"/>
      <c r="AA29" s="299"/>
      <c r="AB29" s="299"/>
      <c r="AC29" s="299"/>
      <c r="AD29" s="378"/>
      <c r="AE29" s="299"/>
      <c r="AF29" s="299"/>
      <c r="AG29" s="299"/>
      <c r="AH29" s="299"/>
      <c r="AI29" s="299"/>
      <c r="AJ29" s="287"/>
      <c r="AK29" s="287"/>
      <c r="AL29" s="287"/>
      <c r="AM29" s="287"/>
      <c r="AN29" s="287"/>
      <c r="AO29" s="287"/>
      <c r="AP29" s="287"/>
      <c r="AQ29" s="287"/>
      <c r="AR29" s="287"/>
      <c r="AS29" s="287"/>
      <c r="AT29" s="287"/>
      <c r="AU29" s="287"/>
      <c r="AV29" s="287"/>
      <c r="AW29" s="287"/>
      <c r="AX29" s="287"/>
      <c r="AY29" s="287"/>
      <c r="AZ29" s="287"/>
      <c r="BA29" s="287"/>
      <c r="BB29" s="287"/>
      <c r="BC29" s="287"/>
      <c r="BD29" s="287"/>
      <c r="BE29" s="287"/>
      <c r="BF29" s="287"/>
      <c r="BG29" s="286"/>
      <c r="BH29" s="286"/>
      <c r="BI29" s="286"/>
      <c r="BJ29" s="286"/>
      <c r="BK29" s="286"/>
      <c r="BL29" s="286"/>
      <c r="BM29" s="286"/>
      <c r="BN29" s="286"/>
      <c r="BO29" s="286"/>
    </row>
    <row r="30" spans="1:67" s="29" customFormat="1" ht="20.25" customHeight="1">
      <c r="A30" s="7">
        <v>45688</v>
      </c>
      <c r="B30" s="19" t="s">
        <v>764</v>
      </c>
      <c r="C30" s="19" t="s">
        <v>211</v>
      </c>
      <c r="D30" s="19" t="s">
        <v>212</v>
      </c>
      <c r="E30" s="19" t="s">
        <v>25</v>
      </c>
      <c r="F30" s="19" t="s">
        <v>765</v>
      </c>
      <c r="G30" s="19" t="s">
        <v>71</v>
      </c>
      <c r="H30" s="19" t="s">
        <v>26</v>
      </c>
      <c r="I30" s="19" t="s">
        <v>63</v>
      </c>
      <c r="J30" s="19" t="s">
        <v>27</v>
      </c>
      <c r="K30" s="19" t="s">
        <v>555</v>
      </c>
      <c r="L30" s="19" t="s">
        <v>75</v>
      </c>
      <c r="M30" s="20">
        <v>9074</v>
      </c>
      <c r="N30" s="25">
        <v>1.33</v>
      </c>
      <c r="O30" s="19" t="s">
        <v>67</v>
      </c>
      <c r="P30" s="19" t="s">
        <v>29</v>
      </c>
      <c r="Q30" s="19" t="s">
        <v>767</v>
      </c>
      <c r="R30" s="19" t="s">
        <v>29</v>
      </c>
      <c r="S30" s="8">
        <v>45714</v>
      </c>
      <c r="T30" s="8">
        <v>45714</v>
      </c>
      <c r="U30" s="19"/>
      <c r="V30" s="55">
        <f>M30-U30-Z30-AB30-AD30-AF30</f>
        <v>-9.9999999999113243E-2</v>
      </c>
      <c r="W30" s="15" t="s">
        <v>771</v>
      </c>
      <c r="X30" s="1" t="s">
        <v>772</v>
      </c>
      <c r="Y30" s="144"/>
      <c r="Z30" s="19">
        <f>2278.3+17</f>
        <v>2295.3000000000002</v>
      </c>
      <c r="AA30" s="18">
        <v>45716</v>
      </c>
      <c r="AB30" s="19">
        <v>2220.1</v>
      </c>
      <c r="AC30" s="18">
        <v>45720</v>
      </c>
      <c r="AD30" s="19">
        <f>1290+760.1+779.8+969.2</f>
        <v>3799.0999999999995</v>
      </c>
      <c r="AE30" s="18">
        <v>45721</v>
      </c>
      <c r="AF30" s="80">
        <v>759.6</v>
      </c>
      <c r="AG30" s="38">
        <v>45726</v>
      </c>
      <c r="AH30" s="120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7"/>
      <c r="BH30" s="37"/>
      <c r="BI30" s="37"/>
      <c r="BJ30" s="37"/>
      <c r="BK30" s="37"/>
      <c r="BL30" s="37"/>
      <c r="BM30" s="37"/>
      <c r="BN30" s="37"/>
      <c r="BO30" s="37"/>
    </row>
    <row r="31" spans="1:67" s="29" customFormat="1" ht="20.25" customHeight="1">
      <c r="A31" s="7">
        <v>45688</v>
      </c>
      <c r="B31" s="19" t="s">
        <v>758</v>
      </c>
      <c r="C31" s="19" t="s">
        <v>211</v>
      </c>
      <c r="D31" s="19" t="s">
        <v>212</v>
      </c>
      <c r="E31" s="19" t="s">
        <v>25</v>
      </c>
      <c r="F31" s="19" t="s">
        <v>759</v>
      </c>
      <c r="G31" s="19" t="s">
        <v>71</v>
      </c>
      <c r="H31" s="19" t="s">
        <v>26</v>
      </c>
      <c r="I31" s="19" t="s">
        <v>63</v>
      </c>
      <c r="J31" s="19" t="s">
        <v>27</v>
      </c>
      <c r="K31" s="19" t="s">
        <v>760</v>
      </c>
      <c r="L31" s="19" t="s">
        <v>75</v>
      </c>
      <c r="M31" s="20">
        <v>1581</v>
      </c>
      <c r="N31" s="25">
        <v>1.33</v>
      </c>
      <c r="O31" s="19" t="s">
        <v>67</v>
      </c>
      <c r="P31" s="19" t="s">
        <v>29</v>
      </c>
      <c r="Q31" s="19" t="s">
        <v>761</v>
      </c>
      <c r="R31" s="19" t="s">
        <v>29</v>
      </c>
      <c r="S31" s="8">
        <v>45714</v>
      </c>
      <c r="T31" s="8">
        <v>45714</v>
      </c>
      <c r="U31" s="19"/>
      <c r="V31" s="55">
        <f>M31-U31-Z31</f>
        <v>-0.79999999999995453</v>
      </c>
      <c r="W31" s="15" t="s">
        <v>762</v>
      </c>
      <c r="X31" s="1"/>
      <c r="Y31" s="15"/>
      <c r="Z31" s="19">
        <v>1581.8</v>
      </c>
      <c r="AA31" s="360">
        <v>45712</v>
      </c>
      <c r="AB31" s="46"/>
      <c r="AC31" s="46"/>
      <c r="AD31" s="46"/>
      <c r="AE31" s="36"/>
      <c r="AF31" s="36"/>
      <c r="AG31" s="36"/>
      <c r="AH31" s="36"/>
      <c r="AI31" s="36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211"/>
      <c r="BH31" s="211"/>
      <c r="BI31" s="211"/>
      <c r="BJ31" s="211"/>
      <c r="BK31" s="211"/>
      <c r="BL31" s="211"/>
      <c r="BM31" s="211"/>
      <c r="BN31" s="211"/>
      <c r="BO31" s="211"/>
    </row>
    <row r="32" spans="1:67" s="29" customFormat="1" ht="20.25" customHeight="1">
      <c r="A32" s="7">
        <v>45688</v>
      </c>
      <c r="B32" s="19" t="s">
        <v>764</v>
      </c>
      <c r="C32" s="19" t="s">
        <v>211</v>
      </c>
      <c r="D32" s="19" t="s">
        <v>212</v>
      </c>
      <c r="E32" s="19" t="s">
        <v>25</v>
      </c>
      <c r="F32" s="19" t="s">
        <v>765</v>
      </c>
      <c r="G32" s="19" t="s">
        <v>71</v>
      </c>
      <c r="H32" s="19" t="s">
        <v>26</v>
      </c>
      <c r="I32" s="19" t="s">
        <v>63</v>
      </c>
      <c r="J32" s="19" t="s">
        <v>27</v>
      </c>
      <c r="K32" s="19" t="s">
        <v>645</v>
      </c>
      <c r="L32" s="19" t="s">
        <v>75</v>
      </c>
      <c r="M32" s="20">
        <v>7666</v>
      </c>
      <c r="N32" s="25">
        <v>0</v>
      </c>
      <c r="O32" s="19" t="s">
        <v>67</v>
      </c>
      <c r="P32" s="19" t="s">
        <v>29</v>
      </c>
      <c r="Q32" s="19" t="s">
        <v>767</v>
      </c>
      <c r="R32" s="19" t="s">
        <v>29</v>
      </c>
      <c r="S32" s="8">
        <v>45714</v>
      </c>
      <c r="T32" s="8">
        <v>45714</v>
      </c>
      <c r="U32" s="19"/>
      <c r="V32" s="55">
        <f>M32-U32-Z32-AD32-AF32-AB32</f>
        <v>-1.1999999999994539</v>
      </c>
      <c r="W32" s="15" t="s">
        <v>768</v>
      </c>
      <c r="X32" s="144"/>
      <c r="Y32" s="144"/>
      <c r="Z32" s="19">
        <f>1493.1+2630.2</f>
        <v>4123.2999999999993</v>
      </c>
      <c r="AA32" s="18">
        <v>45709</v>
      </c>
      <c r="AB32" s="19">
        <v>15.2</v>
      </c>
      <c r="AC32" s="18">
        <v>45712</v>
      </c>
      <c r="AD32" s="104">
        <v>3515.8</v>
      </c>
      <c r="AE32" s="86">
        <v>45716</v>
      </c>
      <c r="AF32" s="104">
        <v>12.9</v>
      </c>
      <c r="AG32" s="123">
        <v>45730</v>
      </c>
      <c r="AH32" s="36"/>
      <c r="AI32" s="36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28"/>
      <c r="BH32" s="28"/>
      <c r="BI32" s="28"/>
      <c r="BJ32" s="28"/>
      <c r="BK32" s="28"/>
      <c r="BL32" s="28"/>
      <c r="BM32" s="28"/>
      <c r="BN32" s="28"/>
      <c r="BO32" s="28"/>
    </row>
    <row r="33" spans="1:67" s="29" customFormat="1" ht="20.25" customHeight="1">
      <c r="A33" s="7">
        <v>45691</v>
      </c>
      <c r="B33" s="19" t="s">
        <v>773</v>
      </c>
      <c r="C33" s="19" t="s">
        <v>211</v>
      </c>
      <c r="D33" s="19" t="s">
        <v>212</v>
      </c>
      <c r="E33" s="19" t="s">
        <v>25</v>
      </c>
      <c r="F33" s="19" t="s">
        <v>774</v>
      </c>
      <c r="G33" s="19" t="s">
        <v>71</v>
      </c>
      <c r="H33" s="19" t="s">
        <v>26</v>
      </c>
      <c r="I33" s="19" t="s">
        <v>63</v>
      </c>
      <c r="J33" s="19" t="s">
        <v>27</v>
      </c>
      <c r="K33" s="19" t="s">
        <v>214</v>
      </c>
      <c r="L33" s="19" t="s">
        <v>75</v>
      </c>
      <c r="M33" s="20">
        <v>4501</v>
      </c>
      <c r="N33" s="25">
        <v>1.33</v>
      </c>
      <c r="O33" s="19" t="s">
        <v>67</v>
      </c>
      <c r="P33" s="19" t="s">
        <v>29</v>
      </c>
      <c r="Q33" s="19" t="s">
        <v>775</v>
      </c>
      <c r="R33" s="19" t="s">
        <v>29</v>
      </c>
      <c r="S33" s="8">
        <v>45712</v>
      </c>
      <c r="T33" s="8">
        <v>45719</v>
      </c>
      <c r="U33" s="19"/>
      <c r="V33" s="55">
        <f>M33-U33-Z33</f>
        <v>0</v>
      </c>
      <c r="W33" s="15" t="s">
        <v>776</v>
      </c>
      <c r="X33" s="144"/>
      <c r="Y33" s="144"/>
      <c r="Z33" s="19">
        <f>856.1+1726+1918.9</f>
        <v>4501</v>
      </c>
      <c r="AA33" s="360">
        <v>45720</v>
      </c>
      <c r="AB33" s="141"/>
      <c r="AC33" s="141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</row>
    <row r="34" spans="1:67" s="29" customFormat="1" ht="20.25" customHeight="1">
      <c r="A34" s="7">
        <v>45691</v>
      </c>
      <c r="B34" s="19" t="s">
        <v>773</v>
      </c>
      <c r="C34" s="19" t="s">
        <v>211</v>
      </c>
      <c r="D34" s="19" t="s">
        <v>212</v>
      </c>
      <c r="E34" s="19" t="s">
        <v>25</v>
      </c>
      <c r="F34" s="19" t="s">
        <v>774</v>
      </c>
      <c r="G34" s="19" t="s">
        <v>71</v>
      </c>
      <c r="H34" s="19" t="s">
        <v>26</v>
      </c>
      <c r="I34" s="19" t="s">
        <v>63</v>
      </c>
      <c r="J34" s="19" t="s">
        <v>27</v>
      </c>
      <c r="K34" s="19" t="s">
        <v>537</v>
      </c>
      <c r="L34" s="19" t="s">
        <v>75</v>
      </c>
      <c r="M34" s="20">
        <v>1038</v>
      </c>
      <c r="N34" s="25">
        <v>1.33</v>
      </c>
      <c r="O34" s="19" t="s">
        <v>67</v>
      </c>
      <c r="P34" s="19" t="s">
        <v>29</v>
      </c>
      <c r="Q34" s="19" t="s">
        <v>775</v>
      </c>
      <c r="R34" s="19" t="s">
        <v>29</v>
      </c>
      <c r="S34" s="8">
        <v>45712</v>
      </c>
      <c r="T34" s="8">
        <v>45719</v>
      </c>
      <c r="U34" s="19"/>
      <c r="V34" s="55">
        <f>M34-U34-Z34-AB34-AD34-AF34</f>
        <v>-1.4999999999999361</v>
      </c>
      <c r="W34" s="15" t="s">
        <v>778</v>
      </c>
      <c r="X34" s="1"/>
      <c r="Y34" s="144"/>
      <c r="Z34" s="19">
        <v>277.39999999999998</v>
      </c>
      <c r="AA34" s="18">
        <v>45728</v>
      </c>
      <c r="AB34" s="141">
        <v>678.3</v>
      </c>
      <c r="AC34" s="141">
        <v>45736</v>
      </c>
      <c r="AD34" s="141">
        <v>28.1</v>
      </c>
      <c r="AE34" s="36">
        <v>45755</v>
      </c>
      <c r="AF34" s="36">
        <v>55.7</v>
      </c>
      <c r="AG34" s="36">
        <v>45762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7"/>
      <c r="BH34" s="37"/>
      <c r="BI34" s="37"/>
      <c r="BJ34" s="37"/>
      <c r="BK34" s="37"/>
      <c r="BL34" s="37"/>
      <c r="BM34" s="37"/>
      <c r="BN34" s="37"/>
      <c r="BO34" s="37"/>
    </row>
    <row r="35" spans="1:67" s="29" customFormat="1" ht="20.25" customHeight="1">
      <c r="A35" s="7">
        <v>45691</v>
      </c>
      <c r="B35" s="19" t="s">
        <v>773</v>
      </c>
      <c r="C35" s="19" t="s">
        <v>211</v>
      </c>
      <c r="D35" s="19" t="s">
        <v>212</v>
      </c>
      <c r="E35" s="19" t="s">
        <v>25</v>
      </c>
      <c r="F35" s="19" t="s">
        <v>774</v>
      </c>
      <c r="G35" s="19" t="s">
        <v>71</v>
      </c>
      <c r="H35" s="19" t="s">
        <v>26</v>
      </c>
      <c r="I35" s="19" t="s">
        <v>63</v>
      </c>
      <c r="J35" s="19" t="s">
        <v>27</v>
      </c>
      <c r="K35" s="19" t="s">
        <v>332</v>
      </c>
      <c r="L35" s="19" t="s">
        <v>75</v>
      </c>
      <c r="M35" s="20">
        <v>3137</v>
      </c>
      <c r="N35" s="25">
        <v>1.33</v>
      </c>
      <c r="O35" s="19" t="s">
        <v>67</v>
      </c>
      <c r="P35" s="19" t="s">
        <v>29</v>
      </c>
      <c r="Q35" s="19" t="s">
        <v>775</v>
      </c>
      <c r="R35" s="19" t="s">
        <v>29</v>
      </c>
      <c r="S35" s="8">
        <v>45712</v>
      </c>
      <c r="T35" s="8">
        <v>45719</v>
      </c>
      <c r="U35" s="19"/>
      <c r="V35" s="55">
        <f>M35-U35-Z35-AB35</f>
        <v>-6.1999999999998181</v>
      </c>
      <c r="W35" s="15" t="s">
        <v>777</v>
      </c>
      <c r="X35" s="144"/>
      <c r="Y35" s="268"/>
      <c r="Z35" s="230">
        <v>2806.7</v>
      </c>
      <c r="AA35" s="86">
        <v>45720</v>
      </c>
      <c r="AB35" s="104">
        <v>336.5</v>
      </c>
      <c r="AC35" s="86">
        <v>45726</v>
      </c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211"/>
      <c r="BH35" s="211"/>
      <c r="BI35" s="211"/>
      <c r="BJ35" s="211"/>
      <c r="BK35" s="211"/>
      <c r="BL35" s="211"/>
      <c r="BM35" s="211"/>
      <c r="BN35" s="211"/>
      <c r="BO35" s="211"/>
    </row>
    <row r="36" spans="1:67" s="29" customFormat="1" ht="20.25" customHeight="1">
      <c r="A36" s="7">
        <v>45693</v>
      </c>
      <c r="B36" s="19" t="s">
        <v>779</v>
      </c>
      <c r="C36" s="19" t="s">
        <v>267</v>
      </c>
      <c r="D36" s="19" t="s">
        <v>212</v>
      </c>
      <c r="E36" s="19" t="s">
        <v>34</v>
      </c>
      <c r="F36" s="19" t="s">
        <v>780</v>
      </c>
      <c r="G36" s="19" t="s">
        <v>71</v>
      </c>
      <c r="H36" s="19" t="s">
        <v>26</v>
      </c>
      <c r="I36" s="19" t="s">
        <v>63</v>
      </c>
      <c r="J36" s="19" t="s">
        <v>27</v>
      </c>
      <c r="K36" s="19" t="s">
        <v>214</v>
      </c>
      <c r="L36" s="19" t="s">
        <v>75</v>
      </c>
      <c r="M36" s="20">
        <v>50</v>
      </c>
      <c r="N36" s="25">
        <v>1.33</v>
      </c>
      <c r="O36" s="19" t="s">
        <v>67</v>
      </c>
      <c r="P36" s="19" t="s">
        <v>29</v>
      </c>
      <c r="Q36" s="19" t="s">
        <v>713</v>
      </c>
      <c r="R36" s="19" t="s">
        <v>29</v>
      </c>
      <c r="S36" s="8">
        <v>45707</v>
      </c>
      <c r="T36" s="8">
        <v>45714</v>
      </c>
      <c r="U36" s="19"/>
      <c r="V36" s="55">
        <f>M36-U36-Z36</f>
        <v>0</v>
      </c>
      <c r="W36" s="15" t="s">
        <v>781</v>
      </c>
      <c r="X36" s="15" t="s">
        <v>431</v>
      </c>
      <c r="Y36" s="15"/>
      <c r="Z36" s="19">
        <v>50</v>
      </c>
      <c r="AA36" s="18">
        <v>45708</v>
      </c>
      <c r="AB36" s="142"/>
      <c r="AC36" s="142"/>
      <c r="AD36" s="142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</row>
    <row r="37" spans="1:67" s="29" customFormat="1" ht="20.25" customHeight="1">
      <c r="A37" s="7">
        <v>45693</v>
      </c>
      <c r="B37" s="19" t="s">
        <v>785</v>
      </c>
      <c r="C37" s="19" t="s">
        <v>211</v>
      </c>
      <c r="D37" s="19" t="s">
        <v>212</v>
      </c>
      <c r="E37" s="19" t="s">
        <v>25</v>
      </c>
      <c r="F37" s="19" t="s">
        <v>786</v>
      </c>
      <c r="G37" s="19" t="s">
        <v>71</v>
      </c>
      <c r="H37" s="19" t="s">
        <v>26</v>
      </c>
      <c r="I37" s="19" t="s">
        <v>63</v>
      </c>
      <c r="J37" s="19" t="s">
        <v>27</v>
      </c>
      <c r="K37" s="19" t="s">
        <v>214</v>
      </c>
      <c r="L37" s="19" t="s">
        <v>75</v>
      </c>
      <c r="M37" s="20">
        <v>810</v>
      </c>
      <c r="N37" s="25">
        <v>1.33</v>
      </c>
      <c r="O37" s="19" t="s">
        <v>67</v>
      </c>
      <c r="P37" s="19" t="s">
        <v>29</v>
      </c>
      <c r="Q37" s="19" t="s">
        <v>346</v>
      </c>
      <c r="R37" s="19" t="s">
        <v>29</v>
      </c>
      <c r="S37" s="8">
        <v>45707</v>
      </c>
      <c r="T37" s="8">
        <v>45719</v>
      </c>
      <c r="U37" s="19"/>
      <c r="V37" s="55">
        <f>M37-U37-Z37</f>
        <v>-0.89999999999997726</v>
      </c>
      <c r="W37" s="15" t="s">
        <v>787</v>
      </c>
      <c r="X37" s="15" t="s">
        <v>29</v>
      </c>
      <c r="Y37" s="15"/>
      <c r="Z37" s="19">
        <v>810.9</v>
      </c>
      <c r="AA37" s="18">
        <v>45720</v>
      </c>
      <c r="AB37" s="10"/>
      <c r="AC37" s="10"/>
      <c r="AD37" s="36"/>
      <c r="AE37" s="36"/>
      <c r="AF37" s="36"/>
      <c r="AG37" s="36"/>
      <c r="AH37" s="36"/>
      <c r="AI37" s="36"/>
      <c r="AJ37" s="140"/>
      <c r="AK37" s="140"/>
      <c r="AL37" s="140"/>
      <c r="AM37" s="140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</row>
    <row r="38" spans="1:67" s="29" customFormat="1" ht="20.25" customHeight="1">
      <c r="A38" s="7">
        <v>45693</v>
      </c>
      <c r="B38" s="19" t="s">
        <v>779</v>
      </c>
      <c r="C38" s="19" t="s">
        <v>267</v>
      </c>
      <c r="D38" s="19" t="s">
        <v>212</v>
      </c>
      <c r="E38" s="19" t="s">
        <v>25</v>
      </c>
      <c r="F38" s="19" t="s">
        <v>780</v>
      </c>
      <c r="G38" s="19" t="s">
        <v>71</v>
      </c>
      <c r="H38" s="19" t="s">
        <v>26</v>
      </c>
      <c r="I38" s="19" t="s">
        <v>63</v>
      </c>
      <c r="J38" s="19" t="s">
        <v>27</v>
      </c>
      <c r="K38" s="19" t="s">
        <v>782</v>
      </c>
      <c r="L38" s="19" t="s">
        <v>75</v>
      </c>
      <c r="M38" s="20">
        <v>100</v>
      </c>
      <c r="N38" s="25">
        <v>1.33</v>
      </c>
      <c r="O38" s="19" t="s">
        <v>67</v>
      </c>
      <c r="P38" s="19" t="s">
        <v>29</v>
      </c>
      <c r="Q38" s="19" t="s">
        <v>783</v>
      </c>
      <c r="R38" s="19" t="s">
        <v>29</v>
      </c>
      <c r="S38" s="8">
        <v>45707</v>
      </c>
      <c r="T38" s="8">
        <v>45714</v>
      </c>
      <c r="U38" s="19"/>
      <c r="V38" s="55">
        <f>M38-U38-Z38</f>
        <v>-9.9999999999994316E-2</v>
      </c>
      <c r="W38" s="15" t="s">
        <v>784</v>
      </c>
      <c r="X38" s="15" t="s">
        <v>339</v>
      </c>
      <c r="Y38" s="267"/>
      <c r="Z38" s="354">
        <v>100.1</v>
      </c>
      <c r="AA38" s="361">
        <v>45708</v>
      </c>
      <c r="AB38" s="142"/>
      <c r="AC38" s="142"/>
      <c r="AD38" s="142"/>
      <c r="AE38" s="36"/>
      <c r="AF38" s="36"/>
      <c r="AG38" s="36"/>
      <c r="AH38" s="36"/>
      <c r="AI38" s="36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28"/>
      <c r="BH38" s="28"/>
      <c r="BI38" s="28"/>
      <c r="BJ38" s="28"/>
      <c r="BK38" s="28"/>
      <c r="BL38" s="28"/>
      <c r="BM38" s="28"/>
      <c r="BN38" s="28"/>
      <c r="BO38" s="28"/>
    </row>
    <row r="39" spans="1:67" s="29" customFormat="1" ht="20.25" customHeight="1">
      <c r="A39" s="7">
        <v>45693</v>
      </c>
      <c r="B39" s="19" t="s">
        <v>785</v>
      </c>
      <c r="C39" s="19" t="s">
        <v>211</v>
      </c>
      <c r="D39" s="19" t="s">
        <v>212</v>
      </c>
      <c r="E39" s="19" t="s">
        <v>25</v>
      </c>
      <c r="F39" s="19" t="s">
        <v>786</v>
      </c>
      <c r="G39" s="19" t="s">
        <v>71</v>
      </c>
      <c r="H39" s="19" t="s">
        <v>26</v>
      </c>
      <c r="I39" s="19" t="s">
        <v>63</v>
      </c>
      <c r="J39" s="19" t="s">
        <v>27</v>
      </c>
      <c r="K39" s="19" t="s">
        <v>332</v>
      </c>
      <c r="L39" s="19" t="s">
        <v>75</v>
      </c>
      <c r="M39" s="20">
        <v>452</v>
      </c>
      <c r="N39" s="25">
        <v>1.33</v>
      </c>
      <c r="O39" s="19" t="s">
        <v>67</v>
      </c>
      <c r="P39" s="19" t="s">
        <v>29</v>
      </c>
      <c r="Q39" s="19" t="s">
        <v>346</v>
      </c>
      <c r="R39" s="19"/>
      <c r="S39" s="8">
        <v>45707</v>
      </c>
      <c r="T39" s="8">
        <v>45719</v>
      </c>
      <c r="U39" s="19"/>
      <c r="V39" s="55">
        <f>M39-U39-Z39</f>
        <v>-1</v>
      </c>
      <c r="W39" s="15" t="s">
        <v>788</v>
      </c>
      <c r="X39" s="144" t="s">
        <v>29</v>
      </c>
      <c r="Y39" s="144"/>
      <c r="Z39" s="19">
        <v>453</v>
      </c>
      <c r="AA39" s="18">
        <v>45726</v>
      </c>
      <c r="AB39" s="10"/>
      <c r="AC39" s="46"/>
      <c r="AD39" s="36"/>
      <c r="AE39" s="36"/>
      <c r="AF39" s="36"/>
      <c r="AG39" s="36"/>
      <c r="AH39" s="36"/>
      <c r="AI39" s="36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211"/>
      <c r="BH39" s="211"/>
      <c r="BI39" s="211"/>
      <c r="BJ39" s="211"/>
      <c r="BK39" s="211"/>
      <c r="BL39" s="211"/>
      <c r="BM39" s="211"/>
      <c r="BN39" s="211"/>
      <c r="BO39" s="211"/>
    </row>
    <row r="40" spans="1:67" s="29" customFormat="1" ht="20.25" customHeight="1">
      <c r="A40" s="7">
        <v>45694</v>
      </c>
      <c r="B40" s="19" t="s">
        <v>789</v>
      </c>
      <c r="C40" s="19" t="s">
        <v>243</v>
      </c>
      <c r="D40" s="19" t="s">
        <v>212</v>
      </c>
      <c r="E40" s="19" t="s">
        <v>25</v>
      </c>
      <c r="F40" s="19" t="s">
        <v>790</v>
      </c>
      <c r="G40" s="19" t="s">
        <v>71</v>
      </c>
      <c r="H40" s="19" t="s">
        <v>31</v>
      </c>
      <c r="I40" s="19" t="s">
        <v>63</v>
      </c>
      <c r="J40" s="19" t="s">
        <v>27</v>
      </c>
      <c r="K40" s="19" t="s">
        <v>384</v>
      </c>
      <c r="L40" s="19" t="s">
        <v>75</v>
      </c>
      <c r="M40" s="20">
        <v>4144</v>
      </c>
      <c r="N40" s="25">
        <v>1.33</v>
      </c>
      <c r="O40" s="19" t="s">
        <v>67</v>
      </c>
      <c r="P40" s="19" t="s">
        <v>29</v>
      </c>
      <c r="Q40" s="19" t="s">
        <v>791</v>
      </c>
      <c r="R40" s="19" t="s">
        <v>29</v>
      </c>
      <c r="S40" s="8">
        <v>45715</v>
      </c>
      <c r="T40" s="8">
        <v>45715</v>
      </c>
      <c r="U40" s="19"/>
      <c r="V40" s="55">
        <f>M40-U40-Z40-AB40</f>
        <v>-0.50000000000022737</v>
      </c>
      <c r="W40" s="15" t="s">
        <v>792</v>
      </c>
      <c r="X40" s="15" t="s">
        <v>793</v>
      </c>
      <c r="Y40" s="267"/>
      <c r="Z40" s="354">
        <v>2466.3000000000002</v>
      </c>
      <c r="AA40" s="361">
        <v>45706</v>
      </c>
      <c r="AB40" s="104">
        <v>1678.2</v>
      </c>
      <c r="AC40" s="86">
        <v>45720</v>
      </c>
      <c r="AD40" s="36"/>
      <c r="AE40" s="36"/>
      <c r="AF40" s="36"/>
      <c r="AG40" s="36"/>
      <c r="AH40" s="36"/>
      <c r="AI40" s="36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87"/>
      <c r="BH40" s="87"/>
      <c r="BI40" s="87"/>
      <c r="BJ40" s="87"/>
      <c r="BK40" s="87"/>
      <c r="BL40" s="87"/>
      <c r="BM40" s="87"/>
      <c r="BN40" s="87"/>
      <c r="BO40" s="87"/>
    </row>
    <row r="41" spans="1:67" s="29" customFormat="1" ht="20.25" customHeight="1">
      <c r="A41" s="7">
        <v>45694</v>
      </c>
      <c r="B41" s="19" t="s">
        <v>210</v>
      </c>
      <c r="C41" s="19" t="s">
        <v>211</v>
      </c>
      <c r="D41" s="19" t="s">
        <v>212</v>
      </c>
      <c r="E41" s="19" t="s">
        <v>25</v>
      </c>
      <c r="F41" s="19" t="s">
        <v>213</v>
      </c>
      <c r="G41" s="19" t="s">
        <v>71</v>
      </c>
      <c r="H41" s="19" t="s">
        <v>26</v>
      </c>
      <c r="I41" s="19" t="s">
        <v>63</v>
      </c>
      <c r="J41" s="19" t="s">
        <v>27</v>
      </c>
      <c r="K41" s="19" t="s">
        <v>214</v>
      </c>
      <c r="L41" s="19" t="s">
        <v>75</v>
      </c>
      <c r="M41" s="20">
        <v>4052</v>
      </c>
      <c r="N41" s="25">
        <v>1.33</v>
      </c>
      <c r="O41" s="19" t="s">
        <v>67</v>
      </c>
      <c r="P41" s="19" t="s">
        <v>29</v>
      </c>
      <c r="Q41" s="19" t="s">
        <v>701</v>
      </c>
      <c r="R41" s="19" t="s">
        <v>29</v>
      </c>
      <c r="S41" s="8">
        <v>45715</v>
      </c>
      <c r="T41" s="8">
        <v>45782</v>
      </c>
      <c r="U41" s="19"/>
      <c r="V41" s="55">
        <f>M41-U41-Z41-AB41</f>
        <v>0</v>
      </c>
      <c r="W41" s="15" t="s">
        <v>215</v>
      </c>
      <c r="X41" s="15"/>
      <c r="Y41" s="234"/>
      <c r="Z41" s="80">
        <v>2050.6999999999998</v>
      </c>
      <c r="AA41" s="38">
        <v>45784</v>
      </c>
      <c r="AB41" s="104">
        <v>2001.3</v>
      </c>
      <c r="AC41" s="86">
        <v>45790</v>
      </c>
      <c r="AD41" s="36"/>
      <c r="AE41" s="36"/>
      <c r="AF41" s="36"/>
      <c r="AG41" s="36"/>
      <c r="AH41" s="36"/>
      <c r="AI41" s="36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</row>
    <row r="42" spans="1:67" s="29" customFormat="1" ht="20.25" customHeight="1">
      <c r="A42" s="7">
        <v>45694</v>
      </c>
      <c r="B42" s="19" t="s">
        <v>794</v>
      </c>
      <c r="C42" s="19" t="s">
        <v>211</v>
      </c>
      <c r="D42" s="19" t="s">
        <v>212</v>
      </c>
      <c r="E42" s="19" t="s">
        <v>25</v>
      </c>
      <c r="F42" s="19" t="s">
        <v>795</v>
      </c>
      <c r="G42" s="19" t="s">
        <v>71</v>
      </c>
      <c r="H42" s="19" t="s">
        <v>26</v>
      </c>
      <c r="I42" s="19" t="s">
        <v>63</v>
      </c>
      <c r="J42" s="19" t="s">
        <v>27</v>
      </c>
      <c r="K42" s="19" t="s">
        <v>214</v>
      </c>
      <c r="L42" s="19" t="s">
        <v>75</v>
      </c>
      <c r="M42" s="20">
        <v>8036</v>
      </c>
      <c r="N42" s="25">
        <v>1.33</v>
      </c>
      <c r="O42" s="19" t="s">
        <v>67</v>
      </c>
      <c r="P42" s="19" t="s">
        <v>29</v>
      </c>
      <c r="Q42" s="19" t="s">
        <v>761</v>
      </c>
      <c r="R42" s="19" t="s">
        <v>29</v>
      </c>
      <c r="S42" s="8">
        <v>45761</v>
      </c>
      <c r="T42" s="8">
        <v>45761</v>
      </c>
      <c r="U42" s="19"/>
      <c r="V42" s="55">
        <f>M42-U42-Z42</f>
        <v>-2.0000000000009095</v>
      </c>
      <c r="W42" s="15" t="s">
        <v>797</v>
      </c>
      <c r="X42" s="15"/>
      <c r="Y42" s="234"/>
      <c r="Z42" s="19">
        <f>1947.4+21.9+1096.6+902.5+2179.3+1075.6+814.7</f>
        <v>8038.0000000000009</v>
      </c>
      <c r="AA42" s="86">
        <v>45755</v>
      </c>
      <c r="AB42" s="36"/>
      <c r="AC42" s="36"/>
      <c r="AD42" s="36"/>
      <c r="AE42" s="36"/>
      <c r="AF42" s="36"/>
      <c r="AG42" s="36"/>
      <c r="AH42" s="36"/>
      <c r="AI42" s="36"/>
      <c r="AJ42" s="140"/>
      <c r="AK42" s="140"/>
      <c r="AL42" s="140"/>
      <c r="AM42" s="140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</row>
    <row r="43" spans="1:67" s="29" customFormat="1" ht="20.25" customHeight="1">
      <c r="A43" s="7">
        <v>45694</v>
      </c>
      <c r="B43" s="19" t="s">
        <v>798</v>
      </c>
      <c r="C43" s="19" t="s">
        <v>211</v>
      </c>
      <c r="D43" s="19" t="s">
        <v>212</v>
      </c>
      <c r="E43" s="19" t="s">
        <v>25</v>
      </c>
      <c r="F43" s="19" t="s">
        <v>799</v>
      </c>
      <c r="G43" s="19" t="s">
        <v>71</v>
      </c>
      <c r="H43" s="19" t="s">
        <v>26</v>
      </c>
      <c r="I43" s="19" t="s">
        <v>63</v>
      </c>
      <c r="J43" s="19" t="s">
        <v>27</v>
      </c>
      <c r="K43" s="19" t="s">
        <v>214</v>
      </c>
      <c r="L43" s="19" t="s">
        <v>75</v>
      </c>
      <c r="M43" s="20">
        <v>9185</v>
      </c>
      <c r="N43" s="25">
        <v>1.33</v>
      </c>
      <c r="O43" s="19" t="s">
        <v>67</v>
      </c>
      <c r="P43" s="19" t="s">
        <v>29</v>
      </c>
      <c r="Q43" s="19" t="s">
        <v>739</v>
      </c>
      <c r="R43" s="19" t="s">
        <v>29</v>
      </c>
      <c r="S43" s="8">
        <v>45719</v>
      </c>
      <c r="T43" s="8">
        <v>45719</v>
      </c>
      <c r="U43" s="19"/>
      <c r="V43" s="55">
        <f>M43-U43-Z43-AB43-AD43</f>
        <v>-0.59999999999979536</v>
      </c>
      <c r="W43" s="15" t="s">
        <v>802</v>
      </c>
      <c r="X43" s="15"/>
      <c r="Y43" s="15"/>
      <c r="Z43" s="19">
        <f>2691.1+1054.3+3133.3</f>
        <v>6878.7</v>
      </c>
      <c r="AA43" s="18">
        <v>45728</v>
      </c>
      <c r="AB43" s="19">
        <v>1477.8</v>
      </c>
      <c r="AC43" s="18">
        <v>45730</v>
      </c>
      <c r="AD43" s="104">
        <v>829.1</v>
      </c>
      <c r="AE43" s="146">
        <v>45736</v>
      </c>
      <c r="AF43" s="36"/>
      <c r="AG43" s="36"/>
      <c r="AH43" s="36"/>
      <c r="AI43" s="36"/>
      <c r="AJ43" s="145"/>
      <c r="AK43" s="145"/>
      <c r="AL43" s="145"/>
      <c r="AM43" s="145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</row>
    <row r="44" spans="1:67" s="37" customFormat="1" ht="20.25" customHeight="1">
      <c r="A44" s="7">
        <v>45694</v>
      </c>
      <c r="B44" s="19" t="s">
        <v>798</v>
      </c>
      <c r="C44" s="19" t="s">
        <v>211</v>
      </c>
      <c r="D44" s="19" t="s">
        <v>212</v>
      </c>
      <c r="E44" s="19" t="s">
        <v>25</v>
      </c>
      <c r="F44" s="19" t="s">
        <v>799</v>
      </c>
      <c r="G44" s="19" t="s">
        <v>71</v>
      </c>
      <c r="H44" s="19" t="s">
        <v>26</v>
      </c>
      <c r="I44" s="19" t="s">
        <v>63</v>
      </c>
      <c r="J44" s="19" t="s">
        <v>27</v>
      </c>
      <c r="K44" s="19" t="s">
        <v>800</v>
      </c>
      <c r="L44" s="19" t="s">
        <v>75</v>
      </c>
      <c r="M44" s="20">
        <v>14618</v>
      </c>
      <c r="N44" s="25">
        <v>1.33</v>
      </c>
      <c r="O44" s="19" t="s">
        <v>67</v>
      </c>
      <c r="P44" s="19" t="s">
        <v>29</v>
      </c>
      <c r="Q44" s="19" t="s">
        <v>739</v>
      </c>
      <c r="R44" s="19" t="s">
        <v>29</v>
      </c>
      <c r="S44" s="8">
        <v>45715</v>
      </c>
      <c r="T44" s="8">
        <v>45719</v>
      </c>
      <c r="U44" s="19"/>
      <c r="V44" s="55">
        <f>M44-U44-Z44-AB44-AD44</f>
        <v>-0.49999999999943157</v>
      </c>
      <c r="W44" s="15" t="s">
        <v>801</v>
      </c>
      <c r="X44" s="15"/>
      <c r="Y44" s="234"/>
      <c r="Z44" s="104">
        <f>3679.4+4006.4</f>
        <v>7685.8</v>
      </c>
      <c r="AA44" s="86">
        <v>45720</v>
      </c>
      <c r="AB44" s="104">
        <f>2716.2+3337.1</f>
        <v>6053.2999999999993</v>
      </c>
      <c r="AC44" s="86">
        <v>45726</v>
      </c>
      <c r="AD44" s="104">
        <v>879.4</v>
      </c>
      <c r="AE44" s="123">
        <v>45728</v>
      </c>
      <c r="AF44" s="36"/>
      <c r="AG44" s="36"/>
      <c r="AH44" s="36"/>
      <c r="AI44" s="36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28"/>
      <c r="BH44" s="28"/>
      <c r="BI44" s="28"/>
      <c r="BJ44" s="28"/>
      <c r="BK44" s="28"/>
      <c r="BL44" s="28"/>
      <c r="BM44" s="28"/>
      <c r="BN44" s="28"/>
      <c r="BO44" s="28"/>
    </row>
    <row r="45" spans="1:67" s="29" customFormat="1" ht="20.25" customHeight="1">
      <c r="A45" s="241">
        <v>45694</v>
      </c>
      <c r="B45" s="103" t="s">
        <v>794</v>
      </c>
      <c r="C45" s="103" t="s">
        <v>211</v>
      </c>
      <c r="D45" s="103" t="s">
        <v>212</v>
      </c>
      <c r="E45" s="103" t="s">
        <v>25</v>
      </c>
      <c r="F45" s="103" t="s">
        <v>795</v>
      </c>
      <c r="G45" s="103" t="s">
        <v>71</v>
      </c>
      <c r="H45" s="103" t="s">
        <v>26</v>
      </c>
      <c r="I45" s="103" t="s">
        <v>63</v>
      </c>
      <c r="J45" s="103" t="s">
        <v>27</v>
      </c>
      <c r="K45" s="103" t="s">
        <v>351</v>
      </c>
      <c r="L45" s="103" t="s">
        <v>75</v>
      </c>
      <c r="M45" s="242">
        <v>13021</v>
      </c>
      <c r="N45" s="243">
        <v>1.33</v>
      </c>
      <c r="O45" s="103" t="s">
        <v>67</v>
      </c>
      <c r="P45" s="103" t="s">
        <v>29</v>
      </c>
      <c r="Q45" s="103" t="s">
        <v>761</v>
      </c>
      <c r="R45" s="103" t="s">
        <v>29</v>
      </c>
      <c r="S45" s="244">
        <v>45761</v>
      </c>
      <c r="T45" s="244">
        <v>45761</v>
      </c>
      <c r="U45" s="19"/>
      <c r="V45" s="55">
        <f>M45-U45-Z45-AB45-AD45</f>
        <v>-2.5</v>
      </c>
      <c r="W45" s="245" t="s">
        <v>796</v>
      </c>
      <c r="X45" s="15"/>
      <c r="Y45" s="234"/>
      <c r="Z45" s="80">
        <v>3021.5</v>
      </c>
      <c r="AA45" s="38">
        <v>45755</v>
      </c>
      <c r="AB45" s="104">
        <v>2801.1</v>
      </c>
      <c r="AC45" s="86">
        <v>45762</v>
      </c>
      <c r="AD45" s="141">
        <f>3852.9+3348</f>
        <v>7200.9</v>
      </c>
      <c r="AE45" s="86">
        <v>45768</v>
      </c>
      <c r="AF45" s="36"/>
      <c r="AG45" s="36"/>
      <c r="AH45" s="36"/>
      <c r="AI45" s="36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28"/>
      <c r="BH45" s="28"/>
      <c r="BI45" s="28"/>
      <c r="BJ45" s="28"/>
      <c r="BK45" s="28"/>
      <c r="BL45" s="28"/>
      <c r="BM45" s="28"/>
      <c r="BN45" s="28"/>
      <c r="BO45" s="28"/>
    </row>
    <row r="46" spans="1:67" s="29" customFormat="1" ht="20.25" customHeight="1">
      <c r="A46" s="241">
        <v>45694</v>
      </c>
      <c r="B46" s="103" t="s">
        <v>210</v>
      </c>
      <c r="C46" s="103" t="s">
        <v>211</v>
      </c>
      <c r="D46" s="103" t="s">
        <v>212</v>
      </c>
      <c r="E46" s="103" t="s">
        <v>25</v>
      </c>
      <c r="F46" s="103" t="s">
        <v>213</v>
      </c>
      <c r="G46" s="103" t="s">
        <v>71</v>
      </c>
      <c r="H46" s="103" t="s">
        <v>26</v>
      </c>
      <c r="I46" s="103" t="s">
        <v>63</v>
      </c>
      <c r="J46" s="103" t="s">
        <v>27</v>
      </c>
      <c r="K46" s="103" t="s">
        <v>332</v>
      </c>
      <c r="L46" s="103" t="s">
        <v>75</v>
      </c>
      <c r="M46" s="242">
        <v>2950</v>
      </c>
      <c r="N46" s="243">
        <v>1.33</v>
      </c>
      <c r="O46" s="103" t="s">
        <v>67</v>
      </c>
      <c r="P46" s="103" t="s">
        <v>29</v>
      </c>
      <c r="Q46" s="103" t="s">
        <v>701</v>
      </c>
      <c r="R46" s="103" t="s">
        <v>29</v>
      </c>
      <c r="S46" s="244">
        <v>45715</v>
      </c>
      <c r="T46" s="244">
        <v>45782</v>
      </c>
      <c r="U46" s="19"/>
      <c r="V46" s="55">
        <v>-1</v>
      </c>
      <c r="W46" s="245" t="s">
        <v>700</v>
      </c>
      <c r="X46" s="15"/>
      <c r="Y46" s="234"/>
      <c r="Z46" s="19">
        <v>2951</v>
      </c>
      <c r="AA46" s="18">
        <v>45784</v>
      </c>
      <c r="AB46" s="141"/>
      <c r="AC46" s="36"/>
      <c r="AD46" s="36"/>
      <c r="AE46" s="36"/>
      <c r="AF46" s="36"/>
      <c r="AG46" s="36"/>
      <c r="AH46" s="36"/>
      <c r="AI46" s="36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28"/>
      <c r="BH46" s="28"/>
      <c r="BI46" s="28"/>
      <c r="BJ46" s="28"/>
      <c r="BK46" s="28"/>
      <c r="BL46" s="28"/>
      <c r="BM46" s="28"/>
      <c r="BN46" s="28"/>
      <c r="BO46" s="28"/>
    </row>
    <row r="47" spans="1:67" s="29" customFormat="1" ht="20.25" customHeight="1">
      <c r="A47" s="241">
        <v>45695</v>
      </c>
      <c r="B47" s="103" t="s">
        <v>815</v>
      </c>
      <c r="C47" s="103" t="s">
        <v>382</v>
      </c>
      <c r="D47" s="103" t="s">
        <v>212</v>
      </c>
      <c r="E47" s="103" t="s">
        <v>25</v>
      </c>
      <c r="F47" s="103" t="s">
        <v>816</v>
      </c>
      <c r="G47" s="103" t="s">
        <v>71</v>
      </c>
      <c r="H47" s="103" t="s">
        <v>31</v>
      </c>
      <c r="I47" s="103" t="s">
        <v>63</v>
      </c>
      <c r="J47" s="103" t="s">
        <v>27</v>
      </c>
      <c r="K47" s="103" t="s">
        <v>384</v>
      </c>
      <c r="L47" s="103" t="s">
        <v>75</v>
      </c>
      <c r="M47" s="242">
        <v>433.41</v>
      </c>
      <c r="N47" s="243">
        <v>1.33</v>
      </c>
      <c r="O47" s="103" t="s">
        <v>67</v>
      </c>
      <c r="P47" s="103" t="s">
        <v>29</v>
      </c>
      <c r="Q47" s="103" t="s">
        <v>397</v>
      </c>
      <c r="R47" s="103" t="s">
        <v>385</v>
      </c>
      <c r="S47" s="244">
        <v>45709</v>
      </c>
      <c r="T47" s="244">
        <v>45720</v>
      </c>
      <c r="U47" s="19"/>
      <c r="V47" s="55">
        <f>M47-U47-Z47</f>
        <v>-0.88999999999998636</v>
      </c>
      <c r="W47" s="245" t="s">
        <v>817</v>
      </c>
      <c r="X47" s="15" t="s">
        <v>818</v>
      </c>
      <c r="Y47" s="234"/>
      <c r="Z47" s="19">
        <v>434.3</v>
      </c>
      <c r="AA47" s="18">
        <v>45713</v>
      </c>
      <c r="AB47" s="36"/>
      <c r="AC47" s="36"/>
      <c r="AD47" s="36"/>
      <c r="AE47" s="36"/>
      <c r="AF47" s="36"/>
      <c r="AG47" s="36"/>
      <c r="AH47" s="36"/>
      <c r="AI47" s="36"/>
      <c r="AJ47" s="140"/>
      <c r="AK47" s="140"/>
      <c r="AL47" s="140"/>
      <c r="AM47" s="140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</row>
    <row r="48" spans="1:67" s="29" customFormat="1" ht="20.25" customHeight="1">
      <c r="A48" s="241">
        <v>45695</v>
      </c>
      <c r="B48" s="103" t="s">
        <v>815</v>
      </c>
      <c r="C48" s="103" t="s">
        <v>382</v>
      </c>
      <c r="D48" s="103" t="s">
        <v>212</v>
      </c>
      <c r="E48" s="103" t="s">
        <v>25</v>
      </c>
      <c r="F48" s="103" t="s">
        <v>816</v>
      </c>
      <c r="G48" s="103" t="s">
        <v>71</v>
      </c>
      <c r="H48" s="103" t="s">
        <v>31</v>
      </c>
      <c r="I48" s="103" t="s">
        <v>63</v>
      </c>
      <c r="J48" s="103" t="s">
        <v>27</v>
      </c>
      <c r="K48" s="103" t="s">
        <v>384</v>
      </c>
      <c r="L48" s="103" t="s">
        <v>75</v>
      </c>
      <c r="M48" s="242">
        <v>1832.79</v>
      </c>
      <c r="N48" s="243">
        <v>1.33</v>
      </c>
      <c r="O48" s="103" t="s">
        <v>67</v>
      </c>
      <c r="P48" s="103" t="s">
        <v>29</v>
      </c>
      <c r="Q48" s="103" t="s">
        <v>397</v>
      </c>
      <c r="R48" s="103" t="s">
        <v>385</v>
      </c>
      <c r="S48" s="244">
        <v>45709</v>
      </c>
      <c r="T48" s="244">
        <v>45720</v>
      </c>
      <c r="U48" s="19"/>
      <c r="V48" s="55">
        <f>M48-U48-Z48</f>
        <v>-9.9999999999909051E-3</v>
      </c>
      <c r="W48" s="245" t="s">
        <v>819</v>
      </c>
      <c r="X48" s="15" t="s">
        <v>820</v>
      </c>
      <c r="Y48" s="234"/>
      <c r="Z48" s="19">
        <f>1711.1+121.7</f>
        <v>1832.8</v>
      </c>
      <c r="AA48" s="18">
        <v>45713</v>
      </c>
      <c r="AB48" s="46"/>
      <c r="AC48" s="46"/>
      <c r="AD48" s="36"/>
      <c r="AE48" s="36"/>
      <c r="AF48" s="36"/>
      <c r="AG48" s="36"/>
      <c r="AH48" s="36"/>
      <c r="AI48" s="36"/>
      <c r="AJ48" s="139"/>
      <c r="AK48" s="139"/>
      <c r="AL48" s="139"/>
      <c r="AM48" s="139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</row>
    <row r="49" spans="1:67" s="29" customFormat="1" ht="20.25" customHeight="1">
      <c r="A49" s="241">
        <v>45695</v>
      </c>
      <c r="B49" s="103" t="s">
        <v>829</v>
      </c>
      <c r="C49" s="103" t="s">
        <v>211</v>
      </c>
      <c r="D49" s="103" t="s">
        <v>212</v>
      </c>
      <c r="E49" s="103" t="s">
        <v>25</v>
      </c>
      <c r="F49" s="103" t="s">
        <v>830</v>
      </c>
      <c r="G49" s="103" t="s">
        <v>71</v>
      </c>
      <c r="H49" s="103" t="s">
        <v>26</v>
      </c>
      <c r="I49" s="103" t="s">
        <v>63</v>
      </c>
      <c r="J49" s="103" t="s">
        <v>27</v>
      </c>
      <c r="K49" s="103" t="s">
        <v>214</v>
      </c>
      <c r="L49" s="103" t="s">
        <v>75</v>
      </c>
      <c r="M49" s="242">
        <v>3771</v>
      </c>
      <c r="N49" s="243">
        <v>1.33</v>
      </c>
      <c r="O49" s="103" t="s">
        <v>67</v>
      </c>
      <c r="P49" s="103" t="s">
        <v>29</v>
      </c>
      <c r="Q49" s="103" t="s">
        <v>831</v>
      </c>
      <c r="R49" s="103" t="s">
        <v>29</v>
      </c>
      <c r="S49" s="244">
        <v>45810</v>
      </c>
      <c r="T49" s="244">
        <v>45810</v>
      </c>
      <c r="U49" s="19"/>
      <c r="V49" s="55">
        <f>M49-U49-Z49</f>
        <v>-2.8000000000001819</v>
      </c>
      <c r="W49" s="245" t="s">
        <v>832</v>
      </c>
      <c r="X49" s="15"/>
      <c r="Y49" s="234"/>
      <c r="Z49" s="19">
        <v>3773.8</v>
      </c>
      <c r="AA49" s="18">
        <v>45805</v>
      </c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</row>
    <row r="50" spans="1:67" s="29" customFormat="1" ht="20.25" customHeight="1">
      <c r="A50" s="241">
        <v>45695</v>
      </c>
      <c r="B50" s="103" t="s">
        <v>834</v>
      </c>
      <c r="C50" s="103" t="s">
        <v>211</v>
      </c>
      <c r="D50" s="103" t="s">
        <v>212</v>
      </c>
      <c r="E50" s="103" t="s">
        <v>25</v>
      </c>
      <c r="F50" s="103" t="s">
        <v>835</v>
      </c>
      <c r="G50" s="103" t="s">
        <v>71</v>
      </c>
      <c r="H50" s="103" t="s">
        <v>26</v>
      </c>
      <c r="I50" s="103" t="s">
        <v>63</v>
      </c>
      <c r="J50" s="103" t="s">
        <v>27</v>
      </c>
      <c r="K50" s="103" t="s">
        <v>214</v>
      </c>
      <c r="L50" s="103" t="s">
        <v>75</v>
      </c>
      <c r="M50" s="242">
        <v>1197</v>
      </c>
      <c r="N50" s="243">
        <v>1.33</v>
      </c>
      <c r="O50" s="103" t="s">
        <v>67</v>
      </c>
      <c r="P50" s="103" t="s">
        <v>29</v>
      </c>
      <c r="Q50" s="103" t="s">
        <v>219</v>
      </c>
      <c r="R50" s="103" t="s">
        <v>29</v>
      </c>
      <c r="S50" s="244">
        <v>45810</v>
      </c>
      <c r="T50" s="244">
        <v>45810</v>
      </c>
      <c r="U50" s="19"/>
      <c r="V50" s="55">
        <f>M50-U50-Z50</f>
        <v>-2.2999999999999545</v>
      </c>
      <c r="W50" s="245" t="s">
        <v>836</v>
      </c>
      <c r="X50" s="15"/>
      <c r="Y50" s="234"/>
      <c r="Z50" s="249">
        <v>1199.3</v>
      </c>
      <c r="AA50" s="365">
        <v>45805</v>
      </c>
      <c r="AB50" s="36"/>
      <c r="AC50" s="36"/>
      <c r="AD50" s="36"/>
      <c r="AE50" s="36"/>
      <c r="AF50" s="36"/>
      <c r="AG50" s="36"/>
      <c r="AH50" s="36"/>
      <c r="AI50" s="36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</row>
    <row r="51" spans="1:67" s="29" customFormat="1" ht="20.25" customHeight="1">
      <c r="A51" s="241">
        <v>45695</v>
      </c>
      <c r="B51" s="103" t="s">
        <v>807</v>
      </c>
      <c r="C51" s="103" t="s">
        <v>400</v>
      </c>
      <c r="D51" s="103" t="s">
        <v>212</v>
      </c>
      <c r="E51" s="103" t="s">
        <v>25</v>
      </c>
      <c r="F51" s="103" t="s">
        <v>808</v>
      </c>
      <c r="G51" s="103" t="s">
        <v>71</v>
      </c>
      <c r="H51" s="103" t="s">
        <v>26</v>
      </c>
      <c r="I51" s="103" t="s">
        <v>63</v>
      </c>
      <c r="J51" s="103" t="s">
        <v>27</v>
      </c>
      <c r="K51" s="103" t="s">
        <v>673</v>
      </c>
      <c r="L51" s="103" t="s">
        <v>75</v>
      </c>
      <c r="M51" s="242">
        <v>13188.12</v>
      </c>
      <c r="N51" s="243">
        <v>1.33</v>
      </c>
      <c r="O51" s="103" t="s">
        <v>67</v>
      </c>
      <c r="P51" s="103" t="s">
        <v>29</v>
      </c>
      <c r="Q51" s="103" t="s">
        <v>809</v>
      </c>
      <c r="R51" s="103" t="s">
        <v>810</v>
      </c>
      <c r="S51" s="244">
        <v>45716</v>
      </c>
      <c r="T51" s="244">
        <v>45716</v>
      </c>
      <c r="U51" s="19"/>
      <c r="V51" s="55">
        <f>M51-U51-Z51</f>
        <v>-1.180000000000291</v>
      </c>
      <c r="W51" s="245" t="s">
        <v>811</v>
      </c>
      <c r="X51" s="1" t="s">
        <v>29</v>
      </c>
      <c r="Y51" s="15"/>
      <c r="Z51" s="19">
        <f>2153+1097.8+2794.4+1831.1+1516.1+3796.9</f>
        <v>13189.300000000001</v>
      </c>
      <c r="AA51" s="18">
        <v>45713</v>
      </c>
      <c r="AB51" s="36"/>
      <c r="AC51" s="36"/>
      <c r="AD51" s="36"/>
      <c r="AE51" s="36"/>
      <c r="AF51" s="36"/>
      <c r="AG51" s="36"/>
      <c r="AH51" s="36"/>
      <c r="AI51" s="36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</row>
    <row r="52" spans="1:67" s="29" customFormat="1" ht="20.25" customHeight="1">
      <c r="A52" s="241">
        <v>45695</v>
      </c>
      <c r="B52" s="103" t="s">
        <v>803</v>
      </c>
      <c r="C52" s="103" t="s">
        <v>438</v>
      </c>
      <c r="D52" s="103" t="s">
        <v>212</v>
      </c>
      <c r="E52" s="103" t="s">
        <v>25</v>
      </c>
      <c r="F52" s="103">
        <v>4003104578</v>
      </c>
      <c r="G52" s="103" t="s">
        <v>71</v>
      </c>
      <c r="H52" s="103" t="s">
        <v>31</v>
      </c>
      <c r="I52" s="103" t="s">
        <v>63</v>
      </c>
      <c r="J52" s="103" t="s">
        <v>27</v>
      </c>
      <c r="K52" s="103" t="s">
        <v>306</v>
      </c>
      <c r="L52" s="103" t="s">
        <v>75</v>
      </c>
      <c r="M52" s="242">
        <v>566</v>
      </c>
      <c r="N52" s="243">
        <v>1.33</v>
      </c>
      <c r="O52" s="103" t="s">
        <v>67</v>
      </c>
      <c r="P52" s="103" t="s">
        <v>29</v>
      </c>
      <c r="Q52" s="103" t="s">
        <v>29</v>
      </c>
      <c r="R52" s="103" t="s">
        <v>29</v>
      </c>
      <c r="S52" s="244">
        <v>45709</v>
      </c>
      <c r="T52" s="244">
        <v>45720</v>
      </c>
      <c r="U52" s="19"/>
      <c r="V52" s="55">
        <f>M52-U52-Z52</f>
        <v>0</v>
      </c>
      <c r="W52" s="245" t="s">
        <v>805</v>
      </c>
      <c r="X52" s="144" t="s">
        <v>806</v>
      </c>
      <c r="Y52" s="233"/>
      <c r="Z52" s="80">
        <v>566</v>
      </c>
      <c r="AA52" s="38">
        <v>45720</v>
      </c>
      <c r="AB52" s="141"/>
      <c r="AC52" s="141"/>
      <c r="AD52" s="36"/>
      <c r="AE52" s="36"/>
      <c r="AF52" s="36"/>
      <c r="AG52" s="36"/>
      <c r="AH52" s="36"/>
      <c r="AI52" s="36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254"/>
      <c r="BH52" s="254"/>
      <c r="BI52" s="254"/>
      <c r="BJ52" s="254"/>
      <c r="BK52" s="254"/>
      <c r="BL52" s="254"/>
      <c r="BM52" s="254"/>
      <c r="BN52" s="254"/>
      <c r="BO52" s="254"/>
    </row>
    <row r="53" spans="1:67" s="29" customFormat="1" ht="20.25" customHeight="1">
      <c r="A53" s="241">
        <v>45695</v>
      </c>
      <c r="B53" s="103" t="s">
        <v>821</v>
      </c>
      <c r="C53" s="103" t="s">
        <v>382</v>
      </c>
      <c r="D53" s="103" t="s">
        <v>212</v>
      </c>
      <c r="E53" s="103" t="s">
        <v>25</v>
      </c>
      <c r="F53" s="103" t="s">
        <v>822</v>
      </c>
      <c r="G53" s="103" t="s">
        <v>71</v>
      </c>
      <c r="H53" s="103" t="s">
        <v>31</v>
      </c>
      <c r="I53" s="103" t="s">
        <v>63</v>
      </c>
      <c r="J53" s="103" t="s">
        <v>27</v>
      </c>
      <c r="K53" s="103" t="s">
        <v>306</v>
      </c>
      <c r="L53" s="103" t="s">
        <v>75</v>
      </c>
      <c r="M53" s="242">
        <v>2027.67</v>
      </c>
      <c r="N53" s="243">
        <v>1.33</v>
      </c>
      <c r="O53" s="103" t="s">
        <v>67</v>
      </c>
      <c r="P53" s="103" t="s">
        <v>29</v>
      </c>
      <c r="Q53" s="103" t="s">
        <v>402</v>
      </c>
      <c r="R53" s="103" t="s">
        <v>393</v>
      </c>
      <c r="S53" s="244">
        <v>45709</v>
      </c>
      <c r="T53" s="244">
        <v>45720</v>
      </c>
      <c r="U53" s="19"/>
      <c r="V53" s="55">
        <f>M53-U53-Z53-AB53</f>
        <v>-0.92999999999983629</v>
      </c>
      <c r="W53" s="245" t="s">
        <v>823</v>
      </c>
      <c r="X53" s="15" t="s">
        <v>824</v>
      </c>
      <c r="Y53" s="234"/>
      <c r="Z53" s="354">
        <v>23</v>
      </c>
      <c r="AA53" s="361">
        <v>45706</v>
      </c>
      <c r="AB53" s="104">
        <f>608.3+1397.3</f>
        <v>2005.6</v>
      </c>
      <c r="AC53" s="86">
        <v>45713</v>
      </c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254"/>
      <c r="BH53" s="254"/>
      <c r="BI53" s="254"/>
      <c r="BJ53" s="254"/>
      <c r="BK53" s="254"/>
      <c r="BL53" s="254"/>
      <c r="BM53" s="254"/>
      <c r="BN53" s="254"/>
      <c r="BO53" s="254"/>
    </row>
    <row r="54" spans="1:67" s="29" customFormat="1" ht="20.25" customHeight="1">
      <c r="A54" s="241">
        <v>45695</v>
      </c>
      <c r="B54" s="103" t="s">
        <v>825</v>
      </c>
      <c r="C54" s="103" t="s">
        <v>382</v>
      </c>
      <c r="D54" s="103" t="s">
        <v>212</v>
      </c>
      <c r="E54" s="103" t="s">
        <v>25</v>
      </c>
      <c r="F54" s="103" t="s">
        <v>826</v>
      </c>
      <c r="G54" s="103" t="s">
        <v>71</v>
      </c>
      <c r="H54" s="103" t="s">
        <v>31</v>
      </c>
      <c r="I54" s="103" t="s">
        <v>63</v>
      </c>
      <c r="J54" s="103" t="s">
        <v>27</v>
      </c>
      <c r="K54" s="103" t="s">
        <v>306</v>
      </c>
      <c r="L54" s="103" t="s">
        <v>75</v>
      </c>
      <c r="M54" s="242">
        <v>1056.19</v>
      </c>
      <c r="N54" s="243">
        <v>1.33</v>
      </c>
      <c r="O54" s="103" t="s">
        <v>67</v>
      </c>
      <c r="P54" s="103" t="s">
        <v>29</v>
      </c>
      <c r="Q54" s="103" t="s">
        <v>402</v>
      </c>
      <c r="R54" s="103" t="s">
        <v>393</v>
      </c>
      <c r="S54" s="244">
        <v>45709</v>
      </c>
      <c r="T54" s="244">
        <v>45720</v>
      </c>
      <c r="U54" s="19"/>
      <c r="V54" s="55">
        <f>M54-U54-Z54</f>
        <v>-9.9999999999909051E-3</v>
      </c>
      <c r="W54" s="245" t="s">
        <v>827</v>
      </c>
      <c r="X54" s="15" t="s">
        <v>828</v>
      </c>
      <c r="Y54" s="234"/>
      <c r="Z54" s="19">
        <v>1056.2</v>
      </c>
      <c r="AA54" s="18">
        <v>45713</v>
      </c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254"/>
      <c r="BH54" s="254"/>
      <c r="BI54" s="254"/>
      <c r="BJ54" s="254"/>
      <c r="BK54" s="254"/>
      <c r="BL54" s="254"/>
      <c r="BM54" s="254"/>
      <c r="BN54" s="254"/>
      <c r="BO54" s="254"/>
    </row>
    <row r="55" spans="1:67" s="29" customFormat="1" ht="20.25" customHeight="1">
      <c r="A55" s="241">
        <v>45695</v>
      </c>
      <c r="B55" s="103" t="s">
        <v>803</v>
      </c>
      <c r="C55" s="103" t="s">
        <v>438</v>
      </c>
      <c r="D55" s="103" t="s">
        <v>212</v>
      </c>
      <c r="E55" s="103" t="s">
        <v>25</v>
      </c>
      <c r="F55" s="103">
        <v>4003104578</v>
      </c>
      <c r="G55" s="103" t="s">
        <v>71</v>
      </c>
      <c r="H55" s="103" t="s">
        <v>31</v>
      </c>
      <c r="I55" s="103" t="s">
        <v>63</v>
      </c>
      <c r="J55" s="103" t="s">
        <v>27</v>
      </c>
      <c r="K55" s="103" t="s">
        <v>311</v>
      </c>
      <c r="L55" s="103" t="s">
        <v>75</v>
      </c>
      <c r="M55" s="242">
        <v>1537</v>
      </c>
      <c r="N55" s="243">
        <v>1.33</v>
      </c>
      <c r="O55" s="103" t="s">
        <v>67</v>
      </c>
      <c r="P55" s="103" t="s">
        <v>29</v>
      </c>
      <c r="Q55" s="103" t="s">
        <v>29</v>
      </c>
      <c r="R55" s="103" t="s">
        <v>29</v>
      </c>
      <c r="S55" s="244">
        <v>45709</v>
      </c>
      <c r="T55" s="244">
        <v>45720</v>
      </c>
      <c r="U55" s="19"/>
      <c r="V55" s="55">
        <f>M55-U55-Z55</f>
        <v>-1.2000000000000455</v>
      </c>
      <c r="W55" s="245" t="s">
        <v>804</v>
      </c>
      <c r="X55" s="144" t="s">
        <v>688</v>
      </c>
      <c r="Y55" s="233"/>
      <c r="Z55" s="19">
        <v>1538.2</v>
      </c>
      <c r="AA55" s="18">
        <v>45720</v>
      </c>
      <c r="AB55" s="141"/>
      <c r="AC55" s="141"/>
      <c r="AD55" s="36"/>
      <c r="AE55" s="36"/>
      <c r="AF55" s="36"/>
      <c r="AG55" s="36"/>
      <c r="AH55" s="36"/>
      <c r="AI55" s="36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254"/>
      <c r="BH55" s="254"/>
      <c r="BI55" s="254"/>
      <c r="BJ55" s="254"/>
      <c r="BK55" s="254"/>
      <c r="BL55" s="254"/>
      <c r="BM55" s="254"/>
      <c r="BN55" s="254"/>
      <c r="BO55" s="254"/>
    </row>
    <row r="56" spans="1:67" s="29" customFormat="1" ht="20.25" customHeight="1">
      <c r="A56" s="241">
        <v>45695</v>
      </c>
      <c r="B56" s="103" t="s">
        <v>829</v>
      </c>
      <c r="C56" s="103" t="s">
        <v>211</v>
      </c>
      <c r="D56" s="103" t="s">
        <v>212</v>
      </c>
      <c r="E56" s="103" t="s">
        <v>25</v>
      </c>
      <c r="F56" s="103" t="s">
        <v>830</v>
      </c>
      <c r="G56" s="103" t="s">
        <v>71</v>
      </c>
      <c r="H56" s="103" t="s">
        <v>26</v>
      </c>
      <c r="I56" s="103" t="s">
        <v>63</v>
      </c>
      <c r="J56" s="103" t="s">
        <v>27</v>
      </c>
      <c r="K56" s="103" t="s">
        <v>340</v>
      </c>
      <c r="L56" s="103" t="s">
        <v>75</v>
      </c>
      <c r="M56" s="242">
        <v>1936</v>
      </c>
      <c r="N56" s="243">
        <v>1.33</v>
      </c>
      <c r="O56" s="103" t="s">
        <v>67</v>
      </c>
      <c r="P56" s="103" t="s">
        <v>29</v>
      </c>
      <c r="Q56" s="103" t="s">
        <v>831</v>
      </c>
      <c r="R56" s="103" t="s">
        <v>29</v>
      </c>
      <c r="S56" s="244">
        <v>45810</v>
      </c>
      <c r="T56" s="244">
        <v>45810</v>
      </c>
      <c r="U56" s="19"/>
      <c r="V56" s="55">
        <f>M56-U56-Z56-AB56</f>
        <v>-1.8000000000000682</v>
      </c>
      <c r="W56" s="245" t="s">
        <v>833</v>
      </c>
      <c r="X56" s="15"/>
      <c r="Y56" s="234"/>
      <c r="Z56" s="80">
        <f>10.3+1601.4</f>
        <v>1611.7</v>
      </c>
      <c r="AA56" s="86">
        <v>45805</v>
      </c>
      <c r="AB56" s="104">
        <f>26+300.1</f>
        <v>326.10000000000002</v>
      </c>
      <c r="AC56" s="86">
        <v>45811</v>
      </c>
      <c r="AD56" s="36"/>
      <c r="AE56" s="36"/>
      <c r="AF56" s="36"/>
      <c r="AG56" s="36"/>
      <c r="AH56" s="36"/>
      <c r="AI56" s="36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</row>
    <row r="57" spans="1:67" s="29" customFormat="1" ht="20.25" customHeight="1">
      <c r="A57" s="7">
        <v>45695</v>
      </c>
      <c r="B57" s="19" t="s">
        <v>812</v>
      </c>
      <c r="C57" s="19" t="s">
        <v>400</v>
      </c>
      <c r="D57" s="19" t="s">
        <v>212</v>
      </c>
      <c r="E57" s="19" t="s">
        <v>25</v>
      </c>
      <c r="F57" s="19" t="s">
        <v>813</v>
      </c>
      <c r="G57" s="19" t="s">
        <v>71</v>
      </c>
      <c r="H57" s="19" t="s">
        <v>31</v>
      </c>
      <c r="I57" s="19" t="s">
        <v>63</v>
      </c>
      <c r="J57" s="19" t="s">
        <v>27</v>
      </c>
      <c r="K57" s="19" t="s">
        <v>487</v>
      </c>
      <c r="L57" s="19" t="s">
        <v>75</v>
      </c>
      <c r="M57" s="20">
        <v>200</v>
      </c>
      <c r="N57" s="25">
        <v>1.33</v>
      </c>
      <c r="O57" s="19" t="s">
        <v>67</v>
      </c>
      <c r="P57" s="19" t="s">
        <v>29</v>
      </c>
      <c r="Q57" s="19" t="s">
        <v>397</v>
      </c>
      <c r="R57" s="19" t="s">
        <v>29</v>
      </c>
      <c r="S57" s="8">
        <v>45715</v>
      </c>
      <c r="T57" s="8">
        <v>45715</v>
      </c>
      <c r="U57" s="19"/>
      <c r="V57" s="55">
        <f>M57-U57-Z57</f>
        <v>0</v>
      </c>
      <c r="W57" s="15" t="s">
        <v>814</v>
      </c>
      <c r="X57" s="15" t="s">
        <v>29</v>
      </c>
      <c r="Y57" s="234"/>
      <c r="Z57" s="357">
        <v>200</v>
      </c>
      <c r="AA57" s="367">
        <v>45700</v>
      </c>
      <c r="AB57" s="36"/>
      <c r="AC57" s="36"/>
      <c r="AD57" s="36"/>
      <c r="AE57" s="36"/>
      <c r="AF57" s="36"/>
      <c r="AG57" s="36"/>
      <c r="AH57" s="36"/>
      <c r="AI57" s="36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28"/>
      <c r="BH57" s="28"/>
      <c r="BI57" s="28"/>
      <c r="BJ57" s="28"/>
      <c r="BK57" s="28"/>
      <c r="BL57" s="28"/>
      <c r="BM57" s="28"/>
      <c r="BN57" s="28"/>
      <c r="BO57" s="28"/>
    </row>
    <row r="58" spans="1:67" s="29" customFormat="1" ht="20.25" customHeight="1">
      <c r="A58" s="289">
        <v>45699</v>
      </c>
      <c r="B58" s="278" t="s">
        <v>849</v>
      </c>
      <c r="C58" s="278" t="s">
        <v>267</v>
      </c>
      <c r="D58" s="278" t="s">
        <v>212</v>
      </c>
      <c r="E58" s="278" t="s">
        <v>25</v>
      </c>
      <c r="F58" s="278" t="s">
        <v>850</v>
      </c>
      <c r="G58" s="278" t="s">
        <v>71</v>
      </c>
      <c r="H58" s="278" t="s">
        <v>26</v>
      </c>
      <c r="I58" s="278" t="s">
        <v>63</v>
      </c>
      <c r="J58" s="278" t="s">
        <v>27</v>
      </c>
      <c r="K58" s="278" t="s">
        <v>218</v>
      </c>
      <c r="L58" s="278" t="s">
        <v>75</v>
      </c>
      <c r="M58" s="290"/>
      <c r="N58" s="291">
        <v>1.33</v>
      </c>
      <c r="O58" s="278" t="s">
        <v>67</v>
      </c>
      <c r="P58" s="278" t="s">
        <v>29</v>
      </c>
      <c r="Q58" s="278" t="s">
        <v>29</v>
      </c>
      <c r="R58" s="278" t="s">
        <v>29</v>
      </c>
      <c r="S58" s="292">
        <v>45720</v>
      </c>
      <c r="T58" s="292">
        <v>45720</v>
      </c>
      <c r="U58" s="278"/>
      <c r="V58" s="293">
        <v>0</v>
      </c>
      <c r="W58" s="294" t="s">
        <v>851</v>
      </c>
      <c r="X58" s="1" t="s">
        <v>431</v>
      </c>
      <c r="Y58" s="348"/>
      <c r="Z58" s="295"/>
      <c r="AA58" s="296"/>
      <c r="AB58" s="296"/>
      <c r="AC58" s="296"/>
      <c r="AD58" s="296"/>
      <c r="AE58" s="287"/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7"/>
      <c r="AT58" s="287"/>
      <c r="AU58" s="287"/>
      <c r="AV58" s="287"/>
      <c r="AW58" s="287"/>
      <c r="AX58" s="287"/>
      <c r="AY58" s="287"/>
      <c r="AZ58" s="287"/>
      <c r="BA58" s="287"/>
      <c r="BB58" s="287"/>
      <c r="BC58" s="287"/>
      <c r="BD58" s="287"/>
      <c r="BE58" s="287"/>
      <c r="BF58" s="287"/>
      <c r="BG58" s="286"/>
      <c r="BH58" s="286"/>
      <c r="BI58" s="286"/>
      <c r="BJ58" s="286"/>
      <c r="BK58" s="286"/>
      <c r="BL58" s="286"/>
      <c r="BM58" s="286"/>
      <c r="BN58" s="286"/>
      <c r="BO58" s="286"/>
    </row>
    <row r="59" spans="1:67" s="87" customFormat="1" ht="20.25" customHeight="1">
      <c r="A59" s="7">
        <v>45699</v>
      </c>
      <c r="B59" s="19" t="s">
        <v>841</v>
      </c>
      <c r="C59" s="19" t="s">
        <v>243</v>
      </c>
      <c r="D59" s="19" t="s">
        <v>212</v>
      </c>
      <c r="E59" s="19" t="s">
        <v>25</v>
      </c>
      <c r="F59" s="10" t="s">
        <v>842</v>
      </c>
      <c r="G59" s="19" t="s">
        <v>71</v>
      </c>
      <c r="H59" s="19" t="s">
        <v>26</v>
      </c>
      <c r="I59" s="19" t="s">
        <v>63</v>
      </c>
      <c r="J59" s="19" t="s">
        <v>27</v>
      </c>
      <c r="K59" s="19" t="s">
        <v>372</v>
      </c>
      <c r="L59" s="19" t="s">
        <v>75</v>
      </c>
      <c r="M59" s="20">
        <v>2704.5</v>
      </c>
      <c r="N59" s="25">
        <v>1.33</v>
      </c>
      <c r="O59" s="19" t="s">
        <v>67</v>
      </c>
      <c r="P59" s="19" t="s">
        <v>29</v>
      </c>
      <c r="Q59" s="19" t="s">
        <v>460</v>
      </c>
      <c r="R59" s="19" t="s">
        <v>29</v>
      </c>
      <c r="S59" s="8">
        <v>45720</v>
      </c>
      <c r="T59" s="8">
        <v>45720</v>
      </c>
      <c r="U59" s="19"/>
      <c r="V59" s="55">
        <f>M59-U59-Z59</f>
        <v>-2.4000000000000909</v>
      </c>
      <c r="W59" s="15" t="s">
        <v>843</v>
      </c>
      <c r="X59" s="144" t="s">
        <v>840</v>
      </c>
      <c r="Y59" s="233"/>
      <c r="Z59" s="104">
        <v>2706.9</v>
      </c>
      <c r="AA59" s="86">
        <v>45720</v>
      </c>
      <c r="AB59" s="141"/>
      <c r="AC59" s="141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255"/>
      <c r="BH59" s="255"/>
      <c r="BI59" s="255"/>
      <c r="BJ59" s="255"/>
      <c r="BK59" s="255"/>
      <c r="BL59" s="255"/>
      <c r="BM59" s="255"/>
      <c r="BN59" s="255"/>
      <c r="BO59" s="255"/>
    </row>
    <row r="60" spans="1:67" s="29" customFormat="1" ht="20.25" customHeight="1">
      <c r="A60" s="7">
        <v>45699</v>
      </c>
      <c r="B60" s="19" t="s">
        <v>837</v>
      </c>
      <c r="C60" s="19" t="s">
        <v>243</v>
      </c>
      <c r="D60" s="19" t="s">
        <v>212</v>
      </c>
      <c r="E60" s="19" t="s">
        <v>25</v>
      </c>
      <c r="F60" s="10" t="s">
        <v>838</v>
      </c>
      <c r="G60" s="19" t="s">
        <v>71</v>
      </c>
      <c r="H60" s="19" t="s">
        <v>26</v>
      </c>
      <c r="I60" s="19" t="s">
        <v>63</v>
      </c>
      <c r="J60" s="19" t="s">
        <v>27</v>
      </c>
      <c r="K60" s="19" t="s">
        <v>345</v>
      </c>
      <c r="L60" s="19" t="s">
        <v>75</v>
      </c>
      <c r="M60" s="20">
        <v>11738.7</v>
      </c>
      <c r="N60" s="25">
        <v>1.33</v>
      </c>
      <c r="O60" s="19" t="s">
        <v>67</v>
      </c>
      <c r="P60" s="19" t="s">
        <v>29</v>
      </c>
      <c r="Q60" s="19" t="s">
        <v>460</v>
      </c>
      <c r="R60" s="19" t="s">
        <v>29</v>
      </c>
      <c r="S60" s="8">
        <v>45720</v>
      </c>
      <c r="T60" s="8">
        <v>45720</v>
      </c>
      <c r="U60" s="19"/>
      <c r="V60" s="55">
        <f>M60-U60-Z60-AB60</f>
        <v>-0.1000000000003638</v>
      </c>
      <c r="W60" s="15" t="s">
        <v>839</v>
      </c>
      <c r="X60" s="144" t="s">
        <v>840</v>
      </c>
      <c r="Y60" s="233"/>
      <c r="Z60" s="19">
        <v>713.6</v>
      </c>
      <c r="AA60" s="86">
        <v>45720</v>
      </c>
      <c r="AB60" s="104">
        <f>5002.2+5283.8+739.2</f>
        <v>11025.2</v>
      </c>
      <c r="AC60" s="86">
        <v>45727</v>
      </c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28"/>
      <c r="BH60" s="28"/>
      <c r="BI60" s="28"/>
      <c r="BJ60" s="28"/>
      <c r="BK60" s="28"/>
      <c r="BL60" s="28"/>
      <c r="BM60" s="28"/>
      <c r="BN60" s="28"/>
      <c r="BO60" s="28"/>
    </row>
    <row r="61" spans="1:67" s="37" customFormat="1" ht="20.25" customHeight="1">
      <c r="A61" s="7">
        <v>45699</v>
      </c>
      <c r="B61" s="19" t="s">
        <v>844</v>
      </c>
      <c r="C61" s="19" t="s">
        <v>243</v>
      </c>
      <c r="D61" s="19" t="s">
        <v>212</v>
      </c>
      <c r="E61" s="19" t="s">
        <v>25</v>
      </c>
      <c r="F61" s="10" t="s">
        <v>845</v>
      </c>
      <c r="G61" s="19" t="s">
        <v>71</v>
      </c>
      <c r="H61" s="19" t="s">
        <v>26</v>
      </c>
      <c r="I61" s="19" t="s">
        <v>63</v>
      </c>
      <c r="J61" s="19" t="s">
        <v>27</v>
      </c>
      <c r="K61" s="19" t="s">
        <v>340</v>
      </c>
      <c r="L61" s="19" t="s">
        <v>75</v>
      </c>
      <c r="M61" s="20">
        <v>2973.4</v>
      </c>
      <c r="N61" s="25">
        <v>1.33</v>
      </c>
      <c r="O61" s="19" t="s">
        <v>67</v>
      </c>
      <c r="P61" s="19" t="s">
        <v>29</v>
      </c>
      <c r="Q61" s="19" t="s">
        <v>846</v>
      </c>
      <c r="R61" s="19" t="s">
        <v>29</v>
      </c>
      <c r="S61" s="8">
        <v>45720</v>
      </c>
      <c r="T61" s="8">
        <v>45720</v>
      </c>
      <c r="U61" s="19"/>
      <c r="V61" s="55">
        <f>M61-U61-Z61</f>
        <v>-0.90000000000009095</v>
      </c>
      <c r="W61" s="15" t="s">
        <v>847</v>
      </c>
      <c r="X61" s="144" t="s">
        <v>848</v>
      </c>
      <c r="Y61" s="233"/>
      <c r="Z61" s="104">
        <f>1425.9+1548.4</f>
        <v>2974.3</v>
      </c>
      <c r="AA61" s="86">
        <v>45727</v>
      </c>
      <c r="AB61" s="141"/>
      <c r="AC61" s="141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211"/>
      <c r="BH61" s="211"/>
      <c r="BI61" s="211"/>
      <c r="BJ61" s="211"/>
      <c r="BK61" s="211"/>
      <c r="BL61" s="211"/>
      <c r="BM61" s="211"/>
      <c r="BN61" s="211"/>
      <c r="BO61" s="211"/>
    </row>
    <row r="62" spans="1:67" s="29" customFormat="1" ht="20.25" customHeight="1">
      <c r="A62" s="7">
        <v>45700</v>
      </c>
      <c r="B62" s="19" t="s">
        <v>852</v>
      </c>
      <c r="C62" s="19" t="s">
        <v>211</v>
      </c>
      <c r="D62" s="19" t="s">
        <v>212</v>
      </c>
      <c r="E62" s="19" t="s">
        <v>25</v>
      </c>
      <c r="F62" s="19" t="s">
        <v>853</v>
      </c>
      <c r="G62" s="19" t="s">
        <v>71</v>
      </c>
      <c r="H62" s="19" t="s">
        <v>26</v>
      </c>
      <c r="I62" s="19" t="s">
        <v>63</v>
      </c>
      <c r="J62" s="19" t="s">
        <v>27</v>
      </c>
      <c r="K62" s="19" t="s">
        <v>218</v>
      </c>
      <c r="L62" s="19" t="s">
        <v>75</v>
      </c>
      <c r="M62" s="20">
        <v>1322</v>
      </c>
      <c r="N62" s="25">
        <v>1.33</v>
      </c>
      <c r="O62" s="19" t="s">
        <v>67</v>
      </c>
      <c r="P62" s="19" t="s">
        <v>29</v>
      </c>
      <c r="Q62" s="19" t="s">
        <v>224</v>
      </c>
      <c r="R62" s="19" t="s">
        <v>29</v>
      </c>
      <c r="S62" s="8">
        <v>45721</v>
      </c>
      <c r="T62" s="8">
        <v>45721</v>
      </c>
      <c r="U62" s="19"/>
      <c r="V62" s="55">
        <f>M62-U62-Z62-AB62</f>
        <v>-0.69999999999993179</v>
      </c>
      <c r="W62" s="15" t="s">
        <v>856</v>
      </c>
      <c r="X62" s="1" t="s">
        <v>29</v>
      </c>
      <c r="Y62" s="233"/>
      <c r="Z62" s="19">
        <v>1064.3</v>
      </c>
      <c r="AA62" s="86">
        <v>45726</v>
      </c>
      <c r="AB62" s="104">
        <v>258.39999999999998</v>
      </c>
      <c r="AC62" s="86">
        <v>45737</v>
      </c>
      <c r="AD62" s="36"/>
      <c r="AE62" s="36"/>
      <c r="AF62" s="36"/>
      <c r="AG62" s="36"/>
      <c r="AH62" s="36"/>
      <c r="AI62" s="36"/>
      <c r="AJ62" s="139"/>
      <c r="AK62" s="139"/>
      <c r="AL62" s="139"/>
      <c r="AM62" s="139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</row>
    <row r="63" spans="1:67" s="29" customFormat="1" ht="20.25" customHeight="1">
      <c r="A63" s="7">
        <v>45700</v>
      </c>
      <c r="B63" s="19" t="s">
        <v>852</v>
      </c>
      <c r="C63" s="19" t="s">
        <v>211</v>
      </c>
      <c r="D63" s="19" t="s">
        <v>212</v>
      </c>
      <c r="E63" s="19" t="s">
        <v>25</v>
      </c>
      <c r="F63" s="19" t="s">
        <v>853</v>
      </c>
      <c r="G63" s="19" t="s">
        <v>71</v>
      </c>
      <c r="H63" s="19" t="s">
        <v>26</v>
      </c>
      <c r="I63" s="19" t="s">
        <v>63</v>
      </c>
      <c r="J63" s="19" t="s">
        <v>27</v>
      </c>
      <c r="K63" s="19" t="s">
        <v>320</v>
      </c>
      <c r="L63" s="19" t="s">
        <v>75</v>
      </c>
      <c r="M63" s="20">
        <v>2612</v>
      </c>
      <c r="N63" s="25">
        <v>1.33</v>
      </c>
      <c r="O63" s="19" t="s">
        <v>67</v>
      </c>
      <c r="P63" s="19" t="s">
        <v>29</v>
      </c>
      <c r="Q63" s="19" t="s">
        <v>224</v>
      </c>
      <c r="R63" s="19" t="s">
        <v>29</v>
      </c>
      <c r="S63" s="8">
        <v>45721</v>
      </c>
      <c r="T63" s="8">
        <v>45723</v>
      </c>
      <c r="U63" s="19"/>
      <c r="V63" s="55">
        <f>M63-U63-Z63</f>
        <v>-1.2000000000002728</v>
      </c>
      <c r="W63" s="15" t="s">
        <v>854</v>
      </c>
      <c r="X63" s="144" t="s">
        <v>855</v>
      </c>
      <c r="Y63" s="233"/>
      <c r="Z63" s="19">
        <f>2445.9+167.3</f>
        <v>2613.2000000000003</v>
      </c>
      <c r="AA63" s="86">
        <v>45720</v>
      </c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28"/>
      <c r="BH63" s="28"/>
      <c r="BI63" s="28"/>
      <c r="BJ63" s="28"/>
      <c r="BK63" s="28"/>
      <c r="BL63" s="28"/>
      <c r="BM63" s="28"/>
      <c r="BN63" s="28"/>
      <c r="BO63" s="28"/>
    </row>
    <row r="64" spans="1:67" s="29" customFormat="1" ht="20.25" customHeight="1">
      <c r="A64" s="7">
        <v>45701</v>
      </c>
      <c r="B64" s="19" t="s">
        <v>857</v>
      </c>
      <c r="C64" s="19" t="s">
        <v>211</v>
      </c>
      <c r="D64" s="19" t="s">
        <v>212</v>
      </c>
      <c r="E64" s="19" t="s">
        <v>25</v>
      </c>
      <c r="F64" s="19" t="s">
        <v>858</v>
      </c>
      <c r="G64" s="19" t="s">
        <v>71</v>
      </c>
      <c r="H64" s="19" t="s">
        <v>26</v>
      </c>
      <c r="I64" s="19" t="s">
        <v>63</v>
      </c>
      <c r="J64" s="19" t="s">
        <v>27</v>
      </c>
      <c r="K64" s="19" t="s">
        <v>218</v>
      </c>
      <c r="L64" s="19" t="s">
        <v>75</v>
      </c>
      <c r="M64" s="20">
        <v>12021</v>
      </c>
      <c r="N64" s="25">
        <v>1.33</v>
      </c>
      <c r="O64" s="19" t="s">
        <v>67</v>
      </c>
      <c r="P64" s="19" t="s">
        <v>29</v>
      </c>
      <c r="Q64" s="19" t="s">
        <v>324</v>
      </c>
      <c r="R64" s="19" t="s">
        <v>29</v>
      </c>
      <c r="S64" s="8">
        <v>45722</v>
      </c>
      <c r="T64" s="8">
        <v>45722</v>
      </c>
      <c r="U64" s="19"/>
      <c r="V64" s="55">
        <f>M64-U64-Z64-AB64-AD64</f>
        <v>-0.2999999999992724</v>
      </c>
      <c r="W64" s="15" t="s">
        <v>859</v>
      </c>
      <c r="X64" s="1"/>
      <c r="Y64" s="104"/>
      <c r="Z64" s="19">
        <f>3088+250.7+713.6</f>
        <v>4052.2999999999997</v>
      </c>
      <c r="AA64" s="18">
        <v>45726</v>
      </c>
      <c r="AB64" s="104">
        <f>707.5+2635.8</f>
        <v>3343.3</v>
      </c>
      <c r="AC64" s="86">
        <v>45736</v>
      </c>
      <c r="AD64" s="104">
        <f>2790.9+1834.8</f>
        <v>4625.7</v>
      </c>
      <c r="AE64" s="86">
        <v>45737</v>
      </c>
      <c r="AF64" s="36"/>
      <c r="AG64" s="36"/>
      <c r="AH64" s="36"/>
      <c r="AI64" s="36"/>
      <c r="AJ64" s="139"/>
      <c r="AK64" s="139"/>
      <c r="AL64" s="139"/>
      <c r="AM64" s="139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</row>
    <row r="65" spans="1:67" s="29" customFormat="1" ht="20.25" customHeight="1">
      <c r="A65" s="7">
        <v>45701</v>
      </c>
      <c r="B65" s="19" t="s">
        <v>862</v>
      </c>
      <c r="C65" s="19" t="s">
        <v>211</v>
      </c>
      <c r="D65" s="19" t="s">
        <v>212</v>
      </c>
      <c r="E65" s="19" t="s">
        <v>25</v>
      </c>
      <c r="F65" s="19" t="s">
        <v>863</v>
      </c>
      <c r="G65" s="19" t="s">
        <v>71</v>
      </c>
      <c r="H65" s="19" t="s">
        <v>26</v>
      </c>
      <c r="I65" s="19" t="s">
        <v>29</v>
      </c>
      <c r="J65" s="19" t="s">
        <v>27</v>
      </c>
      <c r="K65" s="19" t="s">
        <v>218</v>
      </c>
      <c r="L65" s="19" t="s">
        <v>75</v>
      </c>
      <c r="M65" s="20">
        <v>3044</v>
      </c>
      <c r="N65" s="25">
        <v>1.33</v>
      </c>
      <c r="O65" s="19" t="s">
        <v>67</v>
      </c>
      <c r="P65" s="19" t="s">
        <v>29</v>
      </c>
      <c r="Q65" s="19" t="s">
        <v>224</v>
      </c>
      <c r="R65" s="19" t="s">
        <v>29</v>
      </c>
      <c r="S65" s="8">
        <v>45723</v>
      </c>
      <c r="T65" s="8">
        <v>45723</v>
      </c>
      <c r="U65" s="19"/>
      <c r="V65" s="55">
        <f>M65-U65-Z65</f>
        <v>-2.3999999999996362</v>
      </c>
      <c r="W65" s="15" t="s">
        <v>866</v>
      </c>
      <c r="X65" s="1" t="s">
        <v>865</v>
      </c>
      <c r="Y65" s="233"/>
      <c r="Z65" s="19">
        <f>713.4+1887.3+445.7</f>
        <v>3046.3999999999996</v>
      </c>
      <c r="AA65" s="86">
        <v>45737</v>
      </c>
      <c r="AB65" s="36"/>
      <c r="AC65" s="36"/>
      <c r="AD65" s="36"/>
      <c r="AE65" s="36"/>
      <c r="AF65" s="36"/>
      <c r="AG65" s="36"/>
      <c r="AH65" s="36"/>
      <c r="AI65" s="36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</row>
    <row r="66" spans="1:67" s="37" customFormat="1" ht="20.25" customHeight="1">
      <c r="A66" s="7">
        <v>45701</v>
      </c>
      <c r="B66" s="19" t="s">
        <v>870</v>
      </c>
      <c r="C66" s="19" t="s">
        <v>211</v>
      </c>
      <c r="D66" s="19" t="s">
        <v>212</v>
      </c>
      <c r="E66" s="19" t="s">
        <v>25</v>
      </c>
      <c r="F66" s="19" t="s">
        <v>871</v>
      </c>
      <c r="G66" s="19" t="s">
        <v>71</v>
      </c>
      <c r="H66" s="19" t="s">
        <v>26</v>
      </c>
      <c r="I66" s="19" t="s">
        <v>29</v>
      </c>
      <c r="J66" s="19" t="s">
        <v>27</v>
      </c>
      <c r="K66" s="19" t="s">
        <v>218</v>
      </c>
      <c r="L66" s="19" t="s">
        <v>75</v>
      </c>
      <c r="M66" s="20">
        <v>298</v>
      </c>
      <c r="N66" s="25">
        <v>1.33</v>
      </c>
      <c r="O66" s="19" t="s">
        <v>67</v>
      </c>
      <c r="P66" s="19" t="s">
        <v>29</v>
      </c>
      <c r="Q66" s="19" t="s">
        <v>219</v>
      </c>
      <c r="R66" s="19" t="s">
        <v>29</v>
      </c>
      <c r="S66" s="8">
        <v>45761</v>
      </c>
      <c r="T66" s="8">
        <v>45761</v>
      </c>
      <c r="U66" s="19"/>
      <c r="V66" s="55">
        <f>M66-U66-Z66</f>
        <v>-1.1000000000000227</v>
      </c>
      <c r="W66" s="15" t="s">
        <v>873</v>
      </c>
      <c r="X66" s="1" t="s">
        <v>29</v>
      </c>
      <c r="Y66" s="234"/>
      <c r="Z66" s="104">
        <v>299.10000000000002</v>
      </c>
      <c r="AA66" s="86">
        <v>45755</v>
      </c>
      <c r="AB66" s="36"/>
      <c r="AC66" s="36"/>
      <c r="AD66" s="36"/>
      <c r="AE66" s="36"/>
      <c r="AF66" s="36"/>
      <c r="AG66" s="36"/>
      <c r="AH66" s="36"/>
      <c r="AI66" s="36"/>
      <c r="AJ66" s="139"/>
      <c r="AK66" s="139"/>
      <c r="AL66" s="139"/>
      <c r="AM66" s="139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29"/>
      <c r="BH66" s="29"/>
      <c r="BI66" s="29"/>
      <c r="BJ66" s="29"/>
      <c r="BK66" s="29"/>
      <c r="BL66" s="29"/>
      <c r="BM66" s="29"/>
      <c r="BN66" s="29"/>
      <c r="BO66" s="29"/>
    </row>
    <row r="67" spans="1:67" s="37" customFormat="1" ht="20.25" customHeight="1">
      <c r="A67" s="7">
        <v>45701</v>
      </c>
      <c r="B67" s="19" t="s">
        <v>216</v>
      </c>
      <c r="C67" s="19" t="s">
        <v>211</v>
      </c>
      <c r="D67" s="19" t="s">
        <v>212</v>
      </c>
      <c r="E67" s="19" t="s">
        <v>25</v>
      </c>
      <c r="F67" s="19" t="s">
        <v>217</v>
      </c>
      <c r="G67" s="19" t="s">
        <v>71</v>
      </c>
      <c r="H67" s="19" t="s">
        <v>26</v>
      </c>
      <c r="I67" s="19" t="s">
        <v>29</v>
      </c>
      <c r="J67" s="19" t="s">
        <v>27</v>
      </c>
      <c r="K67" s="19" t="s">
        <v>218</v>
      </c>
      <c r="L67" s="19" t="s">
        <v>75</v>
      </c>
      <c r="M67" s="20">
        <v>287</v>
      </c>
      <c r="N67" s="25">
        <v>1.33</v>
      </c>
      <c r="O67" s="19" t="s">
        <v>67</v>
      </c>
      <c r="P67" s="19" t="s">
        <v>29</v>
      </c>
      <c r="Q67" s="19" t="s">
        <v>219</v>
      </c>
      <c r="R67" s="19" t="s">
        <v>29</v>
      </c>
      <c r="S67" s="8">
        <v>45779</v>
      </c>
      <c r="T67" s="8">
        <v>45779</v>
      </c>
      <c r="U67" s="19"/>
      <c r="V67" s="55">
        <f>M67-U67-Z67</f>
        <v>-0.80000000000001137</v>
      </c>
      <c r="W67" s="15" t="s">
        <v>220</v>
      </c>
      <c r="X67" s="1" t="s">
        <v>29</v>
      </c>
      <c r="Y67" s="234"/>
      <c r="Z67" s="104">
        <v>287.8</v>
      </c>
      <c r="AA67" s="86">
        <v>45790</v>
      </c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29"/>
      <c r="BH67" s="29"/>
      <c r="BI67" s="29"/>
      <c r="BJ67" s="29"/>
      <c r="BK67" s="29"/>
      <c r="BL67" s="29"/>
      <c r="BM67" s="29"/>
      <c r="BN67" s="29"/>
      <c r="BO67" s="29"/>
    </row>
    <row r="68" spans="1:67" s="37" customFormat="1" ht="20.25" customHeight="1">
      <c r="A68" s="7">
        <v>45701</v>
      </c>
      <c r="B68" s="19" t="s">
        <v>870</v>
      </c>
      <c r="C68" s="19" t="s">
        <v>211</v>
      </c>
      <c r="D68" s="19" t="s">
        <v>212</v>
      </c>
      <c r="E68" s="19" t="s">
        <v>25</v>
      </c>
      <c r="F68" s="19" t="s">
        <v>871</v>
      </c>
      <c r="G68" s="19" t="s">
        <v>71</v>
      </c>
      <c r="H68" s="19" t="s">
        <v>26</v>
      </c>
      <c r="I68" s="19" t="s">
        <v>29</v>
      </c>
      <c r="J68" s="19" t="s">
        <v>27</v>
      </c>
      <c r="K68" s="19" t="s">
        <v>782</v>
      </c>
      <c r="L68" s="19" t="s">
        <v>75</v>
      </c>
      <c r="M68" s="20">
        <v>5780</v>
      </c>
      <c r="N68" s="25">
        <v>1.33</v>
      </c>
      <c r="O68" s="19" t="s">
        <v>67</v>
      </c>
      <c r="P68" s="19" t="s">
        <v>29</v>
      </c>
      <c r="Q68" s="19" t="s">
        <v>224</v>
      </c>
      <c r="R68" s="19" t="s">
        <v>29</v>
      </c>
      <c r="S68" s="8">
        <v>45761</v>
      </c>
      <c r="T68" s="8">
        <v>45761</v>
      </c>
      <c r="U68" s="19"/>
      <c r="V68" s="55">
        <f>M68-U68-Z68-AB68-AD68</f>
        <v>-2.6999999999995907</v>
      </c>
      <c r="W68" s="15" t="s">
        <v>872</v>
      </c>
      <c r="X68" s="15" t="s">
        <v>29</v>
      </c>
      <c r="Y68" s="234"/>
      <c r="Z68" s="104">
        <v>680.9</v>
      </c>
      <c r="AA68" s="86">
        <v>45755</v>
      </c>
      <c r="AB68" s="36">
        <v>4038.1</v>
      </c>
      <c r="AC68" s="36">
        <v>45758</v>
      </c>
      <c r="AD68" s="36">
        <v>1063.7</v>
      </c>
      <c r="AE68" s="36">
        <v>45762</v>
      </c>
      <c r="AF68" s="36"/>
      <c r="AG68" s="36"/>
      <c r="AH68" s="36"/>
      <c r="AI68" s="36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28"/>
      <c r="BH68" s="28"/>
      <c r="BI68" s="28"/>
      <c r="BJ68" s="28"/>
      <c r="BK68" s="28"/>
      <c r="BL68" s="28"/>
      <c r="BM68" s="28"/>
      <c r="BN68" s="28"/>
      <c r="BO68" s="28"/>
    </row>
    <row r="69" spans="1:67" s="29" customFormat="1" ht="20.25" customHeight="1">
      <c r="A69" s="7">
        <v>45701</v>
      </c>
      <c r="B69" s="19" t="s">
        <v>862</v>
      </c>
      <c r="C69" s="19" t="s">
        <v>211</v>
      </c>
      <c r="D69" s="19" t="s">
        <v>212</v>
      </c>
      <c r="E69" s="19" t="s">
        <v>25</v>
      </c>
      <c r="F69" s="19" t="s">
        <v>863</v>
      </c>
      <c r="G69" s="19" t="s">
        <v>71</v>
      </c>
      <c r="H69" s="19" t="s">
        <v>26</v>
      </c>
      <c r="I69" s="19" t="s">
        <v>29</v>
      </c>
      <c r="J69" s="19" t="s">
        <v>27</v>
      </c>
      <c r="K69" s="19" t="s">
        <v>320</v>
      </c>
      <c r="L69" s="19" t="s">
        <v>75</v>
      </c>
      <c r="M69" s="20">
        <v>2926</v>
      </c>
      <c r="N69" s="25">
        <v>1.33</v>
      </c>
      <c r="O69" s="19" t="s">
        <v>67</v>
      </c>
      <c r="P69" s="19" t="s">
        <v>29</v>
      </c>
      <c r="Q69" s="19" t="s">
        <v>224</v>
      </c>
      <c r="R69" s="19" t="s">
        <v>29</v>
      </c>
      <c r="S69" s="8">
        <v>45723</v>
      </c>
      <c r="T69" s="8">
        <v>45723</v>
      </c>
      <c r="U69" s="19"/>
      <c r="V69" s="55">
        <f>M69-U69-Z69</f>
        <v>-1.0999999999999091</v>
      </c>
      <c r="W69" s="15" t="s">
        <v>864</v>
      </c>
      <c r="X69" s="144" t="s">
        <v>865</v>
      </c>
      <c r="Y69" s="144"/>
      <c r="Z69" s="19">
        <f>927.5+1999.6</f>
        <v>2927.1</v>
      </c>
      <c r="AA69" s="138">
        <v>45728</v>
      </c>
      <c r="AB69" s="36"/>
      <c r="AC69" s="36"/>
      <c r="AD69" s="36"/>
      <c r="AE69" s="36"/>
      <c r="AF69" s="36"/>
      <c r="AG69" s="36"/>
      <c r="AH69" s="36"/>
      <c r="AI69" s="36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28"/>
      <c r="BH69" s="28"/>
      <c r="BI69" s="28"/>
      <c r="BJ69" s="28"/>
      <c r="BK69" s="28"/>
      <c r="BL69" s="28"/>
      <c r="BM69" s="28"/>
      <c r="BN69" s="28"/>
      <c r="BO69" s="28"/>
    </row>
    <row r="70" spans="1:67" s="37" customFormat="1" ht="20.25" customHeight="1">
      <c r="A70" s="7">
        <v>45701</v>
      </c>
      <c r="B70" s="19" t="s">
        <v>867</v>
      </c>
      <c r="C70" s="19" t="s">
        <v>211</v>
      </c>
      <c r="D70" s="19" t="s">
        <v>212</v>
      </c>
      <c r="E70" s="19" t="s">
        <v>25</v>
      </c>
      <c r="F70" s="19" t="s">
        <v>868</v>
      </c>
      <c r="G70" s="19" t="s">
        <v>71</v>
      </c>
      <c r="H70" s="19" t="s">
        <v>26</v>
      </c>
      <c r="I70" s="19" t="s">
        <v>29</v>
      </c>
      <c r="J70" s="19" t="s">
        <v>27</v>
      </c>
      <c r="K70" s="19" t="s">
        <v>320</v>
      </c>
      <c r="L70" s="19" t="s">
        <v>75</v>
      </c>
      <c r="M70" s="20">
        <v>199</v>
      </c>
      <c r="N70" s="25">
        <v>1.33</v>
      </c>
      <c r="O70" s="19" t="s">
        <v>67</v>
      </c>
      <c r="P70" s="19" t="s">
        <v>29</v>
      </c>
      <c r="Q70" s="19" t="s">
        <v>224</v>
      </c>
      <c r="R70" s="19" t="s">
        <v>29</v>
      </c>
      <c r="S70" s="8">
        <v>45723</v>
      </c>
      <c r="T70" s="8">
        <v>45723</v>
      </c>
      <c r="U70" s="19"/>
      <c r="V70" s="55">
        <f>M70-U70-Z70</f>
        <v>-0.69999999999998863</v>
      </c>
      <c r="W70" s="15" t="s">
        <v>869</v>
      </c>
      <c r="X70" s="144" t="s">
        <v>29</v>
      </c>
      <c r="Y70" s="233"/>
      <c r="Z70" s="104">
        <v>199.7</v>
      </c>
      <c r="AA70" s="123">
        <v>45728</v>
      </c>
      <c r="AB70" s="36"/>
      <c r="AC70" s="36"/>
      <c r="AD70" s="36"/>
      <c r="AE70" s="36"/>
      <c r="AF70" s="36"/>
      <c r="AG70" s="36"/>
      <c r="AH70" s="36"/>
      <c r="AI70" s="36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28"/>
      <c r="BH70" s="28"/>
      <c r="BI70" s="28"/>
      <c r="BJ70" s="28"/>
      <c r="BK70" s="28"/>
      <c r="BL70" s="28"/>
      <c r="BM70" s="28"/>
      <c r="BN70" s="28"/>
      <c r="BO70" s="28"/>
    </row>
    <row r="71" spans="1:67" s="37" customFormat="1" ht="20.25" customHeight="1">
      <c r="A71" s="7">
        <v>45701</v>
      </c>
      <c r="B71" s="19" t="s">
        <v>318</v>
      </c>
      <c r="C71" s="19" t="s">
        <v>211</v>
      </c>
      <c r="D71" s="19" t="s">
        <v>212</v>
      </c>
      <c r="E71" s="19" t="s">
        <v>25</v>
      </c>
      <c r="F71" s="19" t="s">
        <v>319</v>
      </c>
      <c r="G71" s="19" t="s">
        <v>71</v>
      </c>
      <c r="H71" s="19" t="s">
        <v>26</v>
      </c>
      <c r="I71" s="19" t="s">
        <v>29</v>
      </c>
      <c r="J71" s="19" t="s">
        <v>27</v>
      </c>
      <c r="K71" s="19" t="s">
        <v>320</v>
      </c>
      <c r="L71" s="19" t="s">
        <v>75</v>
      </c>
      <c r="M71" s="20">
        <v>952</v>
      </c>
      <c r="N71" s="25">
        <v>1.33</v>
      </c>
      <c r="O71" s="19" t="s">
        <v>67</v>
      </c>
      <c r="P71" s="19" t="s">
        <v>29</v>
      </c>
      <c r="Q71" s="19" t="s">
        <v>224</v>
      </c>
      <c r="R71" s="19" t="s">
        <v>29</v>
      </c>
      <c r="S71" s="8">
        <v>45779</v>
      </c>
      <c r="T71" s="8">
        <v>45779</v>
      </c>
      <c r="U71" s="19"/>
      <c r="V71" s="55">
        <v>-1.8999999999999773</v>
      </c>
      <c r="W71" s="15" t="s">
        <v>321</v>
      </c>
      <c r="X71" s="15" t="s">
        <v>29</v>
      </c>
      <c r="Y71" s="234"/>
      <c r="Z71" s="104">
        <v>953.9</v>
      </c>
      <c r="AA71" s="86">
        <v>45784</v>
      </c>
      <c r="AB71" s="36"/>
      <c r="AC71" s="36"/>
      <c r="AD71" s="36"/>
      <c r="AE71" s="36"/>
      <c r="AF71" s="36"/>
      <c r="AG71" s="36"/>
      <c r="AH71" s="36"/>
      <c r="AI71" s="36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28"/>
      <c r="BH71" s="28"/>
      <c r="BI71" s="28"/>
      <c r="BJ71" s="28"/>
      <c r="BK71" s="28"/>
      <c r="BL71" s="28"/>
      <c r="BM71" s="28"/>
      <c r="BN71" s="28"/>
      <c r="BO71" s="28"/>
    </row>
    <row r="72" spans="1:67" s="29" customFormat="1" ht="20.25" customHeight="1">
      <c r="A72" s="7">
        <v>45701</v>
      </c>
      <c r="B72" s="19" t="s">
        <v>857</v>
      </c>
      <c r="C72" s="19" t="s">
        <v>211</v>
      </c>
      <c r="D72" s="19" t="s">
        <v>212</v>
      </c>
      <c r="E72" s="19" t="s">
        <v>25</v>
      </c>
      <c r="F72" s="19" t="s">
        <v>858</v>
      </c>
      <c r="G72" s="19" t="s">
        <v>71</v>
      </c>
      <c r="H72" s="19" t="s">
        <v>26</v>
      </c>
      <c r="I72" s="19" t="s">
        <v>63</v>
      </c>
      <c r="J72" s="19" t="s">
        <v>27</v>
      </c>
      <c r="K72" s="19" t="s">
        <v>332</v>
      </c>
      <c r="L72" s="19" t="s">
        <v>75</v>
      </c>
      <c r="M72" s="20">
        <v>19110</v>
      </c>
      <c r="N72" s="25">
        <v>1.33</v>
      </c>
      <c r="O72" s="19" t="s">
        <v>67</v>
      </c>
      <c r="P72" s="19" t="s">
        <v>29</v>
      </c>
      <c r="Q72" s="19" t="s">
        <v>333</v>
      </c>
      <c r="R72" s="19" t="s">
        <v>29</v>
      </c>
      <c r="S72" s="8">
        <v>45722</v>
      </c>
      <c r="T72" s="8">
        <v>45722</v>
      </c>
      <c r="U72" s="19"/>
      <c r="V72" s="55">
        <f>M72-U72-Z72-AB72-AD72-AF72</f>
        <v>-0.70000000000186446</v>
      </c>
      <c r="W72" s="15" t="s">
        <v>860</v>
      </c>
      <c r="X72" s="19" t="s">
        <v>861</v>
      </c>
      <c r="Y72" s="19"/>
      <c r="Z72" s="19">
        <f>956+1135.4+2419.8</f>
        <v>4511.2000000000007</v>
      </c>
      <c r="AA72" s="18">
        <v>45728</v>
      </c>
      <c r="AB72" s="104">
        <f>1062.2+653.5</f>
        <v>1715.7</v>
      </c>
      <c r="AC72" s="86">
        <v>45730</v>
      </c>
      <c r="AD72" s="104">
        <f>8828.6+3076.5</f>
        <v>11905.1</v>
      </c>
      <c r="AE72" s="146">
        <v>45736</v>
      </c>
      <c r="AF72" s="104">
        <v>978.7</v>
      </c>
      <c r="AG72" s="86">
        <v>45740</v>
      </c>
      <c r="AH72" s="36"/>
      <c r="AI72" s="36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28"/>
      <c r="BH72" s="28"/>
      <c r="BI72" s="28"/>
      <c r="BJ72" s="28"/>
      <c r="BK72" s="28"/>
      <c r="BL72" s="28"/>
      <c r="BM72" s="28"/>
      <c r="BN72" s="28"/>
      <c r="BO72" s="28"/>
    </row>
    <row r="73" spans="1:67" s="29" customFormat="1" ht="20.25" customHeight="1">
      <c r="A73" s="7">
        <v>45705</v>
      </c>
      <c r="B73" s="19" t="s">
        <v>322</v>
      </c>
      <c r="C73" s="19" t="s">
        <v>211</v>
      </c>
      <c r="D73" s="19" t="s">
        <v>212</v>
      </c>
      <c r="E73" s="19" t="s">
        <v>25</v>
      </c>
      <c r="F73" s="19" t="s">
        <v>323</v>
      </c>
      <c r="G73" s="19" t="s">
        <v>71</v>
      </c>
      <c r="H73" s="19" t="s">
        <v>26</v>
      </c>
      <c r="I73" s="19" t="s">
        <v>63</v>
      </c>
      <c r="J73" s="19" t="s">
        <v>27</v>
      </c>
      <c r="K73" s="19" t="s">
        <v>218</v>
      </c>
      <c r="L73" s="19" t="s">
        <v>75</v>
      </c>
      <c r="M73" s="20">
        <v>5961</v>
      </c>
      <c r="N73" s="25">
        <v>1.33</v>
      </c>
      <c r="O73" s="19" t="s">
        <v>67</v>
      </c>
      <c r="P73" s="19" t="s">
        <v>29</v>
      </c>
      <c r="Q73" s="19" t="s">
        <v>324</v>
      </c>
      <c r="R73" s="19" t="s">
        <v>29</v>
      </c>
      <c r="S73" s="8">
        <v>45726</v>
      </c>
      <c r="T73" s="8">
        <v>45726</v>
      </c>
      <c r="U73" s="19"/>
      <c r="V73" s="55">
        <v>0</v>
      </c>
      <c r="W73" s="15" t="s">
        <v>325</v>
      </c>
      <c r="X73" s="1" t="s">
        <v>29</v>
      </c>
      <c r="Y73" s="144"/>
      <c r="Z73" s="19">
        <v>2846.3</v>
      </c>
      <c r="AA73" s="18">
        <v>45737</v>
      </c>
      <c r="AB73" s="104">
        <v>3114.7</v>
      </c>
      <c r="AC73" s="86">
        <v>45740</v>
      </c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</row>
    <row r="74" spans="1:67" s="37" customFormat="1" ht="20.25" customHeight="1">
      <c r="A74" s="7">
        <v>45706</v>
      </c>
      <c r="B74" s="19" t="s">
        <v>326</v>
      </c>
      <c r="C74" s="19" t="s">
        <v>211</v>
      </c>
      <c r="D74" s="19" t="s">
        <v>212</v>
      </c>
      <c r="E74" s="19" t="s">
        <v>25</v>
      </c>
      <c r="F74" s="19" t="s">
        <v>327</v>
      </c>
      <c r="G74" s="19" t="s">
        <v>71</v>
      </c>
      <c r="H74" s="19" t="s">
        <v>26</v>
      </c>
      <c r="I74" s="19" t="s">
        <v>63</v>
      </c>
      <c r="J74" s="19" t="s">
        <v>27</v>
      </c>
      <c r="K74" s="19" t="s">
        <v>218</v>
      </c>
      <c r="L74" s="19" t="s">
        <v>75</v>
      </c>
      <c r="M74" s="20">
        <v>3156</v>
      </c>
      <c r="N74" s="25">
        <v>1.33</v>
      </c>
      <c r="O74" s="19" t="s">
        <v>67</v>
      </c>
      <c r="P74" s="19" t="s">
        <v>29</v>
      </c>
      <c r="Q74" s="19" t="s">
        <v>324</v>
      </c>
      <c r="R74" s="19" t="s">
        <v>29</v>
      </c>
      <c r="S74" s="45" t="s">
        <v>328</v>
      </c>
      <c r="T74" s="8">
        <v>45730</v>
      </c>
      <c r="U74" s="19"/>
      <c r="V74" s="55">
        <v>-0.40000000000037517</v>
      </c>
      <c r="W74" s="15" t="s">
        <v>329</v>
      </c>
      <c r="X74" s="1"/>
      <c r="Y74" s="104"/>
      <c r="Z74" s="104">
        <v>2915.1000000000004</v>
      </c>
      <c r="AA74" s="86">
        <v>45740</v>
      </c>
      <c r="AB74" s="104">
        <v>241.3</v>
      </c>
      <c r="AC74" s="86">
        <v>45755</v>
      </c>
      <c r="AD74" s="36"/>
      <c r="AE74" s="36"/>
      <c r="AF74" s="36"/>
      <c r="AG74" s="36"/>
      <c r="AH74" s="36"/>
      <c r="AI74" s="36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29"/>
      <c r="BH74" s="29"/>
      <c r="BI74" s="29"/>
      <c r="BJ74" s="29"/>
      <c r="BK74" s="29"/>
      <c r="BL74" s="29"/>
      <c r="BM74" s="29"/>
      <c r="BN74" s="29"/>
      <c r="BO74" s="29"/>
    </row>
    <row r="75" spans="1:67" s="37" customFormat="1" ht="20.25" customHeight="1">
      <c r="A75" s="7">
        <v>45707</v>
      </c>
      <c r="B75" s="19" t="s">
        <v>330</v>
      </c>
      <c r="C75" s="19" t="s">
        <v>211</v>
      </c>
      <c r="D75" s="19" t="s">
        <v>212</v>
      </c>
      <c r="E75" s="19" t="s">
        <v>25</v>
      </c>
      <c r="F75" s="19" t="s">
        <v>331</v>
      </c>
      <c r="G75" s="19" t="s">
        <v>71</v>
      </c>
      <c r="H75" s="19" t="s">
        <v>26</v>
      </c>
      <c r="I75" s="19" t="s">
        <v>63</v>
      </c>
      <c r="J75" s="19" t="s">
        <v>27</v>
      </c>
      <c r="K75" s="19" t="s">
        <v>332</v>
      </c>
      <c r="L75" s="19" t="s">
        <v>75</v>
      </c>
      <c r="M75" s="20">
        <v>3397</v>
      </c>
      <c r="N75" s="25">
        <v>1.33</v>
      </c>
      <c r="O75" s="19" t="s">
        <v>67</v>
      </c>
      <c r="P75" s="19" t="s">
        <v>29</v>
      </c>
      <c r="Q75" s="19" t="s">
        <v>333</v>
      </c>
      <c r="R75" s="19" t="s">
        <v>29</v>
      </c>
      <c r="S75" s="8">
        <v>45728</v>
      </c>
      <c r="T75" s="8">
        <v>45728</v>
      </c>
      <c r="U75" s="19"/>
      <c r="V75" s="55">
        <v>-2.1000000000001933</v>
      </c>
      <c r="W75" s="15" t="s">
        <v>334</v>
      </c>
      <c r="X75" s="144" t="s">
        <v>29</v>
      </c>
      <c r="Y75" s="233"/>
      <c r="Z75" s="104">
        <v>2956.8</v>
      </c>
      <c r="AA75" s="86">
        <v>45730</v>
      </c>
      <c r="AB75" s="104">
        <v>442.3</v>
      </c>
      <c r="AC75" s="86">
        <v>45740</v>
      </c>
      <c r="AD75" s="36"/>
      <c r="AE75" s="36"/>
      <c r="AF75" s="36"/>
      <c r="AG75" s="36"/>
      <c r="AH75" s="36"/>
      <c r="AI75" s="36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28"/>
      <c r="BH75" s="28"/>
      <c r="BI75" s="28"/>
      <c r="BJ75" s="28"/>
      <c r="BK75" s="28"/>
      <c r="BL75" s="28"/>
      <c r="BM75" s="28"/>
      <c r="BN75" s="28"/>
      <c r="BO75" s="28"/>
    </row>
    <row r="76" spans="1:67" s="29" customFormat="1" ht="20.25" customHeight="1">
      <c r="A76" s="7">
        <v>45708</v>
      </c>
      <c r="B76" s="19" t="s">
        <v>335</v>
      </c>
      <c r="C76" s="19" t="s">
        <v>267</v>
      </c>
      <c r="D76" s="19" t="s">
        <v>212</v>
      </c>
      <c r="E76" s="19" t="s">
        <v>25</v>
      </c>
      <c r="F76" s="19" t="s">
        <v>336</v>
      </c>
      <c r="G76" s="19" t="s">
        <v>71</v>
      </c>
      <c r="H76" s="19" t="s">
        <v>26</v>
      </c>
      <c r="I76" s="19" t="s">
        <v>63</v>
      </c>
      <c r="J76" s="19" t="s">
        <v>27</v>
      </c>
      <c r="K76" s="19" t="s">
        <v>337</v>
      </c>
      <c r="L76" s="19" t="s">
        <v>75</v>
      </c>
      <c r="M76" s="20">
        <v>10510</v>
      </c>
      <c r="N76" s="25">
        <v>1.33</v>
      </c>
      <c r="O76" s="19" t="s">
        <v>67</v>
      </c>
      <c r="P76" s="19" t="s">
        <v>29</v>
      </c>
      <c r="Q76" s="19" t="s">
        <v>29</v>
      </c>
      <c r="R76" s="19" t="s">
        <v>29</v>
      </c>
      <c r="S76" s="8">
        <v>45729</v>
      </c>
      <c r="T76" s="8">
        <v>45741</v>
      </c>
      <c r="U76" s="19"/>
      <c r="V76" s="55">
        <v>-3.4000000000000909</v>
      </c>
      <c r="W76" s="15" t="s">
        <v>338</v>
      </c>
      <c r="X76" s="144" t="s">
        <v>339</v>
      </c>
      <c r="Y76" s="144"/>
      <c r="Z76" s="19">
        <v>6623.3</v>
      </c>
      <c r="AA76" s="18">
        <v>45722</v>
      </c>
      <c r="AB76" s="104">
        <v>3383.6</v>
      </c>
      <c r="AC76" s="86">
        <v>45726</v>
      </c>
      <c r="AD76" s="104">
        <v>506.5</v>
      </c>
      <c r="AE76" s="86">
        <v>45740</v>
      </c>
      <c r="AF76" s="36"/>
      <c r="AG76" s="36"/>
      <c r="AH76" s="36"/>
      <c r="AI76" s="36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254"/>
      <c r="BH76" s="254"/>
      <c r="BI76" s="254"/>
      <c r="BJ76" s="254"/>
      <c r="BK76" s="254"/>
      <c r="BL76" s="254"/>
      <c r="BM76" s="254"/>
      <c r="BN76" s="254"/>
      <c r="BO76" s="254"/>
    </row>
    <row r="77" spans="1:67" s="29" customFormat="1" ht="20.25" customHeight="1">
      <c r="A77" s="7">
        <v>45708</v>
      </c>
      <c r="B77" s="19" t="s">
        <v>335</v>
      </c>
      <c r="C77" s="19" t="s">
        <v>267</v>
      </c>
      <c r="D77" s="19" t="s">
        <v>212</v>
      </c>
      <c r="E77" s="19" t="s">
        <v>25</v>
      </c>
      <c r="F77" s="19" t="s">
        <v>336</v>
      </c>
      <c r="G77" s="19" t="s">
        <v>71</v>
      </c>
      <c r="H77" s="19" t="s">
        <v>26</v>
      </c>
      <c r="I77" s="19" t="s">
        <v>63</v>
      </c>
      <c r="J77" s="19" t="s">
        <v>27</v>
      </c>
      <c r="K77" s="19" t="s">
        <v>340</v>
      </c>
      <c r="L77" s="19" t="s">
        <v>75</v>
      </c>
      <c r="M77" s="20">
        <v>6585</v>
      </c>
      <c r="N77" s="25">
        <v>1.33</v>
      </c>
      <c r="O77" s="19" t="s">
        <v>67</v>
      </c>
      <c r="P77" s="19" t="s">
        <v>29</v>
      </c>
      <c r="Q77" s="19" t="s">
        <v>29</v>
      </c>
      <c r="R77" s="19" t="s">
        <v>29</v>
      </c>
      <c r="S77" s="8">
        <v>45729</v>
      </c>
      <c r="T77" s="8">
        <v>45741</v>
      </c>
      <c r="U77" s="19"/>
      <c r="V77" s="55">
        <f>M77-U77-Z77-AB77</f>
        <v>-0.50000000000022737</v>
      </c>
      <c r="W77" s="15" t="s">
        <v>341</v>
      </c>
      <c r="X77" s="144" t="s">
        <v>342</v>
      </c>
      <c r="Y77" s="268"/>
      <c r="Z77" s="250">
        <f>3780+973.8+512</f>
        <v>5265.8</v>
      </c>
      <c r="AA77" s="363">
        <v>45722</v>
      </c>
      <c r="AB77" s="104">
        <v>1319.7</v>
      </c>
      <c r="AC77" s="86">
        <v>45740</v>
      </c>
      <c r="AD77" s="142"/>
      <c r="AE77" s="36"/>
      <c r="AF77" s="36"/>
      <c r="AG77" s="36"/>
      <c r="AH77" s="36"/>
      <c r="AI77" s="36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211"/>
      <c r="BH77" s="211"/>
      <c r="BI77" s="211"/>
      <c r="BJ77" s="211"/>
      <c r="BK77" s="211"/>
      <c r="BL77" s="211"/>
      <c r="BM77" s="211"/>
      <c r="BN77" s="211"/>
      <c r="BO77" s="211"/>
    </row>
    <row r="78" spans="1:67" s="29" customFormat="1" ht="20.25" customHeight="1">
      <c r="A78" s="7">
        <v>45709</v>
      </c>
      <c r="B78" s="19" t="s">
        <v>343</v>
      </c>
      <c r="C78" s="19" t="s">
        <v>211</v>
      </c>
      <c r="D78" s="19" t="s">
        <v>212</v>
      </c>
      <c r="E78" s="19" t="s">
        <v>25</v>
      </c>
      <c r="F78" s="19" t="s">
        <v>344</v>
      </c>
      <c r="G78" s="19" t="s">
        <v>71</v>
      </c>
      <c r="H78" s="19" t="s">
        <v>31</v>
      </c>
      <c r="I78" s="19" t="s">
        <v>63</v>
      </c>
      <c r="J78" s="19" t="s">
        <v>27</v>
      </c>
      <c r="K78" s="19" t="s">
        <v>345</v>
      </c>
      <c r="L78" s="19" t="s">
        <v>75</v>
      </c>
      <c r="M78" s="20">
        <v>3552</v>
      </c>
      <c r="N78" s="25">
        <v>1.33</v>
      </c>
      <c r="O78" s="19" t="s">
        <v>67</v>
      </c>
      <c r="P78" s="19" t="s">
        <v>29</v>
      </c>
      <c r="Q78" s="19" t="s">
        <v>346</v>
      </c>
      <c r="R78" s="19" t="s">
        <v>347</v>
      </c>
      <c r="S78" s="8">
        <v>45729</v>
      </c>
      <c r="T78" s="8">
        <v>45734</v>
      </c>
      <c r="U78" s="19"/>
      <c r="V78" s="55">
        <v>-3.5999999999999091</v>
      </c>
      <c r="W78" s="15" t="s">
        <v>348</v>
      </c>
      <c r="X78" s="144" t="s">
        <v>29</v>
      </c>
      <c r="Y78" s="144"/>
      <c r="Z78" s="353">
        <v>3555.6</v>
      </c>
      <c r="AA78" s="18">
        <v>45723</v>
      </c>
      <c r="AB78" s="36"/>
      <c r="AC78" s="36"/>
      <c r="AD78" s="36"/>
      <c r="AE78" s="36"/>
      <c r="AF78" s="36"/>
      <c r="AG78" s="36"/>
      <c r="AH78" s="36"/>
      <c r="AI78" s="36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28"/>
      <c r="BH78" s="28"/>
      <c r="BI78" s="28"/>
      <c r="BJ78" s="28"/>
      <c r="BK78" s="28"/>
      <c r="BL78" s="28"/>
      <c r="BM78" s="28"/>
      <c r="BN78" s="28"/>
      <c r="BO78" s="28"/>
    </row>
    <row r="79" spans="1:67" s="29" customFormat="1" ht="20.25" customHeight="1">
      <c r="A79" s="7">
        <v>45712</v>
      </c>
      <c r="B79" s="19" t="s">
        <v>349</v>
      </c>
      <c r="C79" s="19" t="s">
        <v>267</v>
      </c>
      <c r="D79" s="19" t="s">
        <v>212</v>
      </c>
      <c r="E79" s="19" t="s">
        <v>25</v>
      </c>
      <c r="F79" s="19" t="s">
        <v>350</v>
      </c>
      <c r="G79" s="19" t="s">
        <v>71</v>
      </c>
      <c r="H79" s="19" t="s">
        <v>26</v>
      </c>
      <c r="I79" s="19" t="s">
        <v>63</v>
      </c>
      <c r="J79" s="19" t="s">
        <v>27</v>
      </c>
      <c r="K79" s="19" t="s">
        <v>351</v>
      </c>
      <c r="L79" s="19" t="s">
        <v>75</v>
      </c>
      <c r="M79" s="20">
        <v>75</v>
      </c>
      <c r="N79" s="25">
        <v>1.33</v>
      </c>
      <c r="O79" s="19" t="s">
        <v>67</v>
      </c>
      <c r="P79" s="19" t="s">
        <v>29</v>
      </c>
      <c r="Q79" s="19" t="s">
        <v>339</v>
      </c>
      <c r="R79" s="19" t="s">
        <v>29</v>
      </c>
      <c r="S79" s="8">
        <v>45726</v>
      </c>
      <c r="T79" s="8">
        <v>45726</v>
      </c>
      <c r="U79" s="19"/>
      <c r="V79" s="55">
        <v>-2.7999999999999972</v>
      </c>
      <c r="W79" s="15" t="s">
        <v>352</v>
      </c>
      <c r="X79" s="144" t="s">
        <v>29</v>
      </c>
      <c r="Y79" s="144"/>
      <c r="Z79" s="19">
        <v>77.8</v>
      </c>
      <c r="AA79" s="18">
        <v>45740</v>
      </c>
      <c r="AB79" s="141"/>
      <c r="AC79" s="141"/>
      <c r="AD79" s="141"/>
      <c r="AE79" s="141"/>
      <c r="AF79" s="36"/>
      <c r="AG79" s="36"/>
      <c r="AH79" s="36"/>
      <c r="AI79" s="36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28"/>
      <c r="BH79" s="28"/>
      <c r="BI79" s="28"/>
      <c r="BJ79" s="28"/>
      <c r="BK79" s="28"/>
      <c r="BL79" s="28"/>
      <c r="BM79" s="28"/>
      <c r="BN79" s="28"/>
      <c r="BO79" s="28"/>
    </row>
    <row r="80" spans="1:67" s="29" customFormat="1" ht="20.25" customHeight="1">
      <c r="A80" s="7">
        <v>45716</v>
      </c>
      <c r="B80" s="19" t="s">
        <v>353</v>
      </c>
      <c r="C80" s="19" t="s">
        <v>211</v>
      </c>
      <c r="D80" s="19" t="s">
        <v>212</v>
      </c>
      <c r="E80" s="19" t="s">
        <v>25</v>
      </c>
      <c r="F80" s="19" t="s">
        <v>354</v>
      </c>
      <c r="G80" s="19" t="s">
        <v>71</v>
      </c>
      <c r="H80" s="19" t="s">
        <v>26</v>
      </c>
      <c r="I80" s="19" t="s">
        <v>63</v>
      </c>
      <c r="J80" s="19" t="s">
        <v>27</v>
      </c>
      <c r="K80" s="19" t="s">
        <v>250</v>
      </c>
      <c r="L80" s="19" t="s">
        <v>75</v>
      </c>
      <c r="M80" s="20">
        <v>391</v>
      </c>
      <c r="N80" s="25">
        <v>1.33</v>
      </c>
      <c r="O80" s="19" t="s">
        <v>67</v>
      </c>
      <c r="P80" s="19" t="s">
        <v>29</v>
      </c>
      <c r="Q80" s="19" t="s">
        <v>355</v>
      </c>
      <c r="R80" s="19" t="s">
        <v>29</v>
      </c>
      <c r="S80" s="8">
        <v>45741</v>
      </c>
      <c r="T80" s="8">
        <v>45741</v>
      </c>
      <c r="U80" s="19"/>
      <c r="V80" s="55">
        <v>-0.39999999999997726</v>
      </c>
      <c r="W80" s="15" t="s">
        <v>356</v>
      </c>
      <c r="X80" s="19"/>
      <c r="Y80" s="104"/>
      <c r="Z80" s="104">
        <v>391.4</v>
      </c>
      <c r="AA80" s="86">
        <v>45736</v>
      </c>
      <c r="AB80" s="36"/>
      <c r="AC80" s="36"/>
      <c r="AD80" s="36"/>
      <c r="AE80" s="36"/>
      <c r="AF80" s="36"/>
      <c r="AG80" s="36"/>
      <c r="AH80" s="36"/>
      <c r="AI80" s="36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39"/>
      <c r="BG80" s="28"/>
      <c r="BH80" s="28"/>
      <c r="BI80" s="28"/>
      <c r="BJ80" s="28"/>
      <c r="BK80" s="28"/>
      <c r="BL80" s="28"/>
      <c r="BM80" s="28"/>
      <c r="BN80" s="28"/>
      <c r="BO80" s="28"/>
    </row>
    <row r="81" spans="1:67" s="29" customFormat="1" ht="20.25" customHeight="1">
      <c r="A81" s="7">
        <v>45719</v>
      </c>
      <c r="B81" s="19" t="s">
        <v>221</v>
      </c>
      <c r="C81" s="19" t="s">
        <v>211</v>
      </c>
      <c r="D81" s="19" t="s">
        <v>212</v>
      </c>
      <c r="E81" s="19" t="s">
        <v>25</v>
      </c>
      <c r="F81" s="19" t="s">
        <v>222</v>
      </c>
      <c r="G81" s="19" t="s">
        <v>71</v>
      </c>
      <c r="H81" s="19" t="s">
        <v>26</v>
      </c>
      <c r="I81" s="19" t="s">
        <v>63</v>
      </c>
      <c r="J81" s="19" t="s">
        <v>27</v>
      </c>
      <c r="K81" s="19" t="s">
        <v>218</v>
      </c>
      <c r="L81" s="19" t="s">
        <v>75</v>
      </c>
      <c r="M81" s="20">
        <v>2707</v>
      </c>
      <c r="N81" s="25">
        <v>1.33</v>
      </c>
      <c r="O81" s="19" t="s">
        <v>67</v>
      </c>
      <c r="P81" s="19" t="s">
        <v>29</v>
      </c>
      <c r="Q81" s="19" t="s">
        <v>29</v>
      </c>
      <c r="R81" s="19" t="s">
        <v>224</v>
      </c>
      <c r="S81" s="8">
        <v>45779</v>
      </c>
      <c r="T81" s="8">
        <v>45779</v>
      </c>
      <c r="U81" s="19"/>
      <c r="V81" s="55">
        <v>-0.8999999999996362</v>
      </c>
      <c r="W81" s="15" t="s">
        <v>226</v>
      </c>
      <c r="X81" s="1"/>
      <c r="Y81" s="19"/>
      <c r="Z81" s="19">
        <v>2707.8999999999996</v>
      </c>
      <c r="AA81" s="18">
        <v>45784</v>
      </c>
      <c r="AB81" s="46"/>
      <c r="AC81" s="46"/>
      <c r="AD81" s="46"/>
      <c r="AE81" s="46"/>
      <c r="AF81" s="46"/>
      <c r="AG81" s="4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</row>
    <row r="82" spans="1:67" s="29" customFormat="1" ht="20.25" customHeight="1">
      <c r="A82" s="7">
        <v>45719</v>
      </c>
      <c r="B82" s="19" t="s">
        <v>357</v>
      </c>
      <c r="C82" s="19" t="s">
        <v>211</v>
      </c>
      <c r="D82" s="19" t="s">
        <v>212</v>
      </c>
      <c r="E82" s="19" t="s">
        <v>25</v>
      </c>
      <c r="F82" s="19" t="s">
        <v>358</v>
      </c>
      <c r="G82" s="19" t="s">
        <v>71</v>
      </c>
      <c r="H82" s="19" t="s">
        <v>26</v>
      </c>
      <c r="I82" s="19" t="s">
        <v>63</v>
      </c>
      <c r="J82" s="19" t="s">
        <v>27</v>
      </c>
      <c r="K82" s="19" t="s">
        <v>337</v>
      </c>
      <c r="L82" s="19" t="s">
        <v>75</v>
      </c>
      <c r="M82" s="20">
        <v>991</v>
      </c>
      <c r="N82" s="25">
        <v>1.33</v>
      </c>
      <c r="O82" s="19" t="s">
        <v>67</v>
      </c>
      <c r="P82" s="19" t="s">
        <v>29</v>
      </c>
      <c r="Q82" s="19" t="s">
        <v>29</v>
      </c>
      <c r="R82" s="19" t="s">
        <v>224</v>
      </c>
      <c r="S82" s="8">
        <v>45756</v>
      </c>
      <c r="T82" s="8">
        <v>45756</v>
      </c>
      <c r="U82" s="19"/>
      <c r="V82" s="55">
        <v>-1.3999999999999773</v>
      </c>
      <c r="W82" s="15" t="s">
        <v>359</v>
      </c>
      <c r="X82" s="19"/>
      <c r="Y82" s="259"/>
      <c r="Z82" s="250">
        <v>992.4</v>
      </c>
      <c r="AA82" s="363">
        <v>45755</v>
      </c>
      <c r="AB82" s="46"/>
      <c r="AC82" s="46"/>
      <c r="AD82" s="46"/>
      <c r="AE82" s="46"/>
      <c r="AF82" s="46"/>
      <c r="AG82" s="36"/>
      <c r="AH82" s="36"/>
      <c r="AI82" s="36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39"/>
      <c r="BF82" s="139"/>
      <c r="BG82" s="254"/>
      <c r="BH82" s="254"/>
      <c r="BI82" s="254"/>
      <c r="BJ82" s="254"/>
      <c r="BK82" s="254"/>
      <c r="BL82" s="254"/>
      <c r="BM82" s="254"/>
      <c r="BN82" s="254"/>
      <c r="BO82" s="254"/>
    </row>
    <row r="83" spans="1:67" s="29" customFormat="1" ht="20.25" customHeight="1">
      <c r="A83" s="7">
        <v>45719</v>
      </c>
      <c r="B83" s="19" t="s">
        <v>221</v>
      </c>
      <c r="C83" s="19" t="s">
        <v>211</v>
      </c>
      <c r="D83" s="19" t="s">
        <v>212</v>
      </c>
      <c r="E83" s="19" t="s">
        <v>25</v>
      </c>
      <c r="F83" s="19" t="s">
        <v>222</v>
      </c>
      <c r="G83" s="19" t="s">
        <v>71</v>
      </c>
      <c r="H83" s="19" t="s">
        <v>26</v>
      </c>
      <c r="I83" s="19" t="s">
        <v>63</v>
      </c>
      <c r="J83" s="19" t="s">
        <v>27</v>
      </c>
      <c r="K83" s="19" t="s">
        <v>223</v>
      </c>
      <c r="L83" s="19" t="s">
        <v>75</v>
      </c>
      <c r="M83" s="20">
        <v>4169</v>
      </c>
      <c r="N83" s="25">
        <v>1.33</v>
      </c>
      <c r="O83" s="19" t="s">
        <v>67</v>
      </c>
      <c r="P83" s="19" t="s">
        <v>29</v>
      </c>
      <c r="Q83" s="19" t="s">
        <v>29</v>
      </c>
      <c r="R83" s="19" t="s">
        <v>224</v>
      </c>
      <c r="S83" s="8">
        <v>45779</v>
      </c>
      <c r="T83" s="8">
        <v>45779</v>
      </c>
      <c r="U83" s="19"/>
      <c r="V83" s="55">
        <f>M83-U83-Z83-AB83</f>
        <v>-1</v>
      </c>
      <c r="W83" s="15" t="s">
        <v>225</v>
      </c>
      <c r="X83" s="19"/>
      <c r="Y83" s="19"/>
      <c r="Z83" s="19">
        <v>2357.5</v>
      </c>
      <c r="AA83" s="18">
        <v>45784</v>
      </c>
      <c r="AB83" s="104">
        <v>1812.5</v>
      </c>
      <c r="AC83" s="86">
        <v>45790</v>
      </c>
      <c r="AD83" s="36"/>
      <c r="AE83" s="36"/>
      <c r="AF83" s="36"/>
      <c r="AG83" s="36"/>
      <c r="AH83" s="36"/>
      <c r="AI83" s="36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254"/>
      <c r="BH83" s="254"/>
      <c r="BI83" s="254"/>
      <c r="BJ83" s="254"/>
      <c r="BK83" s="254"/>
      <c r="BL83" s="254"/>
      <c r="BM83" s="254"/>
      <c r="BN83" s="254"/>
      <c r="BO83" s="254"/>
    </row>
    <row r="84" spans="1:67" s="29" customFormat="1" ht="20.25" customHeight="1">
      <c r="A84" s="7">
        <v>45720</v>
      </c>
      <c r="B84" s="19" t="s">
        <v>381</v>
      </c>
      <c r="C84" s="19" t="s">
        <v>382</v>
      </c>
      <c r="D84" s="19" t="s">
        <v>212</v>
      </c>
      <c r="E84" s="19" t="s">
        <v>25</v>
      </c>
      <c r="F84" s="19" t="s">
        <v>383</v>
      </c>
      <c r="G84" s="19" t="s">
        <v>71</v>
      </c>
      <c r="H84" s="19" t="s">
        <v>31</v>
      </c>
      <c r="I84" s="19" t="s">
        <v>63</v>
      </c>
      <c r="J84" s="19" t="s">
        <v>27</v>
      </c>
      <c r="K84" s="19" t="s">
        <v>384</v>
      </c>
      <c r="L84" s="19" t="s">
        <v>75</v>
      </c>
      <c r="M84" s="20">
        <v>1009.66</v>
      </c>
      <c r="N84" s="25">
        <v>1.33</v>
      </c>
      <c r="O84" s="19" t="s">
        <v>67</v>
      </c>
      <c r="P84" s="19" t="s">
        <v>29</v>
      </c>
      <c r="Q84" s="19" t="s">
        <v>29</v>
      </c>
      <c r="R84" s="19" t="s">
        <v>385</v>
      </c>
      <c r="S84" s="8">
        <v>45737</v>
      </c>
      <c r="T84" s="8">
        <v>45743</v>
      </c>
      <c r="U84" s="19"/>
      <c r="V84" s="55">
        <f>M84-U84-Z84-AB84</f>
        <v>-3.5400000000000489</v>
      </c>
      <c r="W84" s="15" t="s">
        <v>386</v>
      </c>
      <c r="X84" s="19"/>
      <c r="Y84" s="19"/>
      <c r="Z84" s="19">
        <v>825.1</v>
      </c>
      <c r="AA84" s="18">
        <v>45737</v>
      </c>
      <c r="AB84" s="104">
        <f>102.3+85.8</f>
        <v>188.1</v>
      </c>
      <c r="AC84" s="86">
        <v>45756</v>
      </c>
      <c r="AD84" s="36"/>
      <c r="AE84" s="36"/>
      <c r="AF84" s="36"/>
      <c r="AG84" s="36"/>
      <c r="AH84" s="36"/>
      <c r="AI84" s="36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56"/>
      <c r="BH84" s="56"/>
      <c r="BI84" s="56"/>
      <c r="BJ84" s="56"/>
      <c r="BK84" s="56"/>
      <c r="BL84" s="56"/>
      <c r="BM84" s="56"/>
      <c r="BN84" s="56"/>
      <c r="BO84" s="56"/>
    </row>
    <row r="85" spans="1:67" s="29" customFormat="1" ht="20.25" customHeight="1">
      <c r="A85" s="7">
        <v>45720</v>
      </c>
      <c r="B85" s="19" t="s">
        <v>387</v>
      </c>
      <c r="C85" s="19" t="s">
        <v>382</v>
      </c>
      <c r="D85" s="19" t="s">
        <v>212</v>
      </c>
      <c r="E85" s="19" t="s">
        <v>25</v>
      </c>
      <c r="F85" s="19" t="s">
        <v>388</v>
      </c>
      <c r="G85" s="19" t="s">
        <v>71</v>
      </c>
      <c r="H85" s="19" t="s">
        <v>31</v>
      </c>
      <c r="I85" s="19" t="s">
        <v>63</v>
      </c>
      <c r="J85" s="19" t="s">
        <v>27</v>
      </c>
      <c r="K85" s="19" t="s">
        <v>384</v>
      </c>
      <c r="L85" s="19" t="s">
        <v>75</v>
      </c>
      <c r="M85" s="20">
        <v>2207.12</v>
      </c>
      <c r="N85" s="25">
        <v>1.33</v>
      </c>
      <c r="O85" s="19" t="s">
        <v>67</v>
      </c>
      <c r="P85" s="19" t="s">
        <v>29</v>
      </c>
      <c r="Q85" s="19" t="s">
        <v>389</v>
      </c>
      <c r="R85" s="19" t="s">
        <v>390</v>
      </c>
      <c r="S85" s="8">
        <v>45737</v>
      </c>
      <c r="T85" s="8">
        <v>45743</v>
      </c>
      <c r="U85" s="19"/>
      <c r="V85" s="55">
        <v>-1.7800000000002001</v>
      </c>
      <c r="W85" s="15" t="s">
        <v>391</v>
      </c>
      <c r="X85" s="19"/>
      <c r="Y85" s="80"/>
      <c r="Z85" s="19">
        <v>780.5</v>
      </c>
      <c r="AA85" s="18">
        <v>45756</v>
      </c>
      <c r="AB85" s="104">
        <v>1428.4</v>
      </c>
      <c r="AC85" s="86">
        <v>45756</v>
      </c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56"/>
      <c r="BH85" s="56"/>
      <c r="BI85" s="56"/>
      <c r="BJ85" s="56"/>
      <c r="BK85" s="56"/>
      <c r="BL85" s="56"/>
      <c r="BM85" s="56"/>
      <c r="BN85" s="56"/>
      <c r="BO85" s="56"/>
    </row>
    <row r="86" spans="1:67" s="29" customFormat="1" ht="20.25" customHeight="1">
      <c r="A86" s="7">
        <v>45720</v>
      </c>
      <c r="B86" s="19" t="s">
        <v>395</v>
      </c>
      <c r="C86" s="19" t="s">
        <v>382</v>
      </c>
      <c r="D86" s="19" t="s">
        <v>212</v>
      </c>
      <c r="E86" s="19" t="s">
        <v>25</v>
      </c>
      <c r="F86" s="19" t="s">
        <v>396</v>
      </c>
      <c r="G86" s="19" t="s">
        <v>71</v>
      </c>
      <c r="H86" s="19" t="s">
        <v>31</v>
      </c>
      <c r="I86" s="19" t="s">
        <v>63</v>
      </c>
      <c r="J86" s="19" t="s">
        <v>27</v>
      </c>
      <c r="K86" s="19" t="s">
        <v>384</v>
      </c>
      <c r="L86" s="19" t="s">
        <v>75</v>
      </c>
      <c r="M86" s="20">
        <v>366.23</v>
      </c>
      <c r="N86" s="25">
        <v>1.33</v>
      </c>
      <c r="O86" s="19" t="s">
        <v>67</v>
      </c>
      <c r="P86" s="19" t="s">
        <v>29</v>
      </c>
      <c r="Q86" s="19" t="s">
        <v>397</v>
      </c>
      <c r="R86" s="19" t="s">
        <v>385</v>
      </c>
      <c r="S86" s="8">
        <v>45737</v>
      </c>
      <c r="T86" s="8">
        <v>45743</v>
      </c>
      <c r="U86" s="19"/>
      <c r="V86" s="55">
        <v>-0.37000000000000455</v>
      </c>
      <c r="W86" s="15" t="s">
        <v>398</v>
      </c>
      <c r="X86" s="124"/>
      <c r="Y86" s="124"/>
      <c r="Z86" s="19">
        <v>366.6</v>
      </c>
      <c r="AA86" s="18">
        <v>45737</v>
      </c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56"/>
      <c r="BH86" s="56"/>
      <c r="BI86" s="56"/>
      <c r="BJ86" s="56"/>
      <c r="BK86" s="56"/>
      <c r="BL86" s="56"/>
      <c r="BM86" s="56"/>
      <c r="BN86" s="56"/>
      <c r="BO86" s="56"/>
    </row>
    <row r="87" spans="1:67" s="29" customFormat="1" ht="20.25" customHeight="1">
      <c r="A87" s="7">
        <v>45720</v>
      </c>
      <c r="B87" s="19" t="s">
        <v>365</v>
      </c>
      <c r="C87" s="19" t="s">
        <v>211</v>
      </c>
      <c r="D87" s="19" t="s">
        <v>212</v>
      </c>
      <c r="E87" s="19" t="s">
        <v>25</v>
      </c>
      <c r="F87" s="19" t="s">
        <v>366</v>
      </c>
      <c r="G87" s="19" t="s">
        <v>71</v>
      </c>
      <c r="H87" s="19" t="s">
        <v>26</v>
      </c>
      <c r="I87" s="19" t="s">
        <v>63</v>
      </c>
      <c r="J87" s="19" t="s">
        <v>27</v>
      </c>
      <c r="K87" s="19" t="s">
        <v>218</v>
      </c>
      <c r="L87" s="19" t="s">
        <v>75</v>
      </c>
      <c r="M87" s="20">
        <v>835</v>
      </c>
      <c r="N87" s="25">
        <v>1.33</v>
      </c>
      <c r="O87" s="19" t="s">
        <v>67</v>
      </c>
      <c r="P87" s="19" t="s">
        <v>29</v>
      </c>
      <c r="Q87" s="19" t="s">
        <v>29</v>
      </c>
      <c r="R87" s="19" t="s">
        <v>219</v>
      </c>
      <c r="S87" s="8">
        <v>45810</v>
      </c>
      <c r="T87" s="8">
        <v>45810</v>
      </c>
      <c r="U87" s="19"/>
      <c r="V87" s="55">
        <v>-1.8999999999999773</v>
      </c>
      <c r="W87" s="15" t="s">
        <v>368</v>
      </c>
      <c r="X87" s="1"/>
      <c r="Y87" s="19"/>
      <c r="Z87" s="19">
        <v>836.9</v>
      </c>
      <c r="AA87" s="18">
        <v>45805</v>
      </c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</row>
    <row r="88" spans="1:67" s="29" customFormat="1" ht="20.25" customHeight="1">
      <c r="A88" s="7">
        <v>45720</v>
      </c>
      <c r="B88" s="19" t="s">
        <v>369</v>
      </c>
      <c r="C88" s="19" t="s">
        <v>211</v>
      </c>
      <c r="D88" s="19" t="s">
        <v>212</v>
      </c>
      <c r="E88" s="19" t="s">
        <v>25</v>
      </c>
      <c r="F88" s="19" t="s">
        <v>370</v>
      </c>
      <c r="G88" s="19" t="s">
        <v>71</v>
      </c>
      <c r="H88" s="19" t="s">
        <v>26</v>
      </c>
      <c r="I88" s="19" t="s">
        <v>63</v>
      </c>
      <c r="J88" s="19" t="s">
        <v>27</v>
      </c>
      <c r="K88" s="19" t="s">
        <v>218</v>
      </c>
      <c r="L88" s="19" t="s">
        <v>75</v>
      </c>
      <c r="M88" s="20">
        <v>258</v>
      </c>
      <c r="N88" s="25">
        <v>1.33</v>
      </c>
      <c r="O88" s="19" t="s">
        <v>67</v>
      </c>
      <c r="P88" s="19" t="s">
        <v>29</v>
      </c>
      <c r="Q88" s="19" t="s">
        <v>324</v>
      </c>
      <c r="R88" s="19" t="s">
        <v>324</v>
      </c>
      <c r="S88" s="8">
        <v>45740</v>
      </c>
      <c r="T88" s="8">
        <v>45743</v>
      </c>
      <c r="U88" s="19"/>
      <c r="V88" s="55">
        <v>0</v>
      </c>
      <c r="W88" s="15" t="s">
        <v>371</v>
      </c>
      <c r="X88" s="1"/>
      <c r="Y88" s="19"/>
      <c r="Z88" s="19">
        <v>258</v>
      </c>
      <c r="AA88" s="18">
        <v>45755</v>
      </c>
      <c r="AB88" s="10"/>
      <c r="AC88" s="377"/>
      <c r="AD88" s="36"/>
      <c r="AE88" s="36"/>
      <c r="AF88" s="36"/>
      <c r="AG88" s="36"/>
      <c r="AH88" s="36"/>
      <c r="AI88" s="36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</row>
    <row r="89" spans="1:67" s="29" customFormat="1" ht="20.25" customHeight="1">
      <c r="A89" s="7">
        <v>45720</v>
      </c>
      <c r="B89" s="19" t="s">
        <v>369</v>
      </c>
      <c r="C89" s="19" t="s">
        <v>211</v>
      </c>
      <c r="D89" s="19" t="s">
        <v>212</v>
      </c>
      <c r="E89" s="19" t="s">
        <v>25</v>
      </c>
      <c r="F89" s="19" t="s">
        <v>370</v>
      </c>
      <c r="G89" s="19" t="s">
        <v>71</v>
      </c>
      <c r="H89" s="19" t="s">
        <v>26</v>
      </c>
      <c r="I89" s="19" t="s">
        <v>63</v>
      </c>
      <c r="J89" s="19" t="s">
        <v>27</v>
      </c>
      <c r="K89" s="19" t="s">
        <v>218</v>
      </c>
      <c r="L89" s="19" t="s">
        <v>75</v>
      </c>
      <c r="M89" s="20">
        <v>1915</v>
      </c>
      <c r="N89" s="25">
        <v>1.33</v>
      </c>
      <c r="O89" s="19" t="s">
        <v>67</v>
      </c>
      <c r="P89" s="19" t="s">
        <v>29</v>
      </c>
      <c r="Q89" s="19" t="s">
        <v>240</v>
      </c>
      <c r="R89" s="19" t="s">
        <v>240</v>
      </c>
      <c r="S89" s="8">
        <v>45740</v>
      </c>
      <c r="T89" s="8">
        <v>45743</v>
      </c>
      <c r="U89" s="19"/>
      <c r="V89" s="55">
        <v>-1.7000000000000455</v>
      </c>
      <c r="W89" s="15" t="s">
        <v>374</v>
      </c>
      <c r="X89" s="1"/>
      <c r="Y89" s="19"/>
      <c r="Z89" s="19">
        <v>1916.7</v>
      </c>
      <c r="AA89" s="18">
        <v>45755</v>
      </c>
      <c r="AB89" s="10"/>
      <c r="AC89" s="10"/>
      <c r="AD89" s="36"/>
      <c r="AE89" s="36"/>
      <c r="AF89" s="36"/>
      <c r="AG89" s="36"/>
      <c r="AH89" s="36"/>
      <c r="AI89" s="36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</row>
    <row r="90" spans="1:67" s="29" customFormat="1" ht="20.25" customHeight="1">
      <c r="A90" s="7">
        <v>45720</v>
      </c>
      <c r="B90" s="19" t="s">
        <v>377</v>
      </c>
      <c r="C90" s="19" t="s">
        <v>211</v>
      </c>
      <c r="D90" s="19" t="s">
        <v>212</v>
      </c>
      <c r="E90" s="19" t="s">
        <v>25</v>
      </c>
      <c r="F90" s="19" t="s">
        <v>378</v>
      </c>
      <c r="G90" s="19" t="s">
        <v>71</v>
      </c>
      <c r="H90" s="19" t="s">
        <v>26</v>
      </c>
      <c r="I90" s="19" t="s">
        <v>63</v>
      </c>
      <c r="J90" s="19" t="s">
        <v>27</v>
      </c>
      <c r="K90" s="19" t="s">
        <v>218</v>
      </c>
      <c r="L90" s="19" t="s">
        <v>75</v>
      </c>
      <c r="M90" s="20">
        <v>2850</v>
      </c>
      <c r="N90" s="25">
        <v>1.33</v>
      </c>
      <c r="O90" s="19" t="s">
        <v>67</v>
      </c>
      <c r="P90" s="19" t="s">
        <v>29</v>
      </c>
      <c r="Q90" s="19" t="s">
        <v>29</v>
      </c>
      <c r="R90" s="19"/>
      <c r="S90" s="8">
        <v>45756</v>
      </c>
      <c r="T90" s="8">
        <v>45756</v>
      </c>
      <c r="U90" s="19"/>
      <c r="V90" s="55">
        <v>-0.3000000000001819</v>
      </c>
      <c r="W90" s="15" t="s">
        <v>379</v>
      </c>
      <c r="X90" s="1"/>
      <c r="Y90" s="19"/>
      <c r="Z90" s="19">
        <v>2850.3</v>
      </c>
      <c r="AA90" s="18">
        <v>45755</v>
      </c>
      <c r="AB90" s="141"/>
      <c r="AC90" s="141"/>
      <c r="AD90" s="36"/>
      <c r="AE90" s="36"/>
      <c r="AF90" s="36"/>
      <c r="AG90" s="36"/>
      <c r="AH90" s="36"/>
      <c r="AI90" s="36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</row>
    <row r="91" spans="1:67" s="29" customFormat="1" ht="20.25" customHeight="1">
      <c r="A91" s="7">
        <v>45720</v>
      </c>
      <c r="B91" s="19" t="s">
        <v>399</v>
      </c>
      <c r="C91" s="19" t="s">
        <v>400</v>
      </c>
      <c r="D91" s="19" t="s">
        <v>212</v>
      </c>
      <c r="E91" s="19" t="s">
        <v>25</v>
      </c>
      <c r="F91" s="19" t="s">
        <v>401</v>
      </c>
      <c r="G91" s="19" t="s">
        <v>71</v>
      </c>
      <c r="H91" s="19" t="s">
        <v>31</v>
      </c>
      <c r="I91" s="19" t="s">
        <v>63</v>
      </c>
      <c r="J91" s="19" t="s">
        <v>27</v>
      </c>
      <c r="K91" s="19" t="s">
        <v>337</v>
      </c>
      <c r="L91" s="19" t="s">
        <v>75</v>
      </c>
      <c r="M91" s="20">
        <v>200</v>
      </c>
      <c r="N91" s="25">
        <v>1.33</v>
      </c>
      <c r="O91" s="19" t="s">
        <v>67</v>
      </c>
      <c r="P91" s="19" t="s">
        <v>29</v>
      </c>
      <c r="Q91" s="19" t="s">
        <v>402</v>
      </c>
      <c r="R91" s="19" t="s">
        <v>29</v>
      </c>
      <c r="S91" s="8">
        <v>45734</v>
      </c>
      <c r="T91" s="8">
        <v>45734</v>
      </c>
      <c r="U91" s="19"/>
      <c r="V91" s="55">
        <v>0</v>
      </c>
      <c r="W91" s="15" t="s">
        <v>404</v>
      </c>
      <c r="X91" s="19"/>
      <c r="Y91" s="19"/>
      <c r="Z91" s="10">
        <v>200</v>
      </c>
      <c r="AA91" s="18">
        <v>45722</v>
      </c>
      <c r="AB91" s="46"/>
      <c r="AC91" s="4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254"/>
      <c r="BH91" s="254"/>
      <c r="BI91" s="254"/>
      <c r="BJ91" s="254"/>
      <c r="BK91" s="254"/>
      <c r="BL91" s="254"/>
      <c r="BM91" s="254"/>
      <c r="BN91" s="254"/>
      <c r="BO91" s="254"/>
    </row>
    <row r="92" spans="1:67" s="36" customFormat="1" ht="20.25" customHeight="1">
      <c r="A92" s="7">
        <v>45720</v>
      </c>
      <c r="B92" s="19" t="s">
        <v>365</v>
      </c>
      <c r="C92" s="19" t="s">
        <v>211</v>
      </c>
      <c r="D92" s="19" t="s">
        <v>212</v>
      </c>
      <c r="E92" s="19" t="s">
        <v>25</v>
      </c>
      <c r="F92" s="19" t="s">
        <v>366</v>
      </c>
      <c r="G92" s="19" t="s">
        <v>71</v>
      </c>
      <c r="H92" s="19" t="s">
        <v>26</v>
      </c>
      <c r="I92" s="19" t="s">
        <v>63</v>
      </c>
      <c r="J92" s="19" t="s">
        <v>27</v>
      </c>
      <c r="K92" s="19" t="s">
        <v>337</v>
      </c>
      <c r="L92" s="19" t="s">
        <v>75</v>
      </c>
      <c r="M92" s="20">
        <v>4924</v>
      </c>
      <c r="N92" s="25">
        <v>1.33</v>
      </c>
      <c r="O92" s="19" t="s">
        <v>67</v>
      </c>
      <c r="P92" s="19" t="s">
        <v>29</v>
      </c>
      <c r="Q92" s="19" t="s">
        <v>29</v>
      </c>
      <c r="R92" s="19" t="s">
        <v>224</v>
      </c>
      <c r="S92" s="8">
        <v>45810</v>
      </c>
      <c r="T92" s="8">
        <v>45810</v>
      </c>
      <c r="U92" s="19"/>
      <c r="V92" s="55">
        <f>M92-U92-Z92-AB92-AD92</f>
        <v>-6.0000000000004547</v>
      </c>
      <c r="W92" s="15" t="s">
        <v>367</v>
      </c>
      <c r="X92" s="19"/>
      <c r="Y92" s="19"/>
      <c r="Z92" s="19">
        <v>387.6</v>
      </c>
      <c r="AA92" s="18">
        <v>45805</v>
      </c>
      <c r="AB92" s="104">
        <f>977.1+1804.7</f>
        <v>2781.8</v>
      </c>
      <c r="AC92" s="86">
        <v>45811</v>
      </c>
      <c r="AD92" s="104">
        <v>1760.6</v>
      </c>
      <c r="AE92" s="86">
        <v>45817</v>
      </c>
      <c r="BG92" s="254"/>
      <c r="BH92" s="254"/>
      <c r="BI92" s="254"/>
      <c r="BJ92" s="254"/>
      <c r="BK92" s="254"/>
      <c r="BL92" s="254"/>
      <c r="BM92" s="254"/>
      <c r="BN92" s="254"/>
      <c r="BO92" s="254"/>
    </row>
    <row r="93" spans="1:67" s="36" customFormat="1" ht="20.25" customHeight="1">
      <c r="A93" s="7">
        <v>45720</v>
      </c>
      <c r="B93" s="19" t="s">
        <v>399</v>
      </c>
      <c r="C93" s="19" t="s">
        <v>400</v>
      </c>
      <c r="D93" s="19" t="s">
        <v>212</v>
      </c>
      <c r="E93" s="19" t="s">
        <v>25</v>
      </c>
      <c r="F93" s="19" t="s">
        <v>401</v>
      </c>
      <c r="G93" s="19" t="s">
        <v>71</v>
      </c>
      <c r="H93" s="19" t="s">
        <v>31</v>
      </c>
      <c r="I93" s="19" t="s">
        <v>63</v>
      </c>
      <c r="J93" s="19" t="s">
        <v>27</v>
      </c>
      <c r="K93" s="19" t="s">
        <v>306</v>
      </c>
      <c r="L93" s="19" t="s">
        <v>75</v>
      </c>
      <c r="M93" s="20">
        <v>1000</v>
      </c>
      <c r="N93" s="25">
        <v>1.33</v>
      </c>
      <c r="O93" s="19" t="s">
        <v>67</v>
      </c>
      <c r="P93" s="19" t="s">
        <v>29</v>
      </c>
      <c r="Q93" s="19" t="s">
        <v>402</v>
      </c>
      <c r="R93" s="19" t="s">
        <v>393</v>
      </c>
      <c r="S93" s="8">
        <v>45734</v>
      </c>
      <c r="T93" s="8">
        <v>45734</v>
      </c>
      <c r="U93" s="19"/>
      <c r="V93" s="55">
        <v>0</v>
      </c>
      <c r="W93" s="15" t="s">
        <v>403</v>
      </c>
      <c r="X93" s="19"/>
      <c r="Y93" s="19"/>
      <c r="Z93" s="10">
        <v>1000</v>
      </c>
      <c r="AA93" s="18">
        <v>45721</v>
      </c>
      <c r="BG93" s="254"/>
      <c r="BH93" s="254"/>
      <c r="BI93" s="254"/>
      <c r="BJ93" s="254"/>
      <c r="BK93" s="254"/>
      <c r="BL93" s="254"/>
      <c r="BM93" s="254"/>
      <c r="BN93" s="254"/>
      <c r="BO93" s="254"/>
    </row>
    <row r="94" spans="1:67" s="122" customFormat="1" ht="20.25" customHeight="1">
      <c r="A94" s="7">
        <v>45720</v>
      </c>
      <c r="B94" s="19" t="s">
        <v>387</v>
      </c>
      <c r="C94" s="19" t="s">
        <v>382</v>
      </c>
      <c r="D94" s="19" t="s">
        <v>212</v>
      </c>
      <c r="E94" s="19" t="s">
        <v>25</v>
      </c>
      <c r="F94" s="19" t="s">
        <v>388</v>
      </c>
      <c r="G94" s="19" t="s">
        <v>71</v>
      </c>
      <c r="H94" s="19" t="s">
        <v>31</v>
      </c>
      <c r="I94" s="19" t="s">
        <v>63</v>
      </c>
      <c r="J94" s="19" t="s">
        <v>27</v>
      </c>
      <c r="K94" s="19" t="s">
        <v>306</v>
      </c>
      <c r="L94" s="19" t="s">
        <v>75</v>
      </c>
      <c r="M94" s="20">
        <v>1585.7</v>
      </c>
      <c r="N94" s="25">
        <v>1.33</v>
      </c>
      <c r="O94" s="19" t="s">
        <v>67</v>
      </c>
      <c r="P94" s="19" t="s">
        <v>29</v>
      </c>
      <c r="Q94" s="19" t="s">
        <v>392</v>
      </c>
      <c r="R94" s="19" t="s">
        <v>393</v>
      </c>
      <c r="S94" s="8">
        <v>45737</v>
      </c>
      <c r="T94" s="8">
        <v>45743</v>
      </c>
      <c r="U94" s="19"/>
      <c r="V94" s="55">
        <v>-1.5999999999999091</v>
      </c>
      <c r="W94" s="15" t="s">
        <v>394</v>
      </c>
      <c r="X94" s="19"/>
      <c r="Y94" s="19"/>
      <c r="Z94" s="19">
        <v>1587.3</v>
      </c>
      <c r="AA94" s="138">
        <v>45737</v>
      </c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254"/>
      <c r="BH94" s="254"/>
      <c r="BI94" s="254"/>
      <c r="BJ94" s="254"/>
      <c r="BK94" s="254"/>
      <c r="BL94" s="254"/>
      <c r="BM94" s="254"/>
      <c r="BN94" s="254"/>
      <c r="BO94" s="254"/>
    </row>
    <row r="95" spans="1:67" s="36" customFormat="1" ht="20.25" customHeight="1">
      <c r="A95" s="7">
        <v>45720</v>
      </c>
      <c r="B95" s="19" t="s">
        <v>360</v>
      </c>
      <c r="C95" s="19" t="s">
        <v>228</v>
      </c>
      <c r="D95" s="19" t="s">
        <v>212</v>
      </c>
      <c r="E95" s="19" t="s">
        <v>25</v>
      </c>
      <c r="F95" s="19" t="s">
        <v>361</v>
      </c>
      <c r="G95" s="19" t="s">
        <v>71</v>
      </c>
      <c r="H95" s="19" t="s">
        <v>31</v>
      </c>
      <c r="I95" s="19" t="s">
        <v>63</v>
      </c>
      <c r="J95" s="19" t="s">
        <v>27</v>
      </c>
      <c r="K95" s="19" t="s">
        <v>306</v>
      </c>
      <c r="L95" s="19" t="s">
        <v>75</v>
      </c>
      <c r="M95" s="20">
        <v>7000</v>
      </c>
      <c r="N95" s="25">
        <v>1.33</v>
      </c>
      <c r="O95" s="19" t="s">
        <v>67</v>
      </c>
      <c r="P95" s="19" t="s">
        <v>29</v>
      </c>
      <c r="Q95" s="19" t="s">
        <v>362</v>
      </c>
      <c r="R95" s="19" t="s">
        <v>363</v>
      </c>
      <c r="S95" s="8">
        <v>45737</v>
      </c>
      <c r="T95" s="8">
        <v>45743</v>
      </c>
      <c r="U95" s="19"/>
      <c r="V95" s="55">
        <f>M95-U95-Z95</f>
        <v>0</v>
      </c>
      <c r="W95" s="15" t="s">
        <v>364</v>
      </c>
      <c r="X95" s="19"/>
      <c r="Y95" s="259"/>
      <c r="Z95" s="220">
        <f>925.4+5499.1+77.7+497.8</f>
        <v>7000</v>
      </c>
      <c r="AA95" s="369">
        <v>45735</v>
      </c>
      <c r="AB95" s="142"/>
      <c r="AC95" s="142"/>
      <c r="BG95" s="254"/>
      <c r="BH95" s="254"/>
      <c r="BI95" s="254"/>
      <c r="BJ95" s="254"/>
      <c r="BK95" s="254"/>
      <c r="BL95" s="254"/>
      <c r="BM95" s="254"/>
      <c r="BN95" s="254"/>
      <c r="BO95" s="254"/>
    </row>
    <row r="96" spans="1:67" s="87" customFormat="1" ht="20.25" customHeight="1">
      <c r="A96" s="7">
        <v>45720</v>
      </c>
      <c r="B96" s="19" t="s">
        <v>360</v>
      </c>
      <c r="C96" s="19" t="s">
        <v>228</v>
      </c>
      <c r="D96" s="19" t="s">
        <v>212</v>
      </c>
      <c r="E96" s="19" t="s">
        <v>25</v>
      </c>
      <c r="F96" s="19" t="s">
        <v>361</v>
      </c>
      <c r="G96" s="19" t="s">
        <v>71</v>
      </c>
      <c r="H96" s="19" t="s">
        <v>31</v>
      </c>
      <c r="I96" s="19" t="s">
        <v>63</v>
      </c>
      <c r="J96" s="19" t="s">
        <v>27</v>
      </c>
      <c r="K96" s="19" t="s">
        <v>306</v>
      </c>
      <c r="L96" s="19" t="s">
        <v>75</v>
      </c>
      <c r="M96" s="20">
        <v>7000</v>
      </c>
      <c r="N96" s="25">
        <v>1.33</v>
      </c>
      <c r="O96" s="19" t="s">
        <v>67</v>
      </c>
      <c r="P96" s="19" t="s">
        <v>29</v>
      </c>
      <c r="Q96" s="19" t="s">
        <v>362</v>
      </c>
      <c r="R96" s="19" t="s">
        <v>363</v>
      </c>
      <c r="S96" s="8">
        <v>45737</v>
      </c>
      <c r="T96" s="8">
        <v>45743</v>
      </c>
      <c r="U96" s="19"/>
      <c r="V96" s="55">
        <v>0</v>
      </c>
      <c r="W96" s="15" t="s">
        <v>364</v>
      </c>
      <c r="X96" s="19"/>
      <c r="Y96" s="19"/>
      <c r="Z96" s="19">
        <v>7000</v>
      </c>
      <c r="AA96" s="18">
        <v>45735</v>
      </c>
      <c r="AB96" s="142"/>
      <c r="AC96" s="142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254"/>
      <c r="BH96" s="254"/>
      <c r="BI96" s="254"/>
      <c r="BJ96" s="254"/>
      <c r="BK96" s="254"/>
      <c r="BL96" s="254"/>
      <c r="BM96" s="254"/>
      <c r="BN96" s="254"/>
      <c r="BO96" s="254"/>
    </row>
    <row r="97" spans="1:67" s="29" customFormat="1" ht="20.25" customHeight="1">
      <c r="A97" s="7">
        <v>45720</v>
      </c>
      <c r="B97" s="19" t="s">
        <v>369</v>
      </c>
      <c r="C97" s="19" t="s">
        <v>211</v>
      </c>
      <c r="D97" s="19" t="s">
        <v>212</v>
      </c>
      <c r="E97" s="19" t="s">
        <v>25</v>
      </c>
      <c r="F97" s="19" t="s">
        <v>370</v>
      </c>
      <c r="G97" s="19" t="s">
        <v>71</v>
      </c>
      <c r="H97" s="19" t="s">
        <v>26</v>
      </c>
      <c r="I97" s="19" t="s">
        <v>63</v>
      </c>
      <c r="J97" s="19" t="s">
        <v>27</v>
      </c>
      <c r="K97" s="19" t="s">
        <v>372</v>
      </c>
      <c r="L97" s="19" t="s">
        <v>75</v>
      </c>
      <c r="M97" s="20">
        <v>593</v>
      </c>
      <c r="N97" s="25">
        <v>1.33</v>
      </c>
      <c r="O97" s="19" t="s">
        <v>67</v>
      </c>
      <c r="P97" s="19" t="s">
        <v>29</v>
      </c>
      <c r="Q97" s="19" t="s">
        <v>355</v>
      </c>
      <c r="R97" s="19" t="s">
        <v>355</v>
      </c>
      <c r="S97" s="8">
        <v>45740</v>
      </c>
      <c r="T97" s="8">
        <v>45743</v>
      </c>
      <c r="U97" s="19"/>
      <c r="V97" s="55">
        <v>-1.5</v>
      </c>
      <c r="W97" s="15" t="s">
        <v>373</v>
      </c>
      <c r="X97" s="19"/>
      <c r="Y97" s="80"/>
      <c r="Z97" s="80">
        <v>594.5</v>
      </c>
      <c r="AA97" s="38">
        <v>45736</v>
      </c>
      <c r="AB97" s="141"/>
      <c r="AC97" s="141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254"/>
      <c r="BH97" s="254"/>
      <c r="BI97" s="254"/>
      <c r="BJ97" s="254"/>
      <c r="BK97" s="254"/>
      <c r="BL97" s="254"/>
      <c r="BM97" s="254"/>
      <c r="BN97" s="254"/>
      <c r="BO97" s="254"/>
    </row>
    <row r="98" spans="1:67" s="29" customFormat="1" ht="20.25" customHeight="1">
      <c r="A98" s="7">
        <v>45720</v>
      </c>
      <c r="B98" s="19" t="s">
        <v>377</v>
      </c>
      <c r="C98" s="19" t="s">
        <v>211</v>
      </c>
      <c r="D98" s="19" t="s">
        <v>212</v>
      </c>
      <c r="E98" s="19" t="s">
        <v>25</v>
      </c>
      <c r="F98" s="19" t="s">
        <v>378</v>
      </c>
      <c r="G98" s="19" t="s">
        <v>71</v>
      </c>
      <c r="H98" s="19" t="s">
        <v>26</v>
      </c>
      <c r="I98" s="19" t="s">
        <v>63</v>
      </c>
      <c r="J98" s="19" t="s">
        <v>27</v>
      </c>
      <c r="K98" s="19" t="s">
        <v>372</v>
      </c>
      <c r="L98" s="19" t="s">
        <v>75</v>
      </c>
      <c r="M98" s="20">
        <v>3784</v>
      </c>
      <c r="N98" s="25">
        <v>1.33</v>
      </c>
      <c r="O98" s="19" t="s">
        <v>67</v>
      </c>
      <c r="P98" s="19" t="s">
        <v>29</v>
      </c>
      <c r="Q98" s="19" t="s">
        <v>29</v>
      </c>
      <c r="R98" s="19" t="s">
        <v>355</v>
      </c>
      <c r="S98" s="8">
        <v>45756</v>
      </c>
      <c r="T98" s="8">
        <v>45756</v>
      </c>
      <c r="U98" s="19"/>
      <c r="V98" s="55">
        <v>-1.3999999999998636</v>
      </c>
      <c r="W98" s="15" t="s">
        <v>380</v>
      </c>
      <c r="X98" s="19"/>
      <c r="Y98" s="19"/>
      <c r="Z98" s="19">
        <v>2130.6999999999998</v>
      </c>
      <c r="AA98" s="18">
        <v>45758</v>
      </c>
      <c r="AB98" s="141">
        <v>1654.7</v>
      </c>
      <c r="AC98" s="86">
        <v>45762</v>
      </c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254"/>
      <c r="BH98" s="254"/>
      <c r="BI98" s="254"/>
      <c r="BJ98" s="254"/>
      <c r="BK98" s="254"/>
      <c r="BL98" s="254"/>
      <c r="BM98" s="254"/>
      <c r="BN98" s="254"/>
      <c r="BO98" s="254"/>
    </row>
    <row r="99" spans="1:67" s="29" customFormat="1" ht="20.25" customHeight="1">
      <c r="A99" s="7">
        <v>45720</v>
      </c>
      <c r="B99" s="19" t="s">
        <v>369</v>
      </c>
      <c r="C99" s="19" t="s">
        <v>211</v>
      </c>
      <c r="D99" s="19" t="s">
        <v>212</v>
      </c>
      <c r="E99" s="19" t="s">
        <v>25</v>
      </c>
      <c r="F99" s="19" t="s">
        <v>370</v>
      </c>
      <c r="G99" s="19" t="s">
        <v>71</v>
      </c>
      <c r="H99" s="19" t="s">
        <v>26</v>
      </c>
      <c r="I99" s="19" t="s">
        <v>63</v>
      </c>
      <c r="J99" s="19" t="s">
        <v>27</v>
      </c>
      <c r="K99" s="19" t="s">
        <v>332</v>
      </c>
      <c r="L99" s="19" t="s">
        <v>75</v>
      </c>
      <c r="M99" s="20">
        <v>548</v>
      </c>
      <c r="N99" s="25">
        <v>1.33</v>
      </c>
      <c r="O99" s="19" t="s">
        <v>67</v>
      </c>
      <c r="P99" s="19" t="s">
        <v>29</v>
      </c>
      <c r="Q99" s="19" t="s">
        <v>375</v>
      </c>
      <c r="R99" s="19" t="s">
        <v>375</v>
      </c>
      <c r="S99" s="8">
        <v>45740</v>
      </c>
      <c r="T99" s="8">
        <v>45743</v>
      </c>
      <c r="U99" s="19"/>
      <c r="V99" s="55">
        <v>-2.8999999999999773</v>
      </c>
      <c r="W99" s="15" t="s">
        <v>376</v>
      </c>
      <c r="X99" s="19"/>
      <c r="Y99" s="19"/>
      <c r="Z99" s="19">
        <v>550.9</v>
      </c>
      <c r="AA99" s="18">
        <v>45740</v>
      </c>
      <c r="AB99" s="141"/>
      <c r="AC99" s="141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28"/>
      <c r="BH99" s="28"/>
      <c r="BI99" s="28"/>
      <c r="BJ99" s="28"/>
      <c r="BK99" s="28"/>
      <c r="BL99" s="28"/>
      <c r="BM99" s="28"/>
      <c r="BN99" s="28"/>
      <c r="BO99" s="28"/>
    </row>
    <row r="100" spans="1:67" s="29" customFormat="1" ht="20.25" customHeight="1">
      <c r="A100" s="7">
        <v>45722</v>
      </c>
      <c r="B100" s="19" t="s">
        <v>421</v>
      </c>
      <c r="C100" s="19" t="s">
        <v>243</v>
      </c>
      <c r="D100" s="19" t="s">
        <v>212</v>
      </c>
      <c r="E100" s="19" t="s">
        <v>25</v>
      </c>
      <c r="F100" s="19" t="s">
        <v>422</v>
      </c>
      <c r="G100" s="19" t="s">
        <v>71</v>
      </c>
      <c r="H100" s="19" t="s">
        <v>31</v>
      </c>
      <c r="I100" s="19" t="s">
        <v>63</v>
      </c>
      <c r="J100" s="19" t="s">
        <v>27</v>
      </c>
      <c r="K100" s="19" t="s">
        <v>245</v>
      </c>
      <c r="L100" s="19" t="s">
        <v>75</v>
      </c>
      <c r="M100" s="20">
        <v>4171.7</v>
      </c>
      <c r="N100" s="25">
        <v>1.33</v>
      </c>
      <c r="O100" s="19" t="s">
        <v>67</v>
      </c>
      <c r="P100" s="19" t="s">
        <v>29</v>
      </c>
      <c r="Q100" s="19" t="s">
        <v>29</v>
      </c>
      <c r="R100" s="19" t="s">
        <v>29</v>
      </c>
      <c r="S100" s="8">
        <v>45740</v>
      </c>
      <c r="T100" s="8">
        <v>45740</v>
      </c>
      <c r="U100" s="19"/>
      <c r="V100" s="55">
        <v>-0.1000000000003638</v>
      </c>
      <c r="W100" s="15" t="s">
        <v>423</v>
      </c>
      <c r="X100" s="19"/>
      <c r="Y100" s="19"/>
      <c r="Z100" s="19">
        <v>4171.8</v>
      </c>
      <c r="AA100" s="18">
        <v>45755</v>
      </c>
      <c r="AB100" s="141"/>
      <c r="AC100" s="141"/>
      <c r="AD100" s="36"/>
      <c r="AE100" s="36"/>
      <c r="AF100" s="36"/>
      <c r="AG100" s="36"/>
      <c r="AH100" s="36"/>
      <c r="AI100" s="36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</row>
    <row r="101" spans="1:67" s="140" customFormat="1" ht="20.25" customHeight="1">
      <c r="A101" s="7">
        <v>45722</v>
      </c>
      <c r="B101" s="19" t="s">
        <v>418</v>
      </c>
      <c r="C101" s="19" t="s">
        <v>243</v>
      </c>
      <c r="D101" s="19" t="s">
        <v>212</v>
      </c>
      <c r="E101" s="19" t="s">
        <v>25</v>
      </c>
      <c r="F101" s="19" t="s">
        <v>419</v>
      </c>
      <c r="G101" s="19" t="s">
        <v>71</v>
      </c>
      <c r="H101" s="19" t="s">
        <v>31</v>
      </c>
      <c r="I101" s="19" t="s">
        <v>63</v>
      </c>
      <c r="J101" s="19" t="s">
        <v>27</v>
      </c>
      <c r="K101" s="19" t="s">
        <v>218</v>
      </c>
      <c r="L101" s="19" t="s">
        <v>75</v>
      </c>
      <c r="M101" s="20">
        <v>3209.8</v>
      </c>
      <c r="N101" s="25">
        <v>1.33</v>
      </c>
      <c r="O101" s="19" t="s">
        <v>67</v>
      </c>
      <c r="P101" s="19" t="s">
        <v>29</v>
      </c>
      <c r="Q101" s="19" t="s">
        <v>29</v>
      </c>
      <c r="R101" s="19" t="s">
        <v>29</v>
      </c>
      <c r="S101" s="8">
        <v>45740</v>
      </c>
      <c r="T101" s="8">
        <v>45740</v>
      </c>
      <c r="U101" s="19"/>
      <c r="V101" s="55">
        <f>M101-U101-Z101-AB101</f>
        <v>-9.9999999999909051E-2</v>
      </c>
      <c r="W101" s="15" t="s">
        <v>420</v>
      </c>
      <c r="X101" s="1"/>
      <c r="Y101" s="104"/>
      <c r="Z101" s="104">
        <v>1141.8</v>
      </c>
      <c r="AA101" s="86">
        <v>45755</v>
      </c>
      <c r="AB101" s="141">
        <v>2068.1</v>
      </c>
      <c r="AC101" s="86">
        <v>45763</v>
      </c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29"/>
      <c r="BH101" s="29"/>
      <c r="BI101" s="29"/>
      <c r="BJ101" s="29"/>
      <c r="BK101" s="29"/>
      <c r="BL101" s="29"/>
      <c r="BM101" s="29"/>
      <c r="BN101" s="29"/>
      <c r="BO101" s="29"/>
    </row>
    <row r="102" spans="1:67" s="87" customFormat="1" ht="20.25" customHeight="1">
      <c r="A102" s="7">
        <v>45722</v>
      </c>
      <c r="B102" s="19" t="s">
        <v>410</v>
      </c>
      <c r="C102" s="19" t="s">
        <v>211</v>
      </c>
      <c r="D102" s="19" t="s">
        <v>212</v>
      </c>
      <c r="E102" s="19" t="s">
        <v>25</v>
      </c>
      <c r="F102" s="19" t="s">
        <v>411</v>
      </c>
      <c r="G102" s="19" t="s">
        <v>71</v>
      </c>
      <c r="H102" s="19" t="s">
        <v>26</v>
      </c>
      <c r="I102" s="19" t="s">
        <v>63</v>
      </c>
      <c r="J102" s="19" t="s">
        <v>27</v>
      </c>
      <c r="K102" s="19" t="s">
        <v>218</v>
      </c>
      <c r="L102" s="19" t="s">
        <v>75</v>
      </c>
      <c r="M102" s="20">
        <v>1260</v>
      </c>
      <c r="N102" s="25">
        <v>1.33</v>
      </c>
      <c r="O102" s="19" t="s">
        <v>67</v>
      </c>
      <c r="P102" s="19" t="s">
        <v>29</v>
      </c>
      <c r="Q102" s="19" t="s">
        <v>29</v>
      </c>
      <c r="R102" s="19" t="s">
        <v>240</v>
      </c>
      <c r="S102" s="8">
        <v>45810</v>
      </c>
      <c r="T102" s="8">
        <v>45810</v>
      </c>
      <c r="U102" s="19"/>
      <c r="V102" s="55">
        <f>M102-U102-Z102-AB102</f>
        <v>-1.1999999999998181</v>
      </c>
      <c r="W102" s="15" t="s">
        <v>412</v>
      </c>
      <c r="X102" s="1"/>
      <c r="Y102" s="104"/>
      <c r="Z102" s="104">
        <f>67.5+154.4+770.4+268.9</f>
        <v>1261.1999999999998</v>
      </c>
      <c r="AA102" s="86">
        <v>45805</v>
      </c>
      <c r="AB102" s="36"/>
      <c r="AC102" s="36"/>
      <c r="AD102" s="36"/>
      <c r="AE102" s="36"/>
      <c r="AF102" s="36"/>
      <c r="AG102" s="36"/>
      <c r="AH102" s="36"/>
      <c r="AI102" s="36"/>
      <c r="AJ102" s="191"/>
      <c r="AK102" s="192"/>
      <c r="AL102" s="191"/>
      <c r="AM102" s="192"/>
      <c r="AN102" s="191"/>
      <c r="AO102" s="192"/>
      <c r="AP102" s="191"/>
      <c r="AQ102" s="192"/>
      <c r="AR102" s="191"/>
      <c r="AS102" s="192"/>
      <c r="AT102" s="191"/>
      <c r="AU102" s="192"/>
      <c r="AV102" s="191"/>
      <c r="AW102" s="192"/>
      <c r="AX102" s="191"/>
      <c r="AY102" s="190"/>
      <c r="AZ102" s="190"/>
      <c r="BA102" s="190"/>
      <c r="BB102" s="190"/>
      <c r="BC102" s="190"/>
      <c r="BD102" s="190"/>
      <c r="BE102" s="190"/>
      <c r="BF102" s="190"/>
      <c r="BG102" s="29"/>
      <c r="BH102" s="29"/>
      <c r="BI102" s="29"/>
      <c r="BJ102" s="29"/>
      <c r="BK102" s="29"/>
      <c r="BL102" s="29"/>
      <c r="BM102" s="29"/>
      <c r="BN102" s="29"/>
      <c r="BO102" s="29"/>
    </row>
    <row r="103" spans="1:67" s="139" customFormat="1" ht="20.25" customHeight="1">
      <c r="A103" s="7">
        <v>45722</v>
      </c>
      <c r="B103" s="19" t="s">
        <v>405</v>
      </c>
      <c r="C103" s="19" t="s">
        <v>304</v>
      </c>
      <c r="D103" s="19" t="s">
        <v>212</v>
      </c>
      <c r="E103" s="19" t="s">
        <v>25</v>
      </c>
      <c r="F103" s="19" t="s">
        <v>406</v>
      </c>
      <c r="G103" s="19" t="s">
        <v>71</v>
      </c>
      <c r="H103" s="19" t="s">
        <v>31</v>
      </c>
      <c r="I103" s="19" t="s">
        <v>63</v>
      </c>
      <c r="J103" s="19" t="s">
        <v>27</v>
      </c>
      <c r="K103" s="19" t="s">
        <v>306</v>
      </c>
      <c r="L103" s="19" t="s">
        <v>75</v>
      </c>
      <c r="M103" s="20">
        <v>8125</v>
      </c>
      <c r="N103" s="25">
        <v>1.33</v>
      </c>
      <c r="O103" s="19" t="s">
        <v>67</v>
      </c>
      <c r="P103" s="19" t="s">
        <v>29</v>
      </c>
      <c r="Q103" s="19" t="s">
        <v>29</v>
      </c>
      <c r="R103" s="19" t="s">
        <v>407</v>
      </c>
      <c r="S103" s="8">
        <v>45736</v>
      </c>
      <c r="T103" s="8">
        <v>45740</v>
      </c>
      <c r="U103" s="19"/>
      <c r="V103" s="55">
        <f>M103-U103-Z103-AB103</f>
        <v>-0.6000000000003638</v>
      </c>
      <c r="W103" s="15" t="s">
        <v>408</v>
      </c>
      <c r="X103" s="19"/>
      <c r="Y103" s="19"/>
      <c r="Z103" s="19">
        <v>8125.6</v>
      </c>
      <c r="AA103" s="18">
        <v>45755</v>
      </c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254"/>
      <c r="BH103" s="254"/>
      <c r="BI103" s="254"/>
      <c r="BJ103" s="254"/>
      <c r="BK103" s="254"/>
      <c r="BL103" s="254"/>
      <c r="BM103" s="254"/>
      <c r="BN103" s="254"/>
      <c r="BO103" s="254"/>
    </row>
    <row r="104" spans="1:67" s="140" customFormat="1" ht="20.25" customHeight="1">
      <c r="A104" s="7">
        <v>45722</v>
      </c>
      <c r="B104" s="19" t="s">
        <v>414</v>
      </c>
      <c r="C104" s="19" t="s">
        <v>267</v>
      </c>
      <c r="D104" s="19" t="s">
        <v>212</v>
      </c>
      <c r="E104" s="19" t="s">
        <v>25</v>
      </c>
      <c r="F104" s="19" t="s">
        <v>415</v>
      </c>
      <c r="G104" s="19" t="s">
        <v>71</v>
      </c>
      <c r="H104" s="19" t="s">
        <v>26</v>
      </c>
      <c r="I104" s="19" t="s">
        <v>63</v>
      </c>
      <c r="J104" s="19" t="s">
        <v>27</v>
      </c>
      <c r="K104" s="19" t="s">
        <v>332</v>
      </c>
      <c r="L104" s="19" t="s">
        <v>75</v>
      </c>
      <c r="M104" s="20">
        <v>5000</v>
      </c>
      <c r="N104" s="25">
        <v>1.33</v>
      </c>
      <c r="O104" s="19" t="s">
        <v>67</v>
      </c>
      <c r="P104" s="19" t="s">
        <v>29</v>
      </c>
      <c r="Q104" s="19" t="s">
        <v>29</v>
      </c>
      <c r="R104" s="19" t="s">
        <v>416</v>
      </c>
      <c r="S104" s="8">
        <v>45741</v>
      </c>
      <c r="T104" s="8">
        <v>45741</v>
      </c>
      <c r="U104" s="126"/>
      <c r="V104" s="55">
        <f>M104-U104-Z104-AB104-AD104</f>
        <v>-0.49999999999988631</v>
      </c>
      <c r="W104" s="15" t="s">
        <v>417</v>
      </c>
      <c r="X104" s="19"/>
      <c r="Y104" s="104"/>
      <c r="Z104" s="104">
        <v>1064.7</v>
      </c>
      <c r="AA104" s="86">
        <v>45740</v>
      </c>
      <c r="AB104" s="235">
        <v>2986.9</v>
      </c>
      <c r="AC104" s="86">
        <v>45756</v>
      </c>
      <c r="AD104" s="141">
        <v>948.9</v>
      </c>
      <c r="AE104" s="86">
        <v>45769</v>
      </c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28"/>
      <c r="BH104" s="28"/>
      <c r="BI104" s="28"/>
      <c r="BJ104" s="28"/>
      <c r="BK104" s="28"/>
      <c r="BL104" s="28"/>
      <c r="BM104" s="28"/>
      <c r="BN104" s="28"/>
      <c r="BO104" s="28"/>
    </row>
    <row r="105" spans="1:67" s="87" customFormat="1" ht="20.25" customHeight="1">
      <c r="A105" s="7">
        <v>45722</v>
      </c>
      <c r="B105" s="19" t="s">
        <v>410</v>
      </c>
      <c r="C105" s="19" t="s">
        <v>211</v>
      </c>
      <c r="D105" s="19" t="s">
        <v>212</v>
      </c>
      <c r="E105" s="19" t="s">
        <v>25</v>
      </c>
      <c r="F105" s="19" t="s">
        <v>411</v>
      </c>
      <c r="G105" s="19" t="s">
        <v>71</v>
      </c>
      <c r="H105" s="19" t="s">
        <v>26</v>
      </c>
      <c r="I105" s="19" t="s">
        <v>63</v>
      </c>
      <c r="J105" s="19" t="s">
        <v>27</v>
      </c>
      <c r="K105" s="19" t="s">
        <v>332</v>
      </c>
      <c r="L105" s="19" t="s">
        <v>75</v>
      </c>
      <c r="M105" s="20">
        <v>1102</v>
      </c>
      <c r="N105" s="25">
        <v>1.33</v>
      </c>
      <c r="O105" s="19" t="s">
        <v>67</v>
      </c>
      <c r="P105" s="19" t="s">
        <v>29</v>
      </c>
      <c r="Q105" s="19" t="s">
        <v>29</v>
      </c>
      <c r="R105" s="19" t="s">
        <v>375</v>
      </c>
      <c r="S105" s="8">
        <v>45810</v>
      </c>
      <c r="T105" s="8">
        <v>45810</v>
      </c>
      <c r="U105" s="19"/>
      <c r="V105" s="55">
        <v>-1.5999999999999091</v>
      </c>
      <c r="W105" s="15" t="s">
        <v>413</v>
      </c>
      <c r="X105" s="19"/>
      <c r="Y105" s="104"/>
      <c r="Z105" s="104">
        <v>1103.5999999999999</v>
      </c>
      <c r="AA105" s="86">
        <v>45811</v>
      </c>
      <c r="AB105" s="141"/>
      <c r="AC105" s="36"/>
      <c r="AD105" s="36"/>
      <c r="AE105" s="36"/>
      <c r="AF105" s="36"/>
      <c r="AG105" s="36"/>
      <c r="AH105" s="36"/>
      <c r="AI105" s="36"/>
      <c r="AJ105" s="191"/>
      <c r="AK105" s="192"/>
      <c r="AL105" s="191"/>
      <c r="AM105" s="192"/>
      <c r="AN105" s="191"/>
      <c r="AO105" s="192"/>
      <c r="AP105" s="191"/>
      <c r="AQ105" s="192"/>
      <c r="AR105" s="191"/>
      <c r="AS105" s="192"/>
      <c r="AT105" s="191"/>
      <c r="AU105" s="192"/>
      <c r="AV105" s="191"/>
      <c r="AW105" s="192"/>
      <c r="AX105" s="191"/>
      <c r="AY105" s="190"/>
      <c r="AZ105" s="190"/>
      <c r="BA105" s="190"/>
      <c r="BB105" s="190"/>
      <c r="BC105" s="190"/>
      <c r="BD105" s="190"/>
      <c r="BE105" s="190"/>
      <c r="BF105" s="190"/>
      <c r="BG105" s="28"/>
      <c r="BH105" s="28"/>
      <c r="BI105" s="28"/>
      <c r="BJ105" s="28"/>
      <c r="BK105" s="28"/>
      <c r="BL105" s="28"/>
      <c r="BM105" s="28"/>
      <c r="BN105" s="28"/>
      <c r="BO105" s="28"/>
    </row>
    <row r="106" spans="1:67" s="87" customFormat="1" ht="20.25" customHeight="1">
      <c r="A106" s="7">
        <v>45726</v>
      </c>
      <c r="B106" s="19" t="s">
        <v>428</v>
      </c>
      <c r="C106" s="19" t="s">
        <v>267</v>
      </c>
      <c r="D106" s="19" t="s">
        <v>212</v>
      </c>
      <c r="E106" s="19" t="s">
        <v>34</v>
      </c>
      <c r="F106" s="19" t="s">
        <v>429</v>
      </c>
      <c r="G106" s="19" t="s">
        <v>71</v>
      </c>
      <c r="H106" s="19" t="s">
        <v>26</v>
      </c>
      <c r="I106" s="19" t="s">
        <v>63</v>
      </c>
      <c r="J106" s="19" t="s">
        <v>27</v>
      </c>
      <c r="K106" s="19" t="s">
        <v>218</v>
      </c>
      <c r="L106" s="19" t="s">
        <v>75</v>
      </c>
      <c r="M106" s="20">
        <v>50</v>
      </c>
      <c r="N106" s="25">
        <v>1.33</v>
      </c>
      <c r="O106" s="19" t="s">
        <v>67</v>
      </c>
      <c r="P106" s="19" t="s">
        <v>29</v>
      </c>
      <c r="Q106" s="19" t="s">
        <v>29</v>
      </c>
      <c r="R106" s="19" t="s">
        <v>29</v>
      </c>
      <c r="S106" s="8">
        <v>45733</v>
      </c>
      <c r="T106" s="8">
        <v>45740</v>
      </c>
      <c r="U106" s="19"/>
      <c r="V106" s="55">
        <v>-0.5</v>
      </c>
      <c r="W106" s="15" t="s">
        <v>430</v>
      </c>
      <c r="X106" s="1"/>
      <c r="Y106" s="104"/>
      <c r="Z106" s="104">
        <v>50.5</v>
      </c>
      <c r="AA106" s="86">
        <v>45740</v>
      </c>
      <c r="AB106" s="141"/>
      <c r="AC106" s="141"/>
      <c r="AD106" s="141"/>
      <c r="AE106" s="141"/>
      <c r="AF106" s="36"/>
      <c r="AG106" s="36"/>
      <c r="AH106" s="36"/>
      <c r="AI106" s="36"/>
      <c r="AJ106" s="36"/>
      <c r="AK106" s="36"/>
      <c r="AL106" s="36"/>
      <c r="AM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29"/>
      <c r="BH106" s="29"/>
      <c r="BI106" s="29"/>
      <c r="BJ106" s="29"/>
      <c r="BK106" s="29"/>
      <c r="BL106" s="29"/>
      <c r="BM106" s="29"/>
      <c r="BN106" s="29"/>
      <c r="BO106" s="29"/>
    </row>
    <row r="107" spans="1:67" s="87" customFormat="1" ht="20.25" customHeight="1">
      <c r="A107" s="7">
        <v>45726</v>
      </c>
      <c r="B107" s="19" t="s">
        <v>424</v>
      </c>
      <c r="C107" s="19" t="s">
        <v>315</v>
      </c>
      <c r="D107" s="19" t="s">
        <v>212</v>
      </c>
      <c r="E107" s="19" t="s">
        <v>25</v>
      </c>
      <c r="F107" s="19" t="s">
        <v>425</v>
      </c>
      <c r="G107" s="19" t="s">
        <v>71</v>
      </c>
      <c r="H107" s="19" t="s">
        <v>26</v>
      </c>
      <c r="I107" s="19" t="s">
        <v>63</v>
      </c>
      <c r="J107" s="19" t="s">
        <v>27</v>
      </c>
      <c r="K107" s="19" t="s">
        <v>239</v>
      </c>
      <c r="L107" s="19" t="s">
        <v>35</v>
      </c>
      <c r="M107" s="20">
        <v>12688</v>
      </c>
      <c r="N107" s="25">
        <v>1.33</v>
      </c>
      <c r="O107" s="19" t="s">
        <v>67</v>
      </c>
      <c r="P107" s="19" t="s">
        <v>29</v>
      </c>
      <c r="Q107" s="19" t="s">
        <v>426</v>
      </c>
      <c r="R107" s="19" t="s">
        <v>29</v>
      </c>
      <c r="S107" s="8">
        <v>45754</v>
      </c>
      <c r="T107" s="8">
        <v>45754</v>
      </c>
      <c r="U107" s="19"/>
      <c r="V107" s="55">
        <v>-2.6999999999993634</v>
      </c>
      <c r="W107" s="15" t="s">
        <v>427</v>
      </c>
      <c r="X107" s="1"/>
      <c r="Y107" s="104"/>
      <c r="Z107" s="104">
        <v>2789.9</v>
      </c>
      <c r="AA107" s="86">
        <v>45756</v>
      </c>
      <c r="AB107" s="104">
        <v>756</v>
      </c>
      <c r="AC107" s="86">
        <v>45758</v>
      </c>
      <c r="AD107" s="141">
        <v>2624.2</v>
      </c>
      <c r="AE107" s="86">
        <v>45763</v>
      </c>
      <c r="AF107" s="141">
        <v>2619.4</v>
      </c>
      <c r="AG107" s="86">
        <v>45769</v>
      </c>
      <c r="AH107" s="141">
        <v>2083.1999999999998</v>
      </c>
      <c r="AI107" s="86">
        <v>45770</v>
      </c>
      <c r="AJ107" s="104">
        <v>1818</v>
      </c>
      <c r="AK107" s="86">
        <v>45786</v>
      </c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28"/>
      <c r="BH107" s="28"/>
      <c r="BI107" s="28"/>
      <c r="BJ107" s="28"/>
      <c r="BK107" s="28"/>
      <c r="BL107" s="28"/>
      <c r="BM107" s="28"/>
      <c r="BN107" s="28"/>
      <c r="BO107" s="28"/>
    </row>
    <row r="108" spans="1:67" s="36" customFormat="1" ht="20.25" customHeight="1">
      <c r="A108" s="7">
        <v>45726</v>
      </c>
      <c r="B108" s="19" t="s">
        <v>428</v>
      </c>
      <c r="C108" s="19" t="s">
        <v>267</v>
      </c>
      <c r="D108" s="19" t="s">
        <v>212</v>
      </c>
      <c r="E108" s="19" t="s">
        <v>34</v>
      </c>
      <c r="F108" s="19" t="s">
        <v>429</v>
      </c>
      <c r="G108" s="19" t="s">
        <v>71</v>
      </c>
      <c r="H108" s="19" t="s">
        <v>26</v>
      </c>
      <c r="I108" s="19" t="s">
        <v>63</v>
      </c>
      <c r="J108" s="19" t="s">
        <v>27</v>
      </c>
      <c r="K108" s="19" t="s">
        <v>372</v>
      </c>
      <c r="L108" s="19" t="s">
        <v>75</v>
      </c>
      <c r="M108" s="20">
        <v>75</v>
      </c>
      <c r="N108" s="25">
        <v>1.33</v>
      </c>
      <c r="O108" s="19" t="s">
        <v>67</v>
      </c>
      <c r="P108" s="19" t="s">
        <v>29</v>
      </c>
      <c r="Q108" s="19" t="s">
        <v>29</v>
      </c>
      <c r="R108" s="19" t="s">
        <v>29</v>
      </c>
      <c r="S108" s="8">
        <v>45733</v>
      </c>
      <c r="T108" s="8">
        <v>45740</v>
      </c>
      <c r="U108" s="19"/>
      <c r="V108" s="55">
        <v>-1.2000000000000028</v>
      </c>
      <c r="W108" s="15" t="s">
        <v>432</v>
      </c>
      <c r="X108" s="19"/>
      <c r="Y108" s="19"/>
      <c r="Z108" s="19">
        <v>76.2</v>
      </c>
      <c r="AA108" s="18">
        <v>45740</v>
      </c>
      <c r="AB108" s="141"/>
      <c r="AC108" s="141"/>
      <c r="AD108" s="141"/>
      <c r="AE108" s="141"/>
      <c r="BG108" s="29"/>
      <c r="BH108" s="29"/>
      <c r="BI108" s="29"/>
      <c r="BJ108" s="29"/>
      <c r="BK108" s="29"/>
      <c r="BL108" s="29"/>
      <c r="BM108" s="29"/>
      <c r="BN108" s="29"/>
      <c r="BO108" s="29"/>
    </row>
    <row r="109" spans="1:67" s="139" customFormat="1" ht="20.25" customHeight="1">
      <c r="A109" s="7">
        <v>45727</v>
      </c>
      <c r="B109" s="19" t="s">
        <v>434</v>
      </c>
      <c r="C109" s="19" t="s">
        <v>304</v>
      </c>
      <c r="D109" s="19" t="s">
        <v>212</v>
      </c>
      <c r="E109" s="19" t="s">
        <v>25</v>
      </c>
      <c r="F109" s="19" t="s">
        <v>435</v>
      </c>
      <c r="G109" s="19" t="s">
        <v>71</v>
      </c>
      <c r="H109" s="19" t="s">
        <v>31</v>
      </c>
      <c r="I109" s="19" t="s">
        <v>63</v>
      </c>
      <c r="J109" s="19" t="s">
        <v>27</v>
      </c>
      <c r="K109" s="19" t="s">
        <v>372</v>
      </c>
      <c r="L109" s="19" t="s">
        <v>75</v>
      </c>
      <c r="M109" s="20">
        <v>1100</v>
      </c>
      <c r="N109" s="25">
        <v>1.33</v>
      </c>
      <c r="O109" s="19" t="s">
        <v>67</v>
      </c>
      <c r="P109" s="19" t="s">
        <v>29</v>
      </c>
      <c r="Q109" s="19" t="s">
        <v>29</v>
      </c>
      <c r="R109" s="19" t="s">
        <v>29</v>
      </c>
      <c r="S109" s="8">
        <v>45756</v>
      </c>
      <c r="T109" s="8">
        <v>45756</v>
      </c>
      <c r="U109" s="19"/>
      <c r="V109" s="55">
        <v>-1.5999999999999091</v>
      </c>
      <c r="W109" s="15" t="s">
        <v>436</v>
      </c>
      <c r="X109" s="19"/>
      <c r="Y109" s="80"/>
      <c r="Z109" s="80">
        <v>1101.5999999999999</v>
      </c>
      <c r="AA109" s="38">
        <v>45755</v>
      </c>
      <c r="AB109" s="120"/>
      <c r="AC109" s="120"/>
      <c r="AD109" s="120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29"/>
      <c r="BH109" s="29"/>
      <c r="BI109" s="29"/>
      <c r="BJ109" s="29"/>
      <c r="BK109" s="29"/>
      <c r="BL109" s="29"/>
      <c r="BM109" s="29"/>
      <c r="BN109" s="29"/>
      <c r="BO109" s="29"/>
    </row>
    <row r="110" spans="1:67" s="139" customFormat="1" ht="20.25" customHeight="1">
      <c r="A110" s="7">
        <v>45728</v>
      </c>
      <c r="B110" s="19" t="s">
        <v>442</v>
      </c>
      <c r="C110" s="19" t="s">
        <v>243</v>
      </c>
      <c r="D110" s="19" t="s">
        <v>212</v>
      </c>
      <c r="E110" s="19" t="s">
        <v>25</v>
      </c>
      <c r="F110" s="19" t="s">
        <v>443</v>
      </c>
      <c r="G110" s="19" t="s">
        <v>71</v>
      </c>
      <c r="H110" s="19" t="s">
        <v>26</v>
      </c>
      <c r="I110" s="19" t="s">
        <v>63</v>
      </c>
      <c r="J110" s="19" t="s">
        <v>27</v>
      </c>
      <c r="K110" s="19" t="s">
        <v>218</v>
      </c>
      <c r="L110" s="19" t="s">
        <v>75</v>
      </c>
      <c r="M110" s="20">
        <v>707</v>
      </c>
      <c r="N110" s="25">
        <v>1.33</v>
      </c>
      <c r="O110" s="19" t="s">
        <v>67</v>
      </c>
      <c r="P110" s="19" t="s">
        <v>29</v>
      </c>
      <c r="Q110" s="19" t="s">
        <v>29</v>
      </c>
      <c r="R110" s="19" t="s">
        <v>444</v>
      </c>
      <c r="S110" s="8">
        <v>45755</v>
      </c>
      <c r="T110" s="8">
        <v>45755</v>
      </c>
      <c r="U110" s="19"/>
      <c r="V110" s="55">
        <v>-0.20000000000004547</v>
      </c>
      <c r="W110" s="15" t="s">
        <v>445</v>
      </c>
      <c r="X110" s="1"/>
      <c r="Y110" s="19"/>
      <c r="Z110" s="10">
        <v>707.2</v>
      </c>
      <c r="AA110" s="18">
        <v>45763</v>
      </c>
      <c r="AB110" s="10"/>
      <c r="AC110" s="10"/>
      <c r="AD110" s="46"/>
      <c r="AE110" s="36"/>
      <c r="AF110" s="36"/>
      <c r="AG110" s="36"/>
      <c r="AH110" s="36"/>
      <c r="AI110" s="36"/>
      <c r="AJ110" s="36"/>
      <c r="AK110" s="36"/>
      <c r="AL110" s="36"/>
      <c r="AM110" s="36"/>
      <c r="AN110" s="87"/>
      <c r="AO110" s="87"/>
      <c r="AP110" s="87"/>
      <c r="AQ110" s="87"/>
      <c r="AR110" s="87"/>
      <c r="AS110" s="87"/>
      <c r="AT110" s="87"/>
      <c r="AU110" s="87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29"/>
      <c r="BH110" s="29"/>
      <c r="BI110" s="29"/>
      <c r="BJ110" s="29"/>
      <c r="BK110" s="29"/>
      <c r="BL110" s="29"/>
      <c r="BM110" s="29"/>
      <c r="BN110" s="29"/>
      <c r="BO110" s="29"/>
    </row>
    <row r="111" spans="1:67" s="87" customFormat="1" ht="20.25" customHeight="1">
      <c r="A111" s="7">
        <v>45728</v>
      </c>
      <c r="B111" s="19" t="s">
        <v>437</v>
      </c>
      <c r="C111" s="19" t="s">
        <v>438</v>
      </c>
      <c r="D111" s="19" t="s">
        <v>212</v>
      </c>
      <c r="E111" s="19" t="s">
        <v>25</v>
      </c>
      <c r="F111" s="19" t="s">
        <v>439</v>
      </c>
      <c r="G111" s="19" t="s">
        <v>71</v>
      </c>
      <c r="H111" s="19" t="s">
        <v>26</v>
      </c>
      <c r="I111" s="19" t="s">
        <v>63</v>
      </c>
      <c r="J111" s="19" t="s">
        <v>27</v>
      </c>
      <c r="K111" s="19" t="s">
        <v>239</v>
      </c>
      <c r="L111" s="19" t="s">
        <v>75</v>
      </c>
      <c r="M111" s="20">
        <v>3677</v>
      </c>
      <c r="N111" s="25">
        <v>1.33</v>
      </c>
      <c r="O111" s="19" t="s">
        <v>67</v>
      </c>
      <c r="P111" s="19" t="s">
        <v>29</v>
      </c>
      <c r="Q111" s="19" t="s">
        <v>29</v>
      </c>
      <c r="R111" s="19" t="s">
        <v>440</v>
      </c>
      <c r="S111" s="8">
        <v>45755</v>
      </c>
      <c r="T111" s="8">
        <v>45755</v>
      </c>
      <c r="U111" s="19"/>
      <c r="V111" s="55">
        <f>M111-U111-Z111</f>
        <v>-0.8000000000001819</v>
      </c>
      <c r="W111" s="15" t="s">
        <v>441</v>
      </c>
      <c r="X111" s="1"/>
      <c r="Y111" s="19"/>
      <c r="Z111" s="10">
        <v>3677.8</v>
      </c>
      <c r="AA111" s="18">
        <v>45761</v>
      </c>
      <c r="AB111" s="10"/>
      <c r="AC111" s="10"/>
      <c r="AD111" s="46"/>
      <c r="AE111" s="36"/>
      <c r="AF111" s="36"/>
      <c r="AG111" s="36"/>
      <c r="AH111" s="36"/>
      <c r="AI111" s="36"/>
      <c r="AJ111" s="36"/>
      <c r="AK111" s="36"/>
      <c r="AL111" s="36"/>
      <c r="AM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28"/>
      <c r="BH111" s="28"/>
      <c r="BI111" s="28"/>
      <c r="BJ111" s="28"/>
      <c r="BK111" s="28"/>
      <c r="BL111" s="28"/>
      <c r="BM111" s="28"/>
      <c r="BN111" s="28"/>
      <c r="BO111" s="28"/>
    </row>
    <row r="112" spans="1:67" s="36" customFormat="1" ht="20.25" customHeight="1">
      <c r="A112" s="7">
        <v>45736</v>
      </c>
      <c r="B112" s="19" t="s">
        <v>446</v>
      </c>
      <c r="C112" s="19" t="s">
        <v>243</v>
      </c>
      <c r="D112" s="19" t="s">
        <v>212</v>
      </c>
      <c r="E112" s="19" t="s">
        <v>25</v>
      </c>
      <c r="F112" s="19" t="s">
        <v>447</v>
      </c>
      <c r="G112" s="19" t="s">
        <v>71</v>
      </c>
      <c r="H112" s="19" t="s">
        <v>31</v>
      </c>
      <c r="I112" s="19" t="s">
        <v>63</v>
      </c>
      <c r="J112" s="19" t="s">
        <v>27</v>
      </c>
      <c r="K112" s="19" t="s">
        <v>448</v>
      </c>
      <c r="L112" s="19" t="s">
        <v>75</v>
      </c>
      <c r="M112" s="20">
        <v>3693.8</v>
      </c>
      <c r="N112" s="25">
        <v>1.33</v>
      </c>
      <c r="O112" s="19" t="s">
        <v>67</v>
      </c>
      <c r="P112" s="19" t="s">
        <v>29</v>
      </c>
      <c r="Q112" s="19" t="s">
        <v>29</v>
      </c>
      <c r="R112" s="19" t="s">
        <v>449</v>
      </c>
      <c r="S112" s="8">
        <v>45757</v>
      </c>
      <c r="T112" s="8">
        <v>45761</v>
      </c>
      <c r="U112" s="19"/>
      <c r="V112" s="55">
        <v>-0.5</v>
      </c>
      <c r="W112" s="15" t="s">
        <v>450</v>
      </c>
      <c r="X112" s="1"/>
      <c r="Y112" s="246"/>
      <c r="Z112" s="19">
        <v>1110.8</v>
      </c>
      <c r="AA112" s="18">
        <v>45755</v>
      </c>
      <c r="AB112" s="10">
        <v>2583.5</v>
      </c>
      <c r="AC112" s="18">
        <v>45763</v>
      </c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29"/>
      <c r="BH112" s="29"/>
      <c r="BI112" s="29"/>
      <c r="BJ112" s="29"/>
      <c r="BK112" s="29"/>
      <c r="BL112" s="29"/>
      <c r="BM112" s="29"/>
      <c r="BN112" s="29"/>
      <c r="BO112" s="29"/>
    </row>
    <row r="113" spans="1:67" s="140" customFormat="1" ht="20.25" customHeight="1">
      <c r="A113" s="7">
        <v>45740</v>
      </c>
      <c r="B113" s="19" t="s">
        <v>451</v>
      </c>
      <c r="C113" s="19" t="s">
        <v>382</v>
      </c>
      <c r="D113" s="19" t="s">
        <v>212</v>
      </c>
      <c r="E113" s="19" t="s">
        <v>25</v>
      </c>
      <c r="F113" s="19" t="s">
        <v>452</v>
      </c>
      <c r="G113" s="19" t="s">
        <v>71</v>
      </c>
      <c r="H113" s="19" t="s">
        <v>31</v>
      </c>
      <c r="I113" s="19" t="s">
        <v>63</v>
      </c>
      <c r="J113" s="19" t="s">
        <v>27</v>
      </c>
      <c r="K113" s="19" t="s">
        <v>218</v>
      </c>
      <c r="L113" s="19" t="s">
        <v>75</v>
      </c>
      <c r="M113" s="20">
        <v>3519.77</v>
      </c>
      <c r="N113" s="25">
        <v>1.33</v>
      </c>
      <c r="O113" s="19" t="s">
        <v>67</v>
      </c>
      <c r="P113" s="19" t="s">
        <v>29</v>
      </c>
      <c r="Q113" s="19" t="s">
        <v>392</v>
      </c>
      <c r="R113" s="19" t="s">
        <v>453</v>
      </c>
      <c r="S113" s="8">
        <v>45761</v>
      </c>
      <c r="T113" s="8">
        <v>45772</v>
      </c>
      <c r="U113" s="19"/>
      <c r="V113" s="55">
        <v>-2.1300000000001091</v>
      </c>
      <c r="W113" s="15" t="s">
        <v>454</v>
      </c>
      <c r="X113" s="1"/>
      <c r="Y113" s="36"/>
      <c r="Z113" s="46">
        <v>3521.9</v>
      </c>
      <c r="AA113" s="138">
        <v>45771</v>
      </c>
      <c r="AB113" s="46"/>
      <c r="AC113" s="4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87"/>
      <c r="AO113" s="87"/>
      <c r="AP113" s="87"/>
      <c r="AQ113" s="87"/>
      <c r="AR113" s="87"/>
      <c r="AS113" s="87"/>
      <c r="AT113" s="87"/>
      <c r="AU113" s="87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29"/>
      <c r="BH113" s="29"/>
      <c r="BI113" s="29"/>
      <c r="BJ113" s="29"/>
      <c r="BK113" s="29"/>
      <c r="BL113" s="29"/>
      <c r="BM113" s="29"/>
      <c r="BN113" s="29"/>
      <c r="BO113" s="29"/>
    </row>
    <row r="114" spans="1:67" s="140" customFormat="1" ht="20.25" customHeight="1">
      <c r="A114" s="7">
        <v>45740</v>
      </c>
      <c r="B114" s="19" t="s">
        <v>451</v>
      </c>
      <c r="C114" s="19" t="s">
        <v>382</v>
      </c>
      <c r="D114" s="19" t="s">
        <v>212</v>
      </c>
      <c r="E114" s="19" t="s">
        <v>25</v>
      </c>
      <c r="F114" s="19" t="s">
        <v>452</v>
      </c>
      <c r="G114" s="19" t="s">
        <v>71</v>
      </c>
      <c r="H114" s="19" t="s">
        <v>31</v>
      </c>
      <c r="I114" s="19" t="s">
        <v>63</v>
      </c>
      <c r="J114" s="19" t="s">
        <v>27</v>
      </c>
      <c r="K114" s="19" t="s">
        <v>340</v>
      </c>
      <c r="L114" s="19" t="s">
        <v>75</v>
      </c>
      <c r="M114" s="20">
        <v>1965.7</v>
      </c>
      <c r="N114" s="25">
        <v>1.33</v>
      </c>
      <c r="O114" s="19" t="s">
        <v>67</v>
      </c>
      <c r="P114" s="19" t="s">
        <v>29</v>
      </c>
      <c r="Q114" s="19" t="s">
        <v>392</v>
      </c>
      <c r="R114" s="19" t="s">
        <v>455</v>
      </c>
      <c r="S114" s="8">
        <v>45761</v>
      </c>
      <c r="T114" s="8">
        <v>45772</v>
      </c>
      <c r="U114" s="19"/>
      <c r="V114" s="55">
        <v>-0.99999999999977263</v>
      </c>
      <c r="W114" s="15" t="s">
        <v>456</v>
      </c>
      <c r="X114" s="10" t="s">
        <v>457</v>
      </c>
      <c r="Y114" s="141"/>
      <c r="Z114" s="10">
        <v>1966.6999999999998</v>
      </c>
      <c r="AA114" s="18">
        <v>45771</v>
      </c>
      <c r="AB114" s="10"/>
      <c r="AC114" s="4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28"/>
      <c r="BH114" s="28"/>
      <c r="BI114" s="28"/>
      <c r="BJ114" s="28"/>
      <c r="BK114" s="28"/>
      <c r="BL114" s="28"/>
      <c r="BM114" s="28"/>
      <c r="BN114" s="28"/>
      <c r="BO114" s="28"/>
    </row>
    <row r="115" spans="1:67" s="140" customFormat="1" ht="20.25" customHeight="1">
      <c r="A115" s="7">
        <v>45743</v>
      </c>
      <c r="B115" s="19" t="s">
        <v>458</v>
      </c>
      <c r="C115" s="19" t="s">
        <v>243</v>
      </c>
      <c r="D115" s="19" t="s">
        <v>212</v>
      </c>
      <c r="E115" s="19" t="s">
        <v>34</v>
      </c>
      <c r="F115" s="19" t="s">
        <v>459</v>
      </c>
      <c r="G115" s="19" t="s">
        <v>71</v>
      </c>
      <c r="H115" s="19" t="s">
        <v>26</v>
      </c>
      <c r="I115" s="19" t="s">
        <v>63</v>
      </c>
      <c r="J115" s="19" t="s">
        <v>27</v>
      </c>
      <c r="K115" s="19" t="s">
        <v>372</v>
      </c>
      <c r="L115" s="19" t="s">
        <v>75</v>
      </c>
      <c r="M115" s="20">
        <v>300</v>
      </c>
      <c r="N115" s="25">
        <v>1.33</v>
      </c>
      <c r="O115" s="19" t="s">
        <v>67</v>
      </c>
      <c r="P115" s="19" t="s">
        <v>29</v>
      </c>
      <c r="Q115" s="19" t="s">
        <v>460</v>
      </c>
      <c r="R115" s="19" t="s">
        <v>461</v>
      </c>
      <c r="S115" s="8">
        <v>45772</v>
      </c>
      <c r="T115" s="8">
        <v>45772</v>
      </c>
      <c r="U115" s="19"/>
      <c r="V115" s="55">
        <v>-4.8000000000000114</v>
      </c>
      <c r="W115" s="15" t="s">
        <v>462</v>
      </c>
      <c r="X115" s="143"/>
      <c r="Y115" s="349"/>
      <c r="Z115" s="10">
        <v>304.8</v>
      </c>
      <c r="AA115" s="18">
        <v>45763</v>
      </c>
      <c r="AB115" s="10"/>
      <c r="AC115" s="143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211"/>
      <c r="BH115" s="211"/>
      <c r="BI115" s="211"/>
      <c r="BJ115" s="211"/>
      <c r="BK115" s="211"/>
      <c r="BL115" s="211"/>
      <c r="BM115" s="211"/>
      <c r="BN115" s="211"/>
      <c r="BO115" s="211"/>
    </row>
    <row r="116" spans="1:67" s="140" customFormat="1" ht="20.25" customHeight="1">
      <c r="A116" s="7">
        <v>45754</v>
      </c>
      <c r="B116" s="19" t="s">
        <v>520</v>
      </c>
      <c r="C116" s="19" t="s">
        <v>243</v>
      </c>
      <c r="D116" s="19" t="s">
        <v>212</v>
      </c>
      <c r="E116" s="19" t="s">
        <v>25</v>
      </c>
      <c r="F116" s="19" t="s">
        <v>521</v>
      </c>
      <c r="G116" s="19" t="s">
        <v>71</v>
      </c>
      <c r="H116" s="19" t="s">
        <v>31</v>
      </c>
      <c r="I116" s="19" t="s">
        <v>63</v>
      </c>
      <c r="J116" s="19" t="s">
        <v>27</v>
      </c>
      <c r="K116" s="19" t="s">
        <v>245</v>
      </c>
      <c r="L116" s="19" t="s">
        <v>75</v>
      </c>
      <c r="M116" s="20">
        <v>3786.1</v>
      </c>
      <c r="N116" s="25">
        <v>1.33</v>
      </c>
      <c r="O116" s="19" t="s">
        <v>67</v>
      </c>
      <c r="P116" s="19" t="s">
        <v>29</v>
      </c>
      <c r="Q116" s="19" t="s">
        <v>246</v>
      </c>
      <c r="R116" s="19" t="s">
        <v>29</v>
      </c>
      <c r="S116" s="8">
        <v>45775</v>
      </c>
      <c r="T116" s="8">
        <v>45775</v>
      </c>
      <c r="U116" s="19"/>
      <c r="V116" s="55">
        <v>-0.29999999999995453</v>
      </c>
      <c r="W116" s="15" t="s">
        <v>522</v>
      </c>
      <c r="X116" s="19"/>
      <c r="Y116" s="246"/>
      <c r="Z116" s="10">
        <v>2323.1999999999998</v>
      </c>
      <c r="AA116" s="18">
        <v>45763</v>
      </c>
      <c r="AB116" s="10">
        <v>1463.2</v>
      </c>
      <c r="AC116" s="18">
        <v>45771</v>
      </c>
      <c r="AD116" s="142"/>
      <c r="AE116" s="36"/>
      <c r="AF116" s="36"/>
      <c r="AG116" s="36"/>
      <c r="AH116" s="36"/>
      <c r="AI116" s="36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29"/>
      <c r="BH116" s="29"/>
      <c r="BI116" s="29"/>
      <c r="BJ116" s="29"/>
      <c r="BK116" s="29"/>
      <c r="BL116" s="29"/>
      <c r="BM116" s="29"/>
      <c r="BN116" s="29"/>
      <c r="BO116" s="29"/>
    </row>
    <row r="117" spans="1:67" s="140" customFormat="1" ht="20.25" customHeight="1">
      <c r="A117" s="7">
        <v>45754</v>
      </c>
      <c r="B117" s="19" t="s">
        <v>523</v>
      </c>
      <c r="C117" s="19" t="s">
        <v>243</v>
      </c>
      <c r="D117" s="19" t="s">
        <v>212</v>
      </c>
      <c r="E117" s="19" t="s">
        <v>25</v>
      </c>
      <c r="F117" s="19" t="s">
        <v>524</v>
      </c>
      <c r="G117" s="19" t="s">
        <v>71</v>
      </c>
      <c r="H117" s="19" t="s">
        <v>31</v>
      </c>
      <c r="I117" s="19" t="s">
        <v>63</v>
      </c>
      <c r="J117" s="19" t="s">
        <v>27</v>
      </c>
      <c r="K117" s="19" t="s">
        <v>245</v>
      </c>
      <c r="L117" s="19" t="s">
        <v>75</v>
      </c>
      <c r="M117" s="20">
        <v>7067</v>
      </c>
      <c r="N117" s="25">
        <v>1.33</v>
      </c>
      <c r="O117" s="19" t="s">
        <v>67</v>
      </c>
      <c r="P117" s="19"/>
      <c r="Q117" s="19" t="s">
        <v>525</v>
      </c>
      <c r="R117" s="19" t="s">
        <v>29</v>
      </c>
      <c r="S117" s="8">
        <v>45775</v>
      </c>
      <c r="T117" s="8">
        <v>45775</v>
      </c>
      <c r="U117" s="19"/>
      <c r="V117" s="55">
        <v>-0.3999999999996362</v>
      </c>
      <c r="W117" s="15" t="s">
        <v>526</v>
      </c>
      <c r="X117" s="19"/>
      <c r="Y117" s="246"/>
      <c r="Z117" s="10">
        <v>5982.4</v>
      </c>
      <c r="AA117" s="18">
        <v>45771</v>
      </c>
      <c r="AB117" s="19">
        <v>1085</v>
      </c>
      <c r="AC117" s="18">
        <v>45782</v>
      </c>
      <c r="AD117" s="142"/>
      <c r="AE117" s="36"/>
      <c r="AF117" s="36"/>
      <c r="AG117" s="36"/>
      <c r="AH117" s="36"/>
      <c r="AI117" s="36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7"/>
      <c r="BH117" s="37"/>
      <c r="BI117" s="37"/>
      <c r="BJ117" s="37"/>
      <c r="BK117" s="37"/>
      <c r="BL117" s="37"/>
      <c r="BM117" s="37"/>
      <c r="BN117" s="37"/>
      <c r="BO117" s="37"/>
    </row>
    <row r="118" spans="1:67" s="139" customFormat="1" ht="20.25" customHeight="1">
      <c r="A118" s="7">
        <v>45754</v>
      </c>
      <c r="B118" s="19" t="s">
        <v>242</v>
      </c>
      <c r="C118" s="19" t="s">
        <v>243</v>
      </c>
      <c r="D118" s="19" t="s">
        <v>212</v>
      </c>
      <c r="E118" s="19" t="s">
        <v>25</v>
      </c>
      <c r="F118" s="19" t="s">
        <v>244</v>
      </c>
      <c r="G118" s="19" t="s">
        <v>71</v>
      </c>
      <c r="H118" s="19" t="s">
        <v>31</v>
      </c>
      <c r="I118" s="19" t="s">
        <v>63</v>
      </c>
      <c r="J118" s="19" t="s">
        <v>27</v>
      </c>
      <c r="K118" s="19" t="s">
        <v>245</v>
      </c>
      <c r="L118" s="19" t="s">
        <v>75</v>
      </c>
      <c r="M118" s="20">
        <v>3978.6</v>
      </c>
      <c r="N118" s="25">
        <v>1.33</v>
      </c>
      <c r="O118" s="19" t="s">
        <v>67</v>
      </c>
      <c r="P118" s="19" t="s">
        <v>29</v>
      </c>
      <c r="Q118" s="19" t="s">
        <v>246</v>
      </c>
      <c r="R118" s="19" t="s">
        <v>29</v>
      </c>
      <c r="S118" s="8">
        <v>45775</v>
      </c>
      <c r="T118" s="8">
        <v>45775</v>
      </c>
      <c r="U118" s="19"/>
      <c r="V118" s="55">
        <v>-0.90000000000009095</v>
      </c>
      <c r="W118" s="15" t="s">
        <v>247</v>
      </c>
      <c r="X118" s="19"/>
      <c r="Y118" s="246"/>
      <c r="Z118" s="19">
        <v>3979.5</v>
      </c>
      <c r="AA118" s="18">
        <v>45782</v>
      </c>
      <c r="AB118" s="10"/>
      <c r="AC118" s="10"/>
      <c r="AD118" s="142"/>
      <c r="AE118" s="36"/>
      <c r="AF118" s="36"/>
      <c r="AG118" s="36"/>
      <c r="AH118" s="36"/>
      <c r="AI118" s="36"/>
      <c r="AJ118" s="36"/>
      <c r="AK118" s="36"/>
      <c r="AL118" s="36"/>
      <c r="AM118" s="36"/>
      <c r="AN118" s="87"/>
      <c r="AO118" s="87"/>
      <c r="AP118" s="87"/>
      <c r="AQ118" s="87"/>
      <c r="AR118" s="87"/>
      <c r="AS118" s="87"/>
      <c r="AT118" s="87"/>
      <c r="AU118" s="87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29"/>
      <c r="BH118" s="29"/>
      <c r="BI118" s="29"/>
      <c r="BJ118" s="29"/>
      <c r="BK118" s="29"/>
      <c r="BL118" s="29"/>
      <c r="BM118" s="29"/>
      <c r="BN118" s="29"/>
      <c r="BO118" s="29"/>
    </row>
    <row r="119" spans="1:67" s="140" customFormat="1" ht="20.25" customHeight="1">
      <c r="A119" s="7">
        <v>45754</v>
      </c>
      <c r="B119" s="19" t="s">
        <v>516</v>
      </c>
      <c r="C119" s="19" t="s">
        <v>243</v>
      </c>
      <c r="D119" s="19" t="s">
        <v>212</v>
      </c>
      <c r="E119" s="19" t="s">
        <v>25</v>
      </c>
      <c r="F119" s="19" t="s">
        <v>517</v>
      </c>
      <c r="G119" s="19" t="s">
        <v>71</v>
      </c>
      <c r="H119" s="19" t="s">
        <v>31</v>
      </c>
      <c r="I119" s="19" t="s">
        <v>63</v>
      </c>
      <c r="J119" s="19" t="s">
        <v>27</v>
      </c>
      <c r="K119" s="19" t="s">
        <v>218</v>
      </c>
      <c r="L119" s="19" t="s">
        <v>75</v>
      </c>
      <c r="M119" s="20">
        <v>2978.9</v>
      </c>
      <c r="N119" s="25">
        <v>1.33</v>
      </c>
      <c r="O119" s="19" t="s">
        <v>67</v>
      </c>
      <c r="P119" s="19" t="s">
        <v>29</v>
      </c>
      <c r="Q119" s="19" t="s">
        <v>518</v>
      </c>
      <c r="R119" s="19" t="s">
        <v>29</v>
      </c>
      <c r="S119" s="8">
        <v>45775</v>
      </c>
      <c r="T119" s="8">
        <v>45775</v>
      </c>
      <c r="U119" s="19"/>
      <c r="V119" s="55">
        <v>-9</v>
      </c>
      <c r="W119" s="15" t="s">
        <v>519</v>
      </c>
      <c r="X119" s="1"/>
      <c r="Y119" s="19"/>
      <c r="Z119" s="10">
        <v>2987.9</v>
      </c>
      <c r="AA119" s="86">
        <v>45771</v>
      </c>
      <c r="AB119" s="141"/>
      <c r="AC119" s="142"/>
      <c r="AD119" s="142"/>
      <c r="AE119" s="36"/>
      <c r="AF119" s="36"/>
      <c r="AG119" s="36"/>
      <c r="AH119" s="36"/>
      <c r="AI119" s="36"/>
      <c r="AJ119" s="36"/>
      <c r="AK119" s="36"/>
      <c r="AL119" s="36"/>
      <c r="AM119" s="36"/>
      <c r="AN119" s="87"/>
      <c r="AO119" s="87"/>
      <c r="AP119" s="87"/>
      <c r="AQ119" s="87"/>
      <c r="AR119" s="87"/>
      <c r="AS119" s="87"/>
      <c r="AT119" s="87"/>
      <c r="AU119" s="87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29"/>
      <c r="BH119" s="29"/>
      <c r="BI119" s="29"/>
      <c r="BJ119" s="29"/>
      <c r="BK119" s="29"/>
      <c r="BL119" s="29"/>
      <c r="BM119" s="29"/>
      <c r="BN119" s="29"/>
      <c r="BO119" s="29"/>
    </row>
    <row r="120" spans="1:67" s="140" customFormat="1" ht="20.25" customHeight="1">
      <c r="A120" s="7">
        <v>45754</v>
      </c>
      <c r="B120" s="19" t="s">
        <v>502</v>
      </c>
      <c r="C120" s="19" t="s">
        <v>304</v>
      </c>
      <c r="D120" s="19" t="s">
        <v>212</v>
      </c>
      <c r="E120" s="19" t="s">
        <v>25</v>
      </c>
      <c r="F120" s="19" t="s">
        <v>503</v>
      </c>
      <c r="G120" s="19" t="s">
        <v>71</v>
      </c>
      <c r="H120" s="19" t="s">
        <v>31</v>
      </c>
      <c r="I120" s="19" t="s">
        <v>63</v>
      </c>
      <c r="J120" s="19" t="s">
        <v>27</v>
      </c>
      <c r="K120" s="19" t="s">
        <v>218</v>
      </c>
      <c r="L120" s="19" t="s">
        <v>75</v>
      </c>
      <c r="M120" s="20">
        <v>5000</v>
      </c>
      <c r="N120" s="25">
        <v>1.33</v>
      </c>
      <c r="O120" s="19" t="s">
        <v>67</v>
      </c>
      <c r="P120" s="19" t="s">
        <v>29</v>
      </c>
      <c r="Q120" s="19" t="s">
        <v>504</v>
      </c>
      <c r="R120" s="19" t="s">
        <v>29</v>
      </c>
      <c r="S120" s="8">
        <v>45775</v>
      </c>
      <c r="T120" s="8">
        <v>45775</v>
      </c>
      <c r="U120" s="19"/>
      <c r="V120" s="55">
        <v>-0.3000000000001819</v>
      </c>
      <c r="W120" s="15" t="s">
        <v>505</v>
      </c>
      <c r="X120" s="1">
        <v>3520.7</v>
      </c>
      <c r="Y120" s="19"/>
      <c r="Z120" s="10">
        <v>5000.3</v>
      </c>
      <c r="AA120" s="86">
        <v>45779</v>
      </c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29"/>
      <c r="BH120" s="29"/>
      <c r="BI120" s="29"/>
      <c r="BJ120" s="29"/>
      <c r="BK120" s="29"/>
      <c r="BL120" s="29"/>
      <c r="BM120" s="29"/>
      <c r="BN120" s="29"/>
      <c r="BO120" s="29"/>
    </row>
    <row r="121" spans="1:67" s="139" customFormat="1" ht="20.25" customHeight="1">
      <c r="A121" s="7">
        <v>45754</v>
      </c>
      <c r="B121" s="19" t="s">
        <v>502</v>
      </c>
      <c r="C121" s="19" t="s">
        <v>304</v>
      </c>
      <c r="D121" s="19" t="s">
        <v>212</v>
      </c>
      <c r="E121" s="19" t="s">
        <v>25</v>
      </c>
      <c r="F121" s="19" t="s">
        <v>503</v>
      </c>
      <c r="G121" s="19" t="s">
        <v>71</v>
      </c>
      <c r="H121" s="19" t="s">
        <v>26</v>
      </c>
      <c r="I121" s="19" t="s">
        <v>63</v>
      </c>
      <c r="J121" s="19" t="s">
        <v>27</v>
      </c>
      <c r="K121" s="19" t="s">
        <v>218</v>
      </c>
      <c r="L121" s="19" t="s">
        <v>75</v>
      </c>
      <c r="M121" s="20">
        <v>900</v>
      </c>
      <c r="N121" s="25">
        <v>1.33</v>
      </c>
      <c r="O121" s="19" t="s">
        <v>67</v>
      </c>
      <c r="P121" s="19" t="s">
        <v>29</v>
      </c>
      <c r="Q121" s="19" t="s">
        <v>509</v>
      </c>
      <c r="R121" s="19" t="s">
        <v>29</v>
      </c>
      <c r="S121" s="8">
        <v>45775</v>
      </c>
      <c r="T121" s="8">
        <v>45775</v>
      </c>
      <c r="U121" s="19"/>
      <c r="V121" s="55">
        <v>-4.5</v>
      </c>
      <c r="W121" s="15" t="s">
        <v>510</v>
      </c>
      <c r="X121" s="1"/>
      <c r="Y121" s="19"/>
      <c r="Z121" s="10">
        <v>904.5</v>
      </c>
      <c r="AA121" s="18">
        <v>45779</v>
      </c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87"/>
      <c r="AO121" s="87"/>
      <c r="AP121" s="87"/>
      <c r="AQ121" s="87"/>
      <c r="AR121" s="87"/>
      <c r="AS121" s="87"/>
      <c r="AT121" s="87"/>
      <c r="AU121" s="87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29"/>
      <c r="BH121" s="29"/>
      <c r="BI121" s="29"/>
      <c r="BJ121" s="29"/>
      <c r="BK121" s="29"/>
      <c r="BL121" s="29"/>
      <c r="BM121" s="29"/>
      <c r="BN121" s="29"/>
      <c r="BO121" s="29"/>
    </row>
    <row r="122" spans="1:67" s="36" customFormat="1" ht="20.25" customHeight="1">
      <c r="A122" s="7">
        <v>45754</v>
      </c>
      <c r="B122" s="19" t="s">
        <v>496</v>
      </c>
      <c r="C122" s="19" t="s">
        <v>211</v>
      </c>
      <c r="D122" s="19" t="s">
        <v>212</v>
      </c>
      <c r="E122" s="19" t="s">
        <v>25</v>
      </c>
      <c r="F122" s="19" t="s">
        <v>497</v>
      </c>
      <c r="G122" s="19" t="s">
        <v>71</v>
      </c>
      <c r="H122" s="19" t="s">
        <v>26</v>
      </c>
      <c r="I122" s="19" t="s">
        <v>63</v>
      </c>
      <c r="J122" s="19" t="s">
        <v>27</v>
      </c>
      <c r="K122" s="19" t="s">
        <v>218</v>
      </c>
      <c r="L122" s="19" t="s">
        <v>75</v>
      </c>
      <c r="M122" s="20">
        <v>5814</v>
      </c>
      <c r="N122" s="25">
        <v>1.33</v>
      </c>
      <c r="O122" s="19" t="s">
        <v>67</v>
      </c>
      <c r="P122" s="19" t="s">
        <v>29</v>
      </c>
      <c r="Q122" s="19" t="s">
        <v>324</v>
      </c>
      <c r="R122" s="19" t="s">
        <v>29</v>
      </c>
      <c r="S122" s="8">
        <v>45810</v>
      </c>
      <c r="T122" s="8">
        <v>45810</v>
      </c>
      <c r="U122" s="19"/>
      <c r="V122" s="55">
        <f>M122-U122-Z122</f>
        <v>-1.5</v>
      </c>
      <c r="W122" s="15" t="s">
        <v>498</v>
      </c>
      <c r="X122" s="1"/>
      <c r="Y122" s="19"/>
      <c r="Z122" s="19">
        <f>61+1574.8+719.9+2064.4+1395.4</f>
        <v>5815.5</v>
      </c>
      <c r="AA122" s="18">
        <v>45811</v>
      </c>
      <c r="BG122" s="29"/>
      <c r="BH122" s="29"/>
      <c r="BI122" s="29"/>
      <c r="BJ122" s="29"/>
      <c r="BK122" s="29"/>
      <c r="BL122" s="29"/>
      <c r="BM122" s="29"/>
      <c r="BN122" s="29"/>
      <c r="BO122" s="29"/>
    </row>
    <row r="123" spans="1:67" s="36" customFormat="1" ht="20.25" customHeight="1">
      <c r="A123" s="7">
        <v>45754</v>
      </c>
      <c r="B123" s="19" t="s">
        <v>499</v>
      </c>
      <c r="C123" s="19" t="s">
        <v>211</v>
      </c>
      <c r="D123" s="19" t="s">
        <v>212</v>
      </c>
      <c r="E123" s="19" t="s">
        <v>25</v>
      </c>
      <c r="F123" s="19" t="s">
        <v>500</v>
      </c>
      <c r="G123" s="19" t="s">
        <v>71</v>
      </c>
      <c r="H123" s="19" t="s">
        <v>26</v>
      </c>
      <c r="I123" s="19" t="s">
        <v>63</v>
      </c>
      <c r="J123" s="19" t="s">
        <v>27</v>
      </c>
      <c r="K123" s="19" t="s">
        <v>218</v>
      </c>
      <c r="L123" s="19" t="s">
        <v>75</v>
      </c>
      <c r="M123" s="20">
        <v>267</v>
      </c>
      <c r="N123" s="25">
        <v>1.33</v>
      </c>
      <c r="O123" s="19" t="s">
        <v>67</v>
      </c>
      <c r="P123" s="19" t="s">
        <v>29</v>
      </c>
      <c r="Q123" s="19" t="s">
        <v>324</v>
      </c>
      <c r="R123" s="19" t="s">
        <v>29</v>
      </c>
      <c r="S123" s="8">
        <v>45840</v>
      </c>
      <c r="T123" s="8">
        <v>45840</v>
      </c>
      <c r="U123" s="19"/>
      <c r="V123" s="55">
        <v>0</v>
      </c>
      <c r="W123" s="15" t="s">
        <v>501</v>
      </c>
      <c r="X123" s="1"/>
      <c r="Y123" s="104"/>
      <c r="Z123" s="104">
        <v>267</v>
      </c>
      <c r="AA123" s="86">
        <v>45811</v>
      </c>
      <c r="BG123" s="28"/>
      <c r="BH123" s="28"/>
      <c r="BI123" s="28"/>
      <c r="BJ123" s="28"/>
      <c r="BK123" s="28"/>
      <c r="BL123" s="28"/>
      <c r="BM123" s="28"/>
      <c r="BN123" s="28"/>
      <c r="BO123" s="28"/>
    </row>
    <row r="124" spans="1:67" s="139" customFormat="1" ht="20.25" customHeight="1">
      <c r="A124" s="7">
        <v>45754</v>
      </c>
      <c r="B124" s="19" t="s">
        <v>237</v>
      </c>
      <c r="C124" s="19" t="s">
        <v>211</v>
      </c>
      <c r="D124" s="19" t="s">
        <v>212</v>
      </c>
      <c r="E124" s="19" t="s">
        <v>25</v>
      </c>
      <c r="F124" s="19" t="s">
        <v>238</v>
      </c>
      <c r="G124" s="19" t="s">
        <v>71</v>
      </c>
      <c r="H124" s="19" t="s">
        <v>26</v>
      </c>
      <c r="I124" s="19" t="s">
        <v>63</v>
      </c>
      <c r="J124" s="19" t="s">
        <v>27</v>
      </c>
      <c r="K124" s="19" t="s">
        <v>239</v>
      </c>
      <c r="L124" s="19" t="s">
        <v>75</v>
      </c>
      <c r="M124" s="20">
        <v>214</v>
      </c>
      <c r="N124" s="25">
        <v>1.33</v>
      </c>
      <c r="O124" s="19" t="s">
        <v>67</v>
      </c>
      <c r="P124" s="19" t="s">
        <v>29</v>
      </c>
      <c r="Q124" s="19" t="s">
        <v>240</v>
      </c>
      <c r="R124" s="19" t="s">
        <v>29</v>
      </c>
      <c r="S124" s="8">
        <v>45779</v>
      </c>
      <c r="T124" s="8">
        <v>45779</v>
      </c>
      <c r="U124" s="19"/>
      <c r="V124" s="55">
        <v>-1.3000000000000114</v>
      </c>
      <c r="W124" s="15" t="s">
        <v>241</v>
      </c>
      <c r="X124" s="1"/>
      <c r="Y124" s="19"/>
      <c r="Z124" s="19">
        <v>215.3</v>
      </c>
      <c r="AA124" s="18">
        <v>45784</v>
      </c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29"/>
      <c r="BH124" s="29"/>
      <c r="BI124" s="29"/>
      <c r="BJ124" s="29"/>
      <c r="BK124" s="29"/>
      <c r="BL124" s="29"/>
      <c r="BM124" s="29"/>
      <c r="BN124" s="29"/>
      <c r="BO124" s="29"/>
    </row>
    <row r="125" spans="1:67" s="139" customFormat="1" ht="20.25" customHeight="1">
      <c r="A125" s="7">
        <v>45754</v>
      </c>
      <c r="B125" s="19" t="s">
        <v>512</v>
      </c>
      <c r="C125" s="19" t="s">
        <v>243</v>
      </c>
      <c r="D125" s="19" t="s">
        <v>212</v>
      </c>
      <c r="E125" s="19" t="s">
        <v>25</v>
      </c>
      <c r="F125" s="19" t="s">
        <v>513</v>
      </c>
      <c r="G125" s="19" t="s">
        <v>71</v>
      </c>
      <c r="H125" s="19" t="s">
        <v>31</v>
      </c>
      <c r="I125" s="19" t="s">
        <v>63</v>
      </c>
      <c r="J125" s="19" t="s">
        <v>27</v>
      </c>
      <c r="K125" s="19" t="s">
        <v>514</v>
      </c>
      <c r="L125" s="19" t="s">
        <v>75</v>
      </c>
      <c r="M125" s="20">
        <v>2725</v>
      </c>
      <c r="N125" s="25">
        <v>1.33</v>
      </c>
      <c r="O125" s="19" t="s">
        <v>67</v>
      </c>
      <c r="P125" s="19" t="s">
        <v>29</v>
      </c>
      <c r="Q125" s="19" t="s">
        <v>449</v>
      </c>
      <c r="R125" s="19" t="s">
        <v>29</v>
      </c>
      <c r="S125" s="8">
        <v>45775</v>
      </c>
      <c r="T125" s="8">
        <v>45775</v>
      </c>
      <c r="U125" s="19"/>
      <c r="V125" s="55">
        <v>-4.6000000000003638</v>
      </c>
      <c r="W125" s="15" t="s">
        <v>515</v>
      </c>
      <c r="X125" s="1"/>
      <c r="Y125" s="236"/>
      <c r="Z125" s="261">
        <v>2729.6000000000004</v>
      </c>
      <c r="AA125" s="262">
        <v>45763</v>
      </c>
      <c r="AB125" s="141"/>
      <c r="AC125" s="142"/>
      <c r="AD125" s="142"/>
      <c r="AE125" s="36"/>
      <c r="AF125" s="36"/>
      <c r="AG125" s="36"/>
      <c r="AH125" s="36"/>
      <c r="AI125" s="36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29"/>
      <c r="BH125" s="29"/>
      <c r="BI125" s="29"/>
      <c r="BJ125" s="29"/>
      <c r="BK125" s="29"/>
      <c r="BL125" s="29"/>
      <c r="BM125" s="29"/>
      <c r="BN125" s="29"/>
      <c r="BO125" s="29"/>
    </row>
    <row r="126" spans="1:67" s="36" customFormat="1" ht="20.25" customHeight="1">
      <c r="A126" s="7">
        <v>45754</v>
      </c>
      <c r="B126" s="19" t="s">
        <v>463</v>
      </c>
      <c r="C126" s="19" t="s">
        <v>228</v>
      </c>
      <c r="D126" s="19" t="s">
        <v>212</v>
      </c>
      <c r="E126" s="19" t="s">
        <v>25</v>
      </c>
      <c r="F126" s="19" t="s">
        <v>464</v>
      </c>
      <c r="G126" s="19" t="s">
        <v>71</v>
      </c>
      <c r="H126" s="19" t="s">
        <v>31</v>
      </c>
      <c r="I126" s="19" t="s">
        <v>63</v>
      </c>
      <c r="J126" s="19" t="s">
        <v>27</v>
      </c>
      <c r="K126" s="19" t="s">
        <v>465</v>
      </c>
      <c r="L126" s="19" t="s">
        <v>75</v>
      </c>
      <c r="M126" s="20">
        <v>2924.57</v>
      </c>
      <c r="N126" s="25">
        <v>1.33</v>
      </c>
      <c r="O126" s="19" t="s">
        <v>67</v>
      </c>
      <c r="P126" s="19" t="s">
        <v>29</v>
      </c>
      <c r="Q126" s="19" t="s">
        <v>362</v>
      </c>
      <c r="R126" s="19" t="s">
        <v>466</v>
      </c>
      <c r="S126" s="8">
        <v>45775</v>
      </c>
      <c r="T126" s="8">
        <v>45775</v>
      </c>
      <c r="U126" s="19"/>
      <c r="V126" s="55">
        <v>-1.9299999999998363</v>
      </c>
      <c r="W126" s="15" t="s">
        <v>467</v>
      </c>
      <c r="X126" s="1"/>
      <c r="Y126" s="236"/>
      <c r="Z126" s="358">
        <v>2926.5</v>
      </c>
      <c r="AA126" s="372">
        <v>45775</v>
      </c>
      <c r="BG126" s="28"/>
      <c r="BH126" s="28"/>
      <c r="BI126" s="28"/>
      <c r="BJ126" s="28"/>
      <c r="BK126" s="28"/>
      <c r="BL126" s="28"/>
      <c r="BM126" s="28"/>
      <c r="BN126" s="28"/>
      <c r="BO126" s="28"/>
    </row>
    <row r="127" spans="1:67" s="36" customFormat="1" ht="20.25" customHeight="1">
      <c r="A127" s="7">
        <v>45754</v>
      </c>
      <c r="B127" s="19" t="s">
        <v>468</v>
      </c>
      <c r="C127" s="19" t="s">
        <v>228</v>
      </c>
      <c r="D127" s="19" t="s">
        <v>212</v>
      </c>
      <c r="E127" s="19" t="s">
        <v>25</v>
      </c>
      <c r="F127" s="19" t="s">
        <v>469</v>
      </c>
      <c r="G127" s="19" t="s">
        <v>71</v>
      </c>
      <c r="H127" s="19" t="s">
        <v>31</v>
      </c>
      <c r="I127" s="19" t="s">
        <v>63</v>
      </c>
      <c r="J127" s="19" t="s">
        <v>27</v>
      </c>
      <c r="K127" s="19" t="s">
        <v>465</v>
      </c>
      <c r="L127" s="19" t="s">
        <v>75</v>
      </c>
      <c r="M127" s="20">
        <v>83.68</v>
      </c>
      <c r="N127" s="25">
        <v>1.33</v>
      </c>
      <c r="O127" s="19" t="s">
        <v>67</v>
      </c>
      <c r="P127" s="19" t="s">
        <v>29</v>
      </c>
      <c r="Q127" s="19" t="s">
        <v>470</v>
      </c>
      <c r="R127" s="19" t="s">
        <v>466</v>
      </c>
      <c r="S127" s="8">
        <v>45775</v>
      </c>
      <c r="T127" s="8">
        <v>45775</v>
      </c>
      <c r="U127" s="19"/>
      <c r="V127" s="55">
        <v>-0.61999999999999034</v>
      </c>
      <c r="W127" s="15" t="s">
        <v>471</v>
      </c>
      <c r="X127" s="1"/>
      <c r="Y127" s="19"/>
      <c r="Z127" s="10">
        <v>84.3</v>
      </c>
      <c r="AA127" s="18">
        <v>45775</v>
      </c>
      <c r="AB127" s="46"/>
      <c r="AC127" s="46"/>
      <c r="BG127" s="28"/>
      <c r="BH127" s="28"/>
      <c r="BI127" s="28"/>
      <c r="BJ127" s="28"/>
      <c r="BK127" s="28"/>
      <c r="BL127" s="28"/>
      <c r="BM127" s="28"/>
      <c r="BN127" s="28"/>
      <c r="BO127" s="28"/>
    </row>
    <row r="128" spans="1:67" s="36" customFormat="1" ht="20.25" customHeight="1">
      <c r="A128" s="7">
        <v>45754</v>
      </c>
      <c r="B128" s="19" t="s">
        <v>477</v>
      </c>
      <c r="C128" s="19" t="s">
        <v>228</v>
      </c>
      <c r="D128" s="19" t="s">
        <v>212</v>
      </c>
      <c r="E128" s="19" t="s">
        <v>25</v>
      </c>
      <c r="F128" s="19" t="s">
        <v>478</v>
      </c>
      <c r="G128" s="19" t="s">
        <v>71</v>
      </c>
      <c r="H128" s="19" t="s">
        <v>31</v>
      </c>
      <c r="I128" s="19" t="s">
        <v>29</v>
      </c>
      <c r="J128" s="19" t="s">
        <v>27</v>
      </c>
      <c r="K128" s="19" t="s">
        <v>483</v>
      </c>
      <c r="L128" s="19" t="s">
        <v>35</v>
      </c>
      <c r="M128" s="20">
        <v>515.15</v>
      </c>
      <c r="N128" s="25">
        <v>1.33</v>
      </c>
      <c r="O128" s="19" t="s">
        <v>67</v>
      </c>
      <c r="P128" s="19" t="s">
        <v>29</v>
      </c>
      <c r="Q128" s="19" t="s">
        <v>474</v>
      </c>
      <c r="R128" s="19" t="s">
        <v>475</v>
      </c>
      <c r="S128" s="8">
        <v>45775</v>
      </c>
      <c r="T128" s="8">
        <v>45775</v>
      </c>
      <c r="U128" s="19"/>
      <c r="V128" s="55">
        <v>-0.95000000000004547</v>
      </c>
      <c r="W128" s="15" t="s">
        <v>484</v>
      </c>
      <c r="X128" s="1"/>
      <c r="Y128" s="236"/>
      <c r="Z128" s="261">
        <v>516.1</v>
      </c>
      <c r="AA128" s="262">
        <v>45775</v>
      </c>
      <c r="AB128" s="344"/>
      <c r="AC128" s="344"/>
      <c r="BG128" s="28"/>
      <c r="BH128" s="28"/>
      <c r="BI128" s="28"/>
      <c r="BJ128" s="28"/>
      <c r="BK128" s="28"/>
      <c r="BL128" s="28"/>
      <c r="BM128" s="28"/>
      <c r="BN128" s="28"/>
      <c r="BO128" s="28"/>
    </row>
    <row r="129" spans="1:67" s="36" customFormat="1" ht="20.25" customHeight="1">
      <c r="A129" s="7">
        <v>45754</v>
      </c>
      <c r="B129" s="19" t="s">
        <v>472</v>
      </c>
      <c r="C129" s="19" t="s">
        <v>228</v>
      </c>
      <c r="D129" s="19" t="s">
        <v>212</v>
      </c>
      <c r="E129" s="19" t="s">
        <v>25</v>
      </c>
      <c r="F129" s="19" t="s">
        <v>473</v>
      </c>
      <c r="G129" s="19" t="s">
        <v>71</v>
      </c>
      <c r="H129" s="19" t="s">
        <v>31</v>
      </c>
      <c r="I129" s="19" t="s">
        <v>63</v>
      </c>
      <c r="J129" s="19" t="s">
        <v>27</v>
      </c>
      <c r="K129" s="19" t="s">
        <v>234</v>
      </c>
      <c r="L129" s="19" t="s">
        <v>75</v>
      </c>
      <c r="M129" s="20">
        <v>4533.74</v>
      </c>
      <c r="N129" s="25">
        <v>1.33</v>
      </c>
      <c r="O129" s="19" t="s">
        <v>67</v>
      </c>
      <c r="P129" s="19" t="s">
        <v>29</v>
      </c>
      <c r="Q129" s="19" t="s">
        <v>474</v>
      </c>
      <c r="R129" s="19" t="s">
        <v>475</v>
      </c>
      <c r="S129" s="8">
        <v>45775</v>
      </c>
      <c r="T129" s="8">
        <v>45775</v>
      </c>
      <c r="U129" s="19"/>
      <c r="V129" s="55">
        <v>-0.56000000000040018</v>
      </c>
      <c r="W129" s="15" t="s">
        <v>476</v>
      </c>
      <c r="X129" s="1"/>
      <c r="Y129" s="19"/>
      <c r="Z129" s="10">
        <v>4534.3</v>
      </c>
      <c r="AA129" s="18">
        <v>45775</v>
      </c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G129" s="28"/>
      <c r="BH129" s="28"/>
      <c r="BI129" s="28"/>
      <c r="BJ129" s="28"/>
      <c r="BK129" s="28"/>
      <c r="BL129" s="28"/>
      <c r="BM129" s="28"/>
      <c r="BN129" s="28"/>
      <c r="BO129" s="28"/>
    </row>
    <row r="130" spans="1:67" s="36" customFormat="1" ht="20.25" customHeight="1">
      <c r="A130" s="7">
        <v>45754</v>
      </c>
      <c r="B130" s="19" t="s">
        <v>227</v>
      </c>
      <c r="C130" s="19" t="s">
        <v>228</v>
      </c>
      <c r="D130" s="19" t="s">
        <v>212</v>
      </c>
      <c r="E130" s="19" t="s">
        <v>25</v>
      </c>
      <c r="F130" s="19" t="s">
        <v>229</v>
      </c>
      <c r="G130" s="19" t="s">
        <v>71</v>
      </c>
      <c r="H130" s="19" t="s">
        <v>31</v>
      </c>
      <c r="I130" s="19" t="s">
        <v>63</v>
      </c>
      <c r="J130" s="19" t="s">
        <v>27</v>
      </c>
      <c r="K130" s="19" t="s">
        <v>234</v>
      </c>
      <c r="L130" s="19" t="s">
        <v>75</v>
      </c>
      <c r="M130" s="20">
        <v>13230.36</v>
      </c>
      <c r="N130" s="25">
        <v>1.33</v>
      </c>
      <c r="O130" s="19" t="s">
        <v>67</v>
      </c>
      <c r="P130" s="19" t="s">
        <v>29</v>
      </c>
      <c r="Q130" s="19" t="s">
        <v>231</v>
      </c>
      <c r="R130" s="19" t="s">
        <v>235</v>
      </c>
      <c r="S130" s="8">
        <v>45775</v>
      </c>
      <c r="T130" s="8">
        <v>45775</v>
      </c>
      <c r="U130" s="19"/>
      <c r="V130" s="55">
        <f>M130-U130-Z130-AB130</f>
        <v>-3.9999999999508873E-2</v>
      </c>
      <c r="W130" s="15" t="s">
        <v>236</v>
      </c>
      <c r="X130" s="1"/>
      <c r="Y130" s="19"/>
      <c r="Z130" s="10">
        <v>9910.4</v>
      </c>
      <c r="AA130" s="18">
        <v>45775</v>
      </c>
      <c r="AB130" s="19">
        <f>956.2+1420.9+942.9</f>
        <v>3320.0000000000005</v>
      </c>
      <c r="AC130" s="18">
        <v>45786</v>
      </c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G130" s="28"/>
      <c r="BH130" s="28"/>
      <c r="BI130" s="28"/>
      <c r="BJ130" s="28"/>
      <c r="BK130" s="28"/>
      <c r="BL130" s="28"/>
      <c r="BM130" s="28"/>
      <c r="BN130" s="28"/>
      <c r="BO130" s="28"/>
    </row>
    <row r="131" spans="1:67" s="36" customFormat="1" ht="20.25" customHeight="1">
      <c r="A131" s="7">
        <v>45754</v>
      </c>
      <c r="B131" s="19" t="s">
        <v>527</v>
      </c>
      <c r="C131" s="19" t="s">
        <v>243</v>
      </c>
      <c r="D131" s="19" t="s">
        <v>212</v>
      </c>
      <c r="E131" s="19" t="s">
        <v>25</v>
      </c>
      <c r="F131" s="19" t="s">
        <v>528</v>
      </c>
      <c r="G131" s="19" t="s">
        <v>71</v>
      </c>
      <c r="H131" s="19" t="s">
        <v>26</v>
      </c>
      <c r="I131" s="19" t="s">
        <v>63</v>
      </c>
      <c r="J131" s="19" t="s">
        <v>27</v>
      </c>
      <c r="K131" s="19" t="s">
        <v>529</v>
      </c>
      <c r="L131" s="19" t="s">
        <v>75</v>
      </c>
      <c r="M131" s="20">
        <v>25</v>
      </c>
      <c r="N131" s="25">
        <v>1.33</v>
      </c>
      <c r="O131" s="19" t="s">
        <v>67</v>
      </c>
      <c r="P131" s="19" t="s">
        <v>29</v>
      </c>
      <c r="Q131" s="19" t="s">
        <v>530</v>
      </c>
      <c r="R131" s="19" t="s">
        <v>29</v>
      </c>
      <c r="S131" s="8">
        <v>45775</v>
      </c>
      <c r="T131" s="8">
        <v>45775</v>
      </c>
      <c r="U131" s="19"/>
      <c r="V131" s="55">
        <v>-12.399999999999999</v>
      </c>
      <c r="W131" s="15" t="s">
        <v>531</v>
      </c>
      <c r="X131" s="1"/>
      <c r="Y131" s="19"/>
      <c r="Z131" s="10">
        <v>37.4</v>
      </c>
      <c r="AA131" s="18">
        <v>45771</v>
      </c>
      <c r="AB131" s="143"/>
      <c r="AC131" s="143"/>
      <c r="AD131" s="143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G131" s="28"/>
      <c r="BH131" s="28"/>
      <c r="BI131" s="28"/>
      <c r="BJ131" s="28"/>
      <c r="BK131" s="28"/>
      <c r="BL131" s="28"/>
      <c r="BM131" s="28"/>
      <c r="BN131" s="28"/>
      <c r="BO131" s="28"/>
    </row>
    <row r="132" spans="1:67" s="36" customFormat="1" ht="20.25" customHeight="1">
      <c r="A132" s="7">
        <v>45754</v>
      </c>
      <c r="B132" s="19" t="s">
        <v>485</v>
      </c>
      <c r="C132" s="19" t="s">
        <v>382</v>
      </c>
      <c r="D132" s="19" t="s">
        <v>212</v>
      </c>
      <c r="E132" s="19" t="s">
        <v>25</v>
      </c>
      <c r="F132" s="19" t="s">
        <v>486</v>
      </c>
      <c r="G132" s="19" t="s">
        <v>71</v>
      </c>
      <c r="H132" s="19" t="s">
        <v>31</v>
      </c>
      <c r="I132" s="19" t="s">
        <v>63</v>
      </c>
      <c r="J132" s="19" t="s">
        <v>27</v>
      </c>
      <c r="K132" s="19" t="s">
        <v>306</v>
      </c>
      <c r="L132" s="19" t="s">
        <v>75</v>
      </c>
      <c r="M132" s="20">
        <v>1059.01</v>
      </c>
      <c r="N132" s="25">
        <v>1.33</v>
      </c>
      <c r="O132" s="19" t="s">
        <v>67</v>
      </c>
      <c r="P132" s="19" t="s">
        <v>29</v>
      </c>
      <c r="Q132" s="19" t="s">
        <v>402</v>
      </c>
      <c r="R132" s="19" t="s">
        <v>393</v>
      </c>
      <c r="S132" s="8">
        <v>45768</v>
      </c>
      <c r="T132" s="8">
        <v>45775</v>
      </c>
      <c r="U132" s="19"/>
      <c r="V132" s="55">
        <v>-2.8900000000001</v>
      </c>
      <c r="W132" s="15" t="s">
        <v>490</v>
      </c>
      <c r="X132" s="19"/>
      <c r="Y132" s="80"/>
      <c r="Z132" s="153">
        <v>1061.9000000000001</v>
      </c>
      <c r="AA132" s="38">
        <v>45771</v>
      </c>
      <c r="AB132" s="375"/>
      <c r="AC132" s="120"/>
      <c r="BG132" s="254"/>
      <c r="BH132" s="254"/>
      <c r="BI132" s="254"/>
      <c r="BJ132" s="254"/>
      <c r="BK132" s="254"/>
      <c r="BL132" s="254"/>
      <c r="BM132" s="254"/>
      <c r="BN132" s="254"/>
      <c r="BO132" s="254"/>
    </row>
    <row r="133" spans="1:67" s="36" customFormat="1" ht="20.25" customHeight="1">
      <c r="A133" s="7">
        <v>45754</v>
      </c>
      <c r="B133" s="19" t="s">
        <v>502</v>
      </c>
      <c r="C133" s="19" t="s">
        <v>304</v>
      </c>
      <c r="D133" s="19" t="s">
        <v>212</v>
      </c>
      <c r="E133" s="19" t="s">
        <v>25</v>
      </c>
      <c r="F133" s="19" t="s">
        <v>503</v>
      </c>
      <c r="G133" s="19" t="s">
        <v>71</v>
      </c>
      <c r="H133" s="19" t="s">
        <v>31</v>
      </c>
      <c r="I133" s="19" t="s">
        <v>63</v>
      </c>
      <c r="J133" s="19" t="s">
        <v>27</v>
      </c>
      <c r="K133" s="19" t="s">
        <v>250</v>
      </c>
      <c r="L133" s="19" t="s">
        <v>75</v>
      </c>
      <c r="M133" s="20">
        <v>4600</v>
      </c>
      <c r="N133" s="25">
        <v>1.33</v>
      </c>
      <c r="O133" s="19" t="s">
        <v>67</v>
      </c>
      <c r="P133" s="19" t="s">
        <v>29</v>
      </c>
      <c r="Q133" s="19" t="s">
        <v>507</v>
      </c>
      <c r="R133" s="19" t="s">
        <v>29</v>
      </c>
      <c r="S133" s="8">
        <v>45775</v>
      </c>
      <c r="T133" s="8">
        <v>45775</v>
      </c>
      <c r="U133" s="19"/>
      <c r="V133" s="55">
        <v>0</v>
      </c>
      <c r="W133" s="15" t="s">
        <v>508</v>
      </c>
      <c r="X133" s="19"/>
      <c r="Y133" s="19"/>
      <c r="Z133" s="10">
        <v>4600</v>
      </c>
      <c r="AA133" s="18">
        <v>45779</v>
      </c>
      <c r="AB133" s="237"/>
      <c r="AC133" s="46"/>
      <c r="AD133" s="46"/>
      <c r="AE133" s="46"/>
      <c r="BG133" s="28"/>
      <c r="BH133" s="28"/>
      <c r="BI133" s="28"/>
      <c r="BJ133" s="28"/>
      <c r="BK133" s="28"/>
      <c r="BL133" s="28"/>
      <c r="BM133" s="28"/>
      <c r="BN133" s="28"/>
      <c r="BO133" s="28"/>
    </row>
    <row r="134" spans="1:67" s="36" customFormat="1" ht="20.25" customHeight="1">
      <c r="A134" s="7">
        <v>45754</v>
      </c>
      <c r="B134" s="19" t="s">
        <v>227</v>
      </c>
      <c r="C134" s="19" t="s">
        <v>228</v>
      </c>
      <c r="D134" s="19" t="s">
        <v>212</v>
      </c>
      <c r="E134" s="19" t="s">
        <v>25</v>
      </c>
      <c r="F134" s="19" t="s">
        <v>229</v>
      </c>
      <c r="G134" s="19" t="s">
        <v>71</v>
      </c>
      <c r="H134" s="19" t="s">
        <v>31</v>
      </c>
      <c r="I134" s="19" t="s">
        <v>63</v>
      </c>
      <c r="J134" s="19" t="s">
        <v>27</v>
      </c>
      <c r="K134" s="19" t="s">
        <v>230</v>
      </c>
      <c r="L134" s="19" t="s">
        <v>75</v>
      </c>
      <c r="M134" s="20">
        <v>2591.3200000000002</v>
      </c>
      <c r="N134" s="25">
        <v>1.33</v>
      </c>
      <c r="O134" s="19" t="s">
        <v>67</v>
      </c>
      <c r="P134" s="19" t="s">
        <v>29</v>
      </c>
      <c r="Q134" s="19" t="s">
        <v>231</v>
      </c>
      <c r="R134" s="19" t="s">
        <v>232</v>
      </c>
      <c r="S134" s="8">
        <v>45775</v>
      </c>
      <c r="T134" s="8">
        <v>45775</v>
      </c>
      <c r="U134" s="19"/>
      <c r="V134" s="55">
        <v>-2.9799999999997908</v>
      </c>
      <c r="W134" s="15" t="s">
        <v>233</v>
      </c>
      <c r="X134" s="19"/>
      <c r="Y134" s="80"/>
      <c r="Z134" s="10">
        <v>1956.6</v>
      </c>
      <c r="AA134" s="18">
        <v>45775</v>
      </c>
      <c r="AB134" s="19">
        <v>637.70000000000005</v>
      </c>
      <c r="AC134" s="18">
        <v>45786</v>
      </c>
      <c r="BG134" s="28"/>
      <c r="BH134" s="28"/>
      <c r="BI134" s="28"/>
      <c r="BJ134" s="28"/>
      <c r="BK134" s="28"/>
      <c r="BL134" s="28"/>
      <c r="BM134" s="28"/>
      <c r="BN134" s="28"/>
      <c r="BO134" s="28"/>
    </row>
    <row r="135" spans="1:67" s="36" customFormat="1" ht="20.25" customHeight="1">
      <c r="A135" s="7">
        <v>45754</v>
      </c>
      <c r="B135" s="19" t="s">
        <v>477</v>
      </c>
      <c r="C135" s="19" t="s">
        <v>228</v>
      </c>
      <c r="D135" s="19" t="s">
        <v>212</v>
      </c>
      <c r="E135" s="19" t="s">
        <v>25</v>
      </c>
      <c r="F135" s="19" t="s">
        <v>478</v>
      </c>
      <c r="G135" s="19" t="s">
        <v>71</v>
      </c>
      <c r="H135" s="19" t="s">
        <v>31</v>
      </c>
      <c r="I135" s="19" t="s">
        <v>29</v>
      </c>
      <c r="J135" s="19" t="s">
        <v>27</v>
      </c>
      <c r="K135" s="19" t="s">
        <v>230</v>
      </c>
      <c r="L135" s="19" t="s">
        <v>35</v>
      </c>
      <c r="M135" s="20">
        <v>72.099999999999994</v>
      </c>
      <c r="N135" s="25">
        <v>1.33</v>
      </c>
      <c r="O135" s="19" t="s">
        <v>479</v>
      </c>
      <c r="P135" s="19" t="s">
        <v>29</v>
      </c>
      <c r="Q135" s="19" t="s">
        <v>480</v>
      </c>
      <c r="R135" s="19" t="s">
        <v>481</v>
      </c>
      <c r="S135" s="8">
        <v>45775</v>
      </c>
      <c r="T135" s="8">
        <v>45775</v>
      </c>
      <c r="U135" s="19"/>
      <c r="V135" s="55">
        <v>-0.30000000000001137</v>
      </c>
      <c r="W135" s="15" t="s">
        <v>482</v>
      </c>
      <c r="X135" s="19"/>
      <c r="Y135" s="19"/>
      <c r="Z135" s="10">
        <v>72.400000000000006</v>
      </c>
      <c r="AA135" s="18">
        <v>45775</v>
      </c>
      <c r="AB135" s="143"/>
      <c r="AC135" s="143"/>
      <c r="BG135" s="28"/>
      <c r="BH135" s="28"/>
      <c r="BI135" s="28"/>
      <c r="BJ135" s="28"/>
      <c r="BK135" s="28"/>
      <c r="BL135" s="28"/>
      <c r="BM135" s="28"/>
      <c r="BN135" s="28"/>
      <c r="BO135" s="28"/>
    </row>
    <row r="136" spans="1:67" s="36" customFormat="1" ht="20.25" customHeight="1">
      <c r="A136" s="7">
        <v>45754</v>
      </c>
      <c r="B136" s="19" t="s">
        <v>485</v>
      </c>
      <c r="C136" s="19" t="s">
        <v>382</v>
      </c>
      <c r="D136" s="19" t="s">
        <v>212</v>
      </c>
      <c r="E136" s="19" t="s">
        <v>25</v>
      </c>
      <c r="F136" s="19" t="s">
        <v>486</v>
      </c>
      <c r="G136" s="19" t="s">
        <v>71</v>
      </c>
      <c r="H136" s="19" t="s">
        <v>31</v>
      </c>
      <c r="I136" s="19" t="s">
        <v>63</v>
      </c>
      <c r="J136" s="19" t="s">
        <v>27</v>
      </c>
      <c r="K136" s="19" t="s">
        <v>487</v>
      </c>
      <c r="L136" s="19" t="s">
        <v>75</v>
      </c>
      <c r="M136" s="20">
        <v>1135.74</v>
      </c>
      <c r="N136" s="25">
        <v>1.33</v>
      </c>
      <c r="O136" s="19" t="s">
        <v>67</v>
      </c>
      <c r="P136" s="19" t="s">
        <v>29</v>
      </c>
      <c r="Q136" s="19" t="s">
        <v>402</v>
      </c>
      <c r="R136" s="19" t="s">
        <v>488</v>
      </c>
      <c r="S136" s="8">
        <v>45768</v>
      </c>
      <c r="T136" s="8">
        <v>45775</v>
      </c>
      <c r="U136" s="19"/>
      <c r="V136" s="55">
        <v>-0.85999999999989996</v>
      </c>
      <c r="W136" s="15" t="s">
        <v>489</v>
      </c>
      <c r="X136" s="19"/>
      <c r="Y136" s="19"/>
      <c r="Z136" s="46">
        <v>1136.5999999999999</v>
      </c>
      <c r="AA136" s="138">
        <v>45771</v>
      </c>
      <c r="AB136" s="46"/>
      <c r="AC136" s="46"/>
      <c r="BG136" s="28"/>
      <c r="BH136" s="28"/>
      <c r="BI136" s="28"/>
      <c r="BJ136" s="28"/>
      <c r="BK136" s="28"/>
      <c r="BL136" s="28"/>
      <c r="BM136" s="28"/>
      <c r="BN136" s="28"/>
      <c r="BO136" s="28"/>
    </row>
    <row r="137" spans="1:67" s="36" customFormat="1" ht="20.25" customHeight="1">
      <c r="A137" s="7">
        <v>45754</v>
      </c>
      <c r="B137" s="19" t="s">
        <v>491</v>
      </c>
      <c r="C137" s="19" t="s">
        <v>382</v>
      </c>
      <c r="D137" s="19" t="s">
        <v>212</v>
      </c>
      <c r="E137" s="19" t="s">
        <v>25</v>
      </c>
      <c r="F137" s="19" t="s">
        <v>492</v>
      </c>
      <c r="G137" s="19" t="s">
        <v>71</v>
      </c>
      <c r="H137" s="19" t="s">
        <v>31</v>
      </c>
      <c r="I137" s="19" t="s">
        <v>63</v>
      </c>
      <c r="J137" s="19" t="s">
        <v>27</v>
      </c>
      <c r="K137" s="19" t="s">
        <v>487</v>
      </c>
      <c r="L137" s="19" t="s">
        <v>75</v>
      </c>
      <c r="M137" s="20">
        <v>497.04</v>
      </c>
      <c r="N137" s="25">
        <v>1.33</v>
      </c>
      <c r="O137" s="19" t="s">
        <v>67</v>
      </c>
      <c r="P137" s="19" t="s">
        <v>29</v>
      </c>
      <c r="Q137" s="19" t="s">
        <v>397</v>
      </c>
      <c r="R137" s="19" t="s">
        <v>493</v>
      </c>
      <c r="S137" s="8">
        <v>45768</v>
      </c>
      <c r="T137" s="8">
        <v>45775</v>
      </c>
      <c r="U137" s="19"/>
      <c r="V137" s="55">
        <v>-3.8599999999999568</v>
      </c>
      <c r="W137" s="15" t="s">
        <v>494</v>
      </c>
      <c r="X137" s="19" t="s">
        <v>495</v>
      </c>
      <c r="Y137" s="19"/>
      <c r="Z137" s="46">
        <v>500.9</v>
      </c>
      <c r="AA137" s="138">
        <v>45771</v>
      </c>
      <c r="AB137" s="46"/>
      <c r="AC137" s="46"/>
      <c r="BG137" s="28"/>
      <c r="BH137" s="28"/>
      <c r="BI137" s="28"/>
      <c r="BJ137" s="28"/>
      <c r="BK137" s="28"/>
      <c r="BL137" s="28"/>
      <c r="BM137" s="28"/>
      <c r="BN137" s="28"/>
      <c r="BO137" s="28"/>
    </row>
    <row r="138" spans="1:67" s="36" customFormat="1" ht="20.25" customHeight="1">
      <c r="A138" s="7">
        <v>45755</v>
      </c>
      <c r="B138" s="19" t="s">
        <v>534</v>
      </c>
      <c r="C138" s="19" t="s">
        <v>535</v>
      </c>
      <c r="D138" s="19" t="s">
        <v>212</v>
      </c>
      <c r="E138" s="19" t="s">
        <v>25</v>
      </c>
      <c r="F138" s="19" t="s">
        <v>536</v>
      </c>
      <c r="G138" s="19" t="s">
        <v>71</v>
      </c>
      <c r="H138" s="19" t="s">
        <v>26</v>
      </c>
      <c r="I138" s="19" t="s">
        <v>63</v>
      </c>
      <c r="J138" s="19" t="s">
        <v>27</v>
      </c>
      <c r="K138" s="19" t="s">
        <v>218</v>
      </c>
      <c r="L138" s="19" t="s">
        <v>75</v>
      </c>
      <c r="M138" s="20">
        <v>1636</v>
      </c>
      <c r="N138" s="25">
        <v>1.33</v>
      </c>
      <c r="O138" s="19" t="s">
        <v>67</v>
      </c>
      <c r="P138" s="19" t="s">
        <v>29</v>
      </c>
      <c r="Q138" s="19" t="s">
        <v>538</v>
      </c>
      <c r="R138" s="19" t="s">
        <v>324</v>
      </c>
      <c r="S138" s="8">
        <v>45773</v>
      </c>
      <c r="T138" s="8">
        <v>45773</v>
      </c>
      <c r="U138" s="19"/>
      <c r="V138" s="55">
        <v>-1.0999999999999091</v>
      </c>
      <c r="W138" s="15" t="s">
        <v>541</v>
      </c>
      <c r="X138" s="1"/>
      <c r="Y138" s="19"/>
      <c r="Z138" s="10">
        <v>1637.1</v>
      </c>
      <c r="AA138" s="18">
        <v>45775</v>
      </c>
      <c r="AB138" s="46"/>
      <c r="AC138" s="46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37"/>
      <c r="BH138" s="37"/>
      <c r="BI138" s="37"/>
      <c r="BJ138" s="37"/>
      <c r="BK138" s="37"/>
      <c r="BL138" s="37"/>
      <c r="BM138" s="37"/>
      <c r="BN138" s="37"/>
      <c r="BO138" s="37"/>
    </row>
    <row r="139" spans="1:67" s="36" customFormat="1" ht="20.25" customHeight="1">
      <c r="A139" s="7">
        <v>45755</v>
      </c>
      <c r="B139" s="19" t="s">
        <v>534</v>
      </c>
      <c r="C139" s="19" t="s">
        <v>535</v>
      </c>
      <c r="D139" s="19" t="s">
        <v>212</v>
      </c>
      <c r="E139" s="19" t="s">
        <v>25</v>
      </c>
      <c r="F139" s="19" t="s">
        <v>536</v>
      </c>
      <c r="G139" s="19" t="s">
        <v>71</v>
      </c>
      <c r="H139" s="19" t="s">
        <v>26</v>
      </c>
      <c r="I139" s="19" t="s">
        <v>63</v>
      </c>
      <c r="J139" s="19" t="s">
        <v>27</v>
      </c>
      <c r="K139" s="19" t="s">
        <v>537</v>
      </c>
      <c r="L139" s="19" t="s">
        <v>75</v>
      </c>
      <c r="M139" s="20">
        <v>766</v>
      </c>
      <c r="N139" s="25">
        <v>1.33</v>
      </c>
      <c r="O139" s="19" t="s">
        <v>67</v>
      </c>
      <c r="P139" s="19" t="s">
        <v>29</v>
      </c>
      <c r="Q139" s="19" t="s">
        <v>538</v>
      </c>
      <c r="R139" s="19" t="s">
        <v>539</v>
      </c>
      <c r="S139" s="8">
        <v>45773</v>
      </c>
      <c r="T139" s="8">
        <v>45773</v>
      </c>
      <c r="U139" s="19"/>
      <c r="V139" s="55">
        <v>-0.5</v>
      </c>
      <c r="W139" s="15" t="s">
        <v>540</v>
      </c>
      <c r="X139" s="1"/>
      <c r="Y139" s="19"/>
      <c r="Z139" s="10">
        <v>766.5</v>
      </c>
      <c r="AA139" s="18">
        <v>45775</v>
      </c>
      <c r="AB139" s="46"/>
      <c r="AC139" s="46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29"/>
      <c r="BH139" s="29"/>
      <c r="BI139" s="29"/>
      <c r="BJ139" s="29"/>
      <c r="BK139" s="29"/>
      <c r="BL139" s="29"/>
      <c r="BM139" s="29"/>
      <c r="BN139" s="29"/>
      <c r="BO139" s="29"/>
    </row>
    <row r="140" spans="1:67" s="36" customFormat="1" ht="20.25" customHeight="1">
      <c r="A140" s="7">
        <v>45755</v>
      </c>
      <c r="B140" s="19" t="s">
        <v>532</v>
      </c>
      <c r="C140" s="19" t="s">
        <v>438</v>
      </c>
      <c r="D140" s="19" t="s">
        <v>212</v>
      </c>
      <c r="E140" s="19" t="s">
        <v>25</v>
      </c>
      <c r="F140" s="19">
        <v>4003322165</v>
      </c>
      <c r="G140" s="19" t="s">
        <v>71</v>
      </c>
      <c r="H140" s="19" t="s">
        <v>31</v>
      </c>
      <c r="I140" s="19" t="s">
        <v>63</v>
      </c>
      <c r="J140" s="19" t="s">
        <v>27</v>
      </c>
      <c r="K140" s="19" t="s">
        <v>311</v>
      </c>
      <c r="L140" s="19" t="s">
        <v>35</v>
      </c>
      <c r="M140" s="20">
        <v>100</v>
      </c>
      <c r="N140" s="25">
        <v>1.33</v>
      </c>
      <c r="O140" s="19" t="s">
        <v>67</v>
      </c>
      <c r="P140" s="19" t="s">
        <v>29</v>
      </c>
      <c r="Q140" s="19" t="s">
        <v>29</v>
      </c>
      <c r="R140" s="19" t="s">
        <v>29</v>
      </c>
      <c r="S140" s="8">
        <v>45769</v>
      </c>
      <c r="T140" s="8">
        <v>45769</v>
      </c>
      <c r="U140" s="19"/>
      <c r="V140" s="55">
        <v>-13.900000000000006</v>
      </c>
      <c r="W140" s="15" t="s">
        <v>533</v>
      </c>
      <c r="X140" s="46"/>
      <c r="Y140" s="46"/>
      <c r="Z140" s="19">
        <v>113.9</v>
      </c>
      <c r="AA140" s="18">
        <v>45756</v>
      </c>
      <c r="AB140" s="10"/>
      <c r="AC140" s="10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G140" s="255"/>
      <c r="BH140" s="255"/>
      <c r="BI140" s="255"/>
      <c r="BJ140" s="255"/>
      <c r="BK140" s="255"/>
      <c r="BL140" s="255"/>
      <c r="BM140" s="255"/>
      <c r="BN140" s="255"/>
      <c r="BO140" s="255"/>
    </row>
    <row r="141" spans="1:67" s="36" customFormat="1" ht="20.25" customHeight="1">
      <c r="A141" s="7">
        <v>45756</v>
      </c>
      <c r="B141" s="19" t="s">
        <v>542</v>
      </c>
      <c r="C141" s="19" t="s">
        <v>304</v>
      </c>
      <c r="D141" s="19" t="s">
        <v>212</v>
      </c>
      <c r="E141" s="19" t="s">
        <v>25</v>
      </c>
      <c r="F141" s="19" t="s">
        <v>543</v>
      </c>
      <c r="G141" s="19" t="s">
        <v>71</v>
      </c>
      <c r="H141" s="19" t="s">
        <v>31</v>
      </c>
      <c r="I141" s="19" t="s">
        <v>63</v>
      </c>
      <c r="J141" s="19" t="s">
        <v>27</v>
      </c>
      <c r="K141" s="19" t="s">
        <v>345</v>
      </c>
      <c r="L141" s="19" t="s">
        <v>75</v>
      </c>
      <c r="M141" s="20">
        <v>375</v>
      </c>
      <c r="N141" s="25">
        <v>1.33</v>
      </c>
      <c r="O141" s="19" t="s">
        <v>67</v>
      </c>
      <c r="P141" s="19" t="s">
        <v>29</v>
      </c>
      <c r="Q141" s="19" t="s">
        <v>29</v>
      </c>
      <c r="R141" s="19" t="s">
        <v>544</v>
      </c>
      <c r="S141" s="8">
        <v>45776</v>
      </c>
      <c r="T141" s="8">
        <v>45775</v>
      </c>
      <c r="U141" s="19"/>
      <c r="V141" s="55">
        <v>-2.8999999999999773</v>
      </c>
      <c r="W141" s="15" t="s">
        <v>545</v>
      </c>
      <c r="X141" s="19"/>
      <c r="Y141" s="19"/>
      <c r="Z141" s="10">
        <v>377.9</v>
      </c>
      <c r="AA141" s="18">
        <v>45779</v>
      </c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G141" s="28"/>
      <c r="BH141" s="28"/>
      <c r="BI141" s="28"/>
      <c r="BJ141" s="28"/>
      <c r="BK141" s="28"/>
      <c r="BL141" s="28"/>
      <c r="BM141" s="28"/>
      <c r="BN141" s="28"/>
      <c r="BO141" s="28"/>
    </row>
    <row r="142" spans="1:67" s="36" customFormat="1" ht="20.25" customHeight="1">
      <c r="A142" s="7">
        <v>45756</v>
      </c>
      <c r="B142" s="19" t="s">
        <v>248</v>
      </c>
      <c r="C142" s="19" t="s">
        <v>211</v>
      </c>
      <c r="D142" s="19" t="s">
        <v>212</v>
      </c>
      <c r="E142" s="19" t="s">
        <v>25</v>
      </c>
      <c r="F142" s="19" t="s">
        <v>249</v>
      </c>
      <c r="G142" s="19" t="s">
        <v>71</v>
      </c>
      <c r="H142" s="19" t="s">
        <v>31</v>
      </c>
      <c r="I142" s="19" t="s">
        <v>63</v>
      </c>
      <c r="J142" s="19" t="s">
        <v>27</v>
      </c>
      <c r="K142" s="19" t="s">
        <v>250</v>
      </c>
      <c r="L142" s="19" t="s">
        <v>75</v>
      </c>
      <c r="M142" s="20">
        <v>1259</v>
      </c>
      <c r="N142" s="25">
        <v>1.33</v>
      </c>
      <c r="O142" s="19" t="s">
        <v>67</v>
      </c>
      <c r="P142" s="19" t="s">
        <v>29</v>
      </c>
      <c r="Q142" s="19" t="s">
        <v>251</v>
      </c>
      <c r="R142" s="19" t="s">
        <v>29</v>
      </c>
      <c r="S142" s="8">
        <v>45779</v>
      </c>
      <c r="T142" s="8">
        <v>45779</v>
      </c>
      <c r="U142" s="19"/>
      <c r="V142" s="55">
        <v>-0.59999999999990905</v>
      </c>
      <c r="W142" s="15" t="s">
        <v>252</v>
      </c>
      <c r="X142" s="19"/>
      <c r="Y142" s="19"/>
      <c r="Z142" s="10">
        <v>1259.5999999999999</v>
      </c>
      <c r="AA142" s="18">
        <v>45782</v>
      </c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G142" s="28"/>
      <c r="BH142" s="28"/>
      <c r="BI142" s="28"/>
      <c r="BJ142" s="28"/>
      <c r="BK142" s="28"/>
      <c r="BL142" s="28"/>
      <c r="BM142" s="28"/>
      <c r="BN142" s="28"/>
      <c r="BO142" s="28"/>
    </row>
    <row r="143" spans="1:67" s="36" customFormat="1" ht="20.25" customHeight="1">
      <c r="A143" s="289">
        <v>45758</v>
      </c>
      <c r="B143" s="278" t="s">
        <v>546</v>
      </c>
      <c r="C143" s="278" t="s">
        <v>535</v>
      </c>
      <c r="D143" s="278" t="s">
        <v>212</v>
      </c>
      <c r="E143" s="278" t="s">
        <v>25</v>
      </c>
      <c r="F143" s="278" t="s">
        <v>547</v>
      </c>
      <c r="G143" s="278" t="s">
        <v>71</v>
      </c>
      <c r="H143" s="278" t="s">
        <v>26</v>
      </c>
      <c r="I143" s="278" t="s">
        <v>63</v>
      </c>
      <c r="J143" s="278" t="s">
        <v>27</v>
      </c>
      <c r="K143" s="278" t="s">
        <v>218</v>
      </c>
      <c r="L143" s="278" t="s">
        <v>75</v>
      </c>
      <c r="M143" s="290"/>
      <c r="N143" s="291">
        <v>1.33</v>
      </c>
      <c r="O143" s="278" t="s">
        <v>67</v>
      </c>
      <c r="P143" s="278" t="s">
        <v>29</v>
      </c>
      <c r="Q143" s="278" t="s">
        <v>548</v>
      </c>
      <c r="R143" s="278" t="s">
        <v>29</v>
      </c>
      <c r="S143" s="297" t="s">
        <v>258</v>
      </c>
      <c r="T143" s="278" t="s">
        <v>29</v>
      </c>
      <c r="U143" s="278"/>
      <c r="V143" s="293">
        <v>0</v>
      </c>
      <c r="W143" s="294" t="s">
        <v>549</v>
      </c>
      <c r="X143" s="1"/>
      <c r="Y143" s="339"/>
      <c r="Z143" s="352"/>
      <c r="AA143" s="352"/>
      <c r="AB143" s="373"/>
      <c r="AC143" s="376"/>
      <c r="AD143" s="287"/>
      <c r="AE143" s="287"/>
      <c r="AF143" s="287"/>
      <c r="AG143" s="287"/>
      <c r="AH143" s="287"/>
      <c r="AI143" s="287"/>
      <c r="AJ143" s="287"/>
      <c r="AK143" s="287"/>
      <c r="AL143" s="287"/>
      <c r="AM143" s="287"/>
      <c r="AN143" s="287"/>
      <c r="AO143" s="287"/>
      <c r="AP143" s="287"/>
      <c r="AQ143" s="287"/>
      <c r="AR143" s="287"/>
      <c r="AS143" s="287"/>
      <c r="AT143" s="287"/>
      <c r="AU143" s="287"/>
      <c r="AV143" s="287"/>
      <c r="AW143" s="287"/>
      <c r="AX143" s="287"/>
      <c r="AY143" s="287"/>
      <c r="AZ143" s="287"/>
      <c r="BA143" s="287"/>
      <c r="BB143" s="287"/>
      <c r="BC143" s="287"/>
      <c r="BD143" s="287"/>
      <c r="BE143" s="287"/>
      <c r="BF143" s="287"/>
      <c r="BG143" s="286"/>
      <c r="BH143" s="286"/>
      <c r="BI143" s="286"/>
      <c r="BJ143" s="286"/>
      <c r="BK143" s="286"/>
      <c r="BL143" s="286"/>
      <c r="BM143" s="286"/>
      <c r="BN143" s="286"/>
      <c r="BO143" s="286"/>
    </row>
    <row r="144" spans="1:67" s="287" customFormat="1" ht="20.25" customHeight="1">
      <c r="A144" s="7">
        <v>45758</v>
      </c>
      <c r="B144" s="19" t="s">
        <v>253</v>
      </c>
      <c r="C144" s="19" t="s">
        <v>228</v>
      </c>
      <c r="D144" s="19" t="s">
        <v>212</v>
      </c>
      <c r="E144" s="19" t="s">
        <v>25</v>
      </c>
      <c r="F144" s="19" t="s">
        <v>254</v>
      </c>
      <c r="G144" s="19" t="s">
        <v>71</v>
      </c>
      <c r="H144" s="19" t="s">
        <v>31</v>
      </c>
      <c r="I144" s="19" t="s">
        <v>63</v>
      </c>
      <c r="J144" s="19" t="s">
        <v>27</v>
      </c>
      <c r="K144" s="19" t="s">
        <v>255</v>
      </c>
      <c r="L144" s="19" t="s">
        <v>75</v>
      </c>
      <c r="M144" s="20">
        <v>461.53</v>
      </c>
      <c r="N144" s="25">
        <v>1.33</v>
      </c>
      <c r="O144" s="19" t="s">
        <v>67</v>
      </c>
      <c r="P144" s="19" t="s">
        <v>29</v>
      </c>
      <c r="Q144" s="19" t="s">
        <v>256</v>
      </c>
      <c r="R144" s="19" t="s">
        <v>257</v>
      </c>
      <c r="S144" s="45" t="s">
        <v>258</v>
      </c>
      <c r="T144" s="8">
        <v>45782</v>
      </c>
      <c r="U144" s="19"/>
      <c r="V144" s="55">
        <f>M144-U144-Z144</f>
        <v>-0.87000000000000455</v>
      </c>
      <c r="W144" s="15" t="s">
        <v>259</v>
      </c>
      <c r="X144" s="19"/>
      <c r="Y144" s="19"/>
      <c r="Z144" s="19">
        <v>462.4</v>
      </c>
      <c r="AA144" s="18">
        <v>45786</v>
      </c>
      <c r="AB144" s="143"/>
      <c r="AC144" s="143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6"/>
      <c r="BG144" s="28"/>
      <c r="BH144" s="28"/>
      <c r="BI144" s="28"/>
      <c r="BJ144" s="28"/>
      <c r="BK144" s="28"/>
      <c r="BL144" s="28"/>
      <c r="BM144" s="28"/>
      <c r="BN144" s="28"/>
      <c r="BO144" s="28"/>
    </row>
    <row r="145" spans="1:67" s="36" customFormat="1" ht="20.25" customHeight="1">
      <c r="A145" s="7">
        <v>45761</v>
      </c>
      <c r="B145" s="19" t="s">
        <v>260</v>
      </c>
      <c r="C145" s="19" t="s">
        <v>228</v>
      </c>
      <c r="D145" s="19" t="s">
        <v>212</v>
      </c>
      <c r="E145" s="19" t="s">
        <v>25</v>
      </c>
      <c r="F145" s="19" t="s">
        <v>261</v>
      </c>
      <c r="G145" s="19" t="s">
        <v>71</v>
      </c>
      <c r="H145" s="19" t="s">
        <v>31</v>
      </c>
      <c r="I145" s="19" t="s">
        <v>63</v>
      </c>
      <c r="J145" s="19" t="s">
        <v>27</v>
      </c>
      <c r="K145" s="19" t="s">
        <v>230</v>
      </c>
      <c r="L145" s="19" t="s">
        <v>75</v>
      </c>
      <c r="M145" s="20">
        <v>13</v>
      </c>
      <c r="N145" s="25">
        <v>0</v>
      </c>
      <c r="O145" s="19" t="s">
        <v>67</v>
      </c>
      <c r="P145" s="19"/>
      <c r="Q145" s="19" t="s">
        <v>262</v>
      </c>
      <c r="R145" s="19" t="s">
        <v>263</v>
      </c>
      <c r="S145" s="8" t="s">
        <v>264</v>
      </c>
      <c r="T145" s="8">
        <v>45782</v>
      </c>
      <c r="U145" s="19"/>
      <c r="V145" s="55">
        <f>M145-U145-Z145</f>
        <v>-2.0999999999999996</v>
      </c>
      <c r="W145" s="15" t="s">
        <v>265</v>
      </c>
      <c r="X145" s="19"/>
      <c r="Y145" s="104"/>
      <c r="Z145" s="82">
        <v>15.1</v>
      </c>
      <c r="AA145" s="265">
        <v>45786</v>
      </c>
      <c r="AB145" s="142"/>
      <c r="AC145" s="142"/>
      <c r="BG145" s="28"/>
      <c r="BH145" s="28"/>
      <c r="BI145" s="28"/>
      <c r="BJ145" s="28"/>
      <c r="BK145" s="28"/>
      <c r="BL145" s="28"/>
      <c r="BM145" s="28"/>
      <c r="BN145" s="28"/>
      <c r="BO145" s="28"/>
    </row>
    <row r="146" spans="1:67" s="36" customFormat="1" ht="20.25" customHeight="1">
      <c r="A146" s="7">
        <v>45762</v>
      </c>
      <c r="B146" s="19" t="s">
        <v>266</v>
      </c>
      <c r="C146" s="19" t="s">
        <v>267</v>
      </c>
      <c r="D146" s="19" t="s">
        <v>212</v>
      </c>
      <c r="E146" s="19" t="s">
        <v>25</v>
      </c>
      <c r="F146" s="19" t="s">
        <v>268</v>
      </c>
      <c r="G146" s="19" t="s">
        <v>71</v>
      </c>
      <c r="H146" s="19" t="s">
        <v>26</v>
      </c>
      <c r="I146" s="19" t="s">
        <v>63</v>
      </c>
      <c r="J146" s="19" t="s">
        <v>27</v>
      </c>
      <c r="K146" s="19" t="s">
        <v>214</v>
      </c>
      <c r="L146" s="19" t="s">
        <v>75</v>
      </c>
      <c r="M146" s="20">
        <v>23178.799999999999</v>
      </c>
      <c r="N146" s="25">
        <v>1.32</v>
      </c>
      <c r="O146" s="19" t="s">
        <v>67</v>
      </c>
      <c r="P146" s="19"/>
      <c r="Q146" s="19" t="s">
        <v>269</v>
      </c>
      <c r="R146" s="19"/>
      <c r="S146" s="8" t="s">
        <v>270</v>
      </c>
      <c r="T146" s="8">
        <v>45783</v>
      </c>
      <c r="U146" s="19"/>
      <c r="V146" s="55">
        <f>M146-U146-Z146-AB146</f>
        <v>0</v>
      </c>
      <c r="W146" s="15" t="s">
        <v>271</v>
      </c>
      <c r="X146" s="19" t="s">
        <v>272</v>
      </c>
      <c r="Y146" s="19"/>
      <c r="Z146" s="10">
        <v>13823.099999999999</v>
      </c>
      <c r="AA146" s="18">
        <v>45779</v>
      </c>
      <c r="AB146" s="19">
        <v>9355.7000000000007</v>
      </c>
      <c r="AC146" s="18">
        <v>45783</v>
      </c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G146" s="29"/>
      <c r="BH146" s="29"/>
      <c r="BI146" s="29"/>
      <c r="BJ146" s="29"/>
      <c r="BK146" s="29"/>
      <c r="BL146" s="29"/>
      <c r="BM146" s="29"/>
      <c r="BN146" s="29"/>
      <c r="BO146" s="29"/>
    </row>
    <row r="147" spans="1:67" s="36" customFormat="1" ht="20.25" customHeight="1">
      <c r="A147" s="7">
        <v>45762</v>
      </c>
      <c r="B147" s="19" t="s">
        <v>266</v>
      </c>
      <c r="C147" s="19" t="s">
        <v>267</v>
      </c>
      <c r="D147" s="19" t="s">
        <v>212</v>
      </c>
      <c r="E147" s="19" t="s">
        <v>25</v>
      </c>
      <c r="F147" s="19" t="s">
        <v>268</v>
      </c>
      <c r="G147" s="19" t="s">
        <v>71</v>
      </c>
      <c r="H147" s="19" t="s">
        <v>26</v>
      </c>
      <c r="I147" s="19" t="s">
        <v>63</v>
      </c>
      <c r="J147" s="19" t="s">
        <v>27</v>
      </c>
      <c r="K147" s="19" t="s">
        <v>273</v>
      </c>
      <c r="L147" s="19" t="s">
        <v>75</v>
      </c>
      <c r="M147" s="20">
        <v>4720</v>
      </c>
      <c r="N147" s="25">
        <v>1.32</v>
      </c>
      <c r="O147" s="19" t="s">
        <v>67</v>
      </c>
      <c r="P147" s="19"/>
      <c r="Q147" s="19" t="s">
        <v>550</v>
      </c>
      <c r="R147" s="19"/>
      <c r="S147" s="8" t="s">
        <v>270</v>
      </c>
      <c r="T147" s="8">
        <v>45783</v>
      </c>
      <c r="U147" s="19"/>
      <c r="V147" s="55">
        <v>-0.1999999999998181</v>
      </c>
      <c r="W147" s="15" t="s">
        <v>551</v>
      </c>
      <c r="X147" s="1" t="s">
        <v>552</v>
      </c>
      <c r="Y147" s="19"/>
      <c r="Z147" s="10">
        <v>4720.2</v>
      </c>
      <c r="AA147" s="18">
        <v>45779</v>
      </c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336"/>
      <c r="AW147" s="336"/>
      <c r="AX147" s="336"/>
      <c r="AY147" s="336"/>
      <c r="AZ147" s="336"/>
      <c r="BA147" s="336"/>
      <c r="BB147" s="336"/>
      <c r="BC147" s="336"/>
      <c r="BD147" s="336"/>
      <c r="BE147" s="336"/>
      <c r="BF147" s="87"/>
      <c r="BG147" s="29"/>
      <c r="BH147" s="29"/>
      <c r="BI147" s="29"/>
      <c r="BJ147" s="29"/>
      <c r="BK147" s="29"/>
      <c r="BL147" s="29"/>
      <c r="BM147" s="29"/>
      <c r="BN147" s="29"/>
      <c r="BO147" s="29"/>
    </row>
    <row r="148" spans="1:67" s="36" customFormat="1" ht="20.25" customHeight="1">
      <c r="A148" s="7">
        <v>45762</v>
      </c>
      <c r="B148" s="19" t="s">
        <v>266</v>
      </c>
      <c r="C148" s="19" t="s">
        <v>267</v>
      </c>
      <c r="D148" s="19" t="s">
        <v>212</v>
      </c>
      <c r="E148" s="19" t="s">
        <v>25</v>
      </c>
      <c r="F148" s="19" t="s">
        <v>268</v>
      </c>
      <c r="G148" s="19" t="s">
        <v>71</v>
      </c>
      <c r="H148" s="19" t="s">
        <v>26</v>
      </c>
      <c r="I148" s="19" t="s">
        <v>63</v>
      </c>
      <c r="J148" s="19" t="s">
        <v>27</v>
      </c>
      <c r="K148" s="19" t="s">
        <v>273</v>
      </c>
      <c r="L148" s="19" t="s">
        <v>75</v>
      </c>
      <c r="M148" s="20">
        <v>24628</v>
      </c>
      <c r="N148" s="25">
        <v>1.32</v>
      </c>
      <c r="O148" s="19" t="s">
        <v>67</v>
      </c>
      <c r="P148" s="19"/>
      <c r="Q148" s="19" t="s">
        <v>274</v>
      </c>
      <c r="R148" s="19"/>
      <c r="S148" s="8" t="s">
        <v>270</v>
      </c>
      <c r="T148" s="8">
        <v>45783</v>
      </c>
      <c r="U148" s="19"/>
      <c r="V148" s="55">
        <f>M148-U148-Z148-AB148-AD148-AF148-AH148-AJ148-AL148</f>
        <v>-1.7000000000014523</v>
      </c>
      <c r="W148" s="15" t="s">
        <v>275</v>
      </c>
      <c r="X148" s="1" t="s">
        <v>1090</v>
      </c>
      <c r="Y148" s="19"/>
      <c r="Z148" s="10">
        <v>7509.5</v>
      </c>
      <c r="AA148" s="18">
        <v>45779</v>
      </c>
      <c r="AB148" s="19">
        <v>3730</v>
      </c>
      <c r="AC148" s="18">
        <v>45783</v>
      </c>
      <c r="AD148" s="19">
        <f>3630.3+3380.3+633.5+2413.3</f>
        <v>10057.400000000001</v>
      </c>
      <c r="AE148" s="18">
        <v>45786</v>
      </c>
      <c r="AF148" s="19">
        <v>1383.4</v>
      </c>
      <c r="AG148" s="24">
        <v>45796</v>
      </c>
      <c r="AH148" s="19">
        <f>297.5+304.3+109.2</f>
        <v>711</v>
      </c>
      <c r="AI148" s="18">
        <v>45799</v>
      </c>
      <c r="AJ148" s="19">
        <f>566.9+574.2</f>
        <v>1141.0999999999999</v>
      </c>
      <c r="AK148" s="18">
        <v>45804</v>
      </c>
      <c r="AL148" s="19">
        <v>97.3</v>
      </c>
      <c r="AM148" s="24">
        <v>45818</v>
      </c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G148" s="29"/>
      <c r="BH148" s="29"/>
      <c r="BI148" s="29"/>
      <c r="BJ148" s="29"/>
      <c r="BK148" s="29"/>
      <c r="BL148" s="29"/>
      <c r="BM148" s="29"/>
      <c r="BN148" s="29"/>
      <c r="BO148" s="29"/>
    </row>
    <row r="149" spans="1:67" s="36" customFormat="1" ht="20.25" customHeight="1">
      <c r="A149" s="7">
        <v>45764</v>
      </c>
      <c r="B149" s="19" t="s">
        <v>553</v>
      </c>
      <c r="C149" s="19" t="s">
        <v>535</v>
      </c>
      <c r="D149" s="19" t="s">
        <v>212</v>
      </c>
      <c r="E149" s="19" t="s">
        <v>25</v>
      </c>
      <c r="F149" s="19" t="s">
        <v>554</v>
      </c>
      <c r="G149" s="19" t="s">
        <v>71</v>
      </c>
      <c r="H149" s="19" t="s">
        <v>26</v>
      </c>
      <c r="I149" s="19" t="s">
        <v>63</v>
      </c>
      <c r="J149" s="19" t="s">
        <v>27</v>
      </c>
      <c r="K149" s="19" t="s">
        <v>214</v>
      </c>
      <c r="L149" s="19" t="s">
        <v>75</v>
      </c>
      <c r="M149" s="20">
        <v>479</v>
      </c>
      <c r="N149" s="25">
        <v>1.33</v>
      </c>
      <c r="O149" s="19" t="s">
        <v>67</v>
      </c>
      <c r="P149" s="19"/>
      <c r="Q149" s="19" t="s">
        <v>558</v>
      </c>
      <c r="R149" s="19"/>
      <c r="S149" s="8" t="s">
        <v>270</v>
      </c>
      <c r="T149" s="8">
        <v>45778</v>
      </c>
      <c r="U149" s="19"/>
      <c r="V149" s="55">
        <v>-0.30000000000001137</v>
      </c>
      <c r="W149" s="15" t="s">
        <v>559</v>
      </c>
      <c r="X149" s="19"/>
      <c r="Y149" s="19"/>
      <c r="Z149" s="46">
        <v>479.3</v>
      </c>
      <c r="AA149" s="138">
        <v>45775</v>
      </c>
      <c r="AB149" s="46"/>
      <c r="AC149" s="46"/>
      <c r="AD149" s="46"/>
      <c r="AE149" s="46"/>
      <c r="AF149" s="46"/>
      <c r="AG149" s="46"/>
      <c r="AH149" s="46"/>
      <c r="AI149" s="46"/>
      <c r="AJ149" s="336"/>
      <c r="AK149" s="336"/>
      <c r="AL149" s="336"/>
      <c r="AM149" s="336"/>
      <c r="AN149" s="336"/>
      <c r="AO149" s="336"/>
      <c r="AP149" s="336"/>
      <c r="AQ149" s="336"/>
      <c r="AR149" s="336"/>
      <c r="AS149" s="336"/>
      <c r="AT149" s="336"/>
      <c r="AU149" s="33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G149" s="29"/>
      <c r="BH149" s="29"/>
      <c r="BI149" s="29"/>
      <c r="BJ149" s="29"/>
      <c r="BK149" s="29"/>
      <c r="BL149" s="29"/>
      <c r="BM149" s="29"/>
      <c r="BN149" s="29"/>
      <c r="BO149" s="29"/>
    </row>
    <row r="150" spans="1:67" s="36" customFormat="1" ht="20.25" customHeight="1">
      <c r="A150" s="7">
        <v>45764</v>
      </c>
      <c r="B150" s="19" t="s">
        <v>553</v>
      </c>
      <c r="C150" s="19" t="s">
        <v>535</v>
      </c>
      <c r="D150" s="19" t="s">
        <v>212</v>
      </c>
      <c r="E150" s="19" t="s">
        <v>25</v>
      </c>
      <c r="F150" s="19" t="s">
        <v>554</v>
      </c>
      <c r="G150" s="19" t="s">
        <v>71</v>
      </c>
      <c r="H150" s="19" t="s">
        <v>26</v>
      </c>
      <c r="I150" s="19" t="s">
        <v>63</v>
      </c>
      <c r="J150" s="19" t="s">
        <v>27</v>
      </c>
      <c r="K150" s="19" t="s">
        <v>555</v>
      </c>
      <c r="L150" s="19" t="s">
        <v>75</v>
      </c>
      <c r="M150" s="20">
        <v>222</v>
      </c>
      <c r="N150" s="25">
        <v>1.33</v>
      </c>
      <c r="O150" s="19" t="s">
        <v>67</v>
      </c>
      <c r="P150" s="19"/>
      <c r="Q150" s="19" t="s">
        <v>556</v>
      </c>
      <c r="R150" s="19"/>
      <c r="S150" s="8" t="s">
        <v>270</v>
      </c>
      <c r="T150" s="8">
        <v>45778</v>
      </c>
      <c r="U150" s="19"/>
      <c r="V150" s="55">
        <v>-2.8000000000000114</v>
      </c>
      <c r="W150" s="15" t="s">
        <v>557</v>
      </c>
      <c r="X150" s="1"/>
      <c r="Y150" s="19"/>
      <c r="Z150" s="10">
        <v>224.8</v>
      </c>
      <c r="AA150" s="18">
        <v>45775</v>
      </c>
      <c r="AB150" s="46"/>
      <c r="AC150" s="46"/>
      <c r="AD150" s="46"/>
      <c r="AE150" s="46"/>
      <c r="AF150" s="46"/>
      <c r="AG150" s="46"/>
      <c r="AH150" s="46"/>
      <c r="AI150" s="46"/>
      <c r="AJ150" s="336"/>
      <c r="AK150" s="336"/>
      <c r="AL150" s="336"/>
      <c r="AM150" s="336"/>
      <c r="AN150" s="336"/>
      <c r="AO150" s="336"/>
      <c r="AP150" s="336"/>
      <c r="AQ150" s="336"/>
      <c r="AR150" s="336"/>
      <c r="AS150" s="336"/>
      <c r="AT150" s="336"/>
      <c r="AU150" s="33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G150" s="29"/>
      <c r="BH150" s="29"/>
      <c r="BI150" s="29"/>
      <c r="BJ150" s="29"/>
      <c r="BK150" s="29"/>
      <c r="BL150" s="29"/>
      <c r="BM150" s="29"/>
      <c r="BN150" s="29"/>
      <c r="BO150" s="29"/>
    </row>
    <row r="151" spans="1:67" s="287" customFormat="1" ht="20.25" customHeight="1">
      <c r="A151" s="7">
        <v>45769</v>
      </c>
      <c r="B151" s="19" t="s">
        <v>276</v>
      </c>
      <c r="C151" s="19" t="s">
        <v>211</v>
      </c>
      <c r="D151" s="19" t="s">
        <v>212</v>
      </c>
      <c r="E151" s="19" t="s">
        <v>25</v>
      </c>
      <c r="F151" s="19" t="s">
        <v>277</v>
      </c>
      <c r="G151" s="19" t="s">
        <v>71</v>
      </c>
      <c r="H151" s="19" t="s">
        <v>31</v>
      </c>
      <c r="I151" s="19" t="s">
        <v>63</v>
      </c>
      <c r="J151" s="19" t="s">
        <v>27</v>
      </c>
      <c r="K151" s="19" t="s">
        <v>345</v>
      </c>
      <c r="L151" s="19" t="s">
        <v>75</v>
      </c>
      <c r="M151" s="20">
        <v>558</v>
      </c>
      <c r="N151" s="25">
        <v>1.33</v>
      </c>
      <c r="O151" s="19" t="s">
        <v>67</v>
      </c>
      <c r="P151" s="19"/>
      <c r="Q151" s="19" t="s">
        <v>278</v>
      </c>
      <c r="R151" s="19"/>
      <c r="S151" s="8" t="s">
        <v>279</v>
      </c>
      <c r="T151" s="8">
        <v>45790</v>
      </c>
      <c r="U151" s="19"/>
      <c r="V151" s="55">
        <v>-2.3999999999999773</v>
      </c>
      <c r="W151" s="15" t="s">
        <v>280</v>
      </c>
      <c r="X151" s="19"/>
      <c r="Y151" s="19"/>
      <c r="Z151" s="19">
        <v>560.4</v>
      </c>
      <c r="AA151" s="18">
        <v>45784</v>
      </c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6"/>
      <c r="BG151" s="28"/>
      <c r="BH151" s="28"/>
      <c r="BI151" s="28"/>
      <c r="BJ151" s="28"/>
      <c r="BK151" s="28"/>
      <c r="BL151" s="28"/>
      <c r="BM151" s="28"/>
      <c r="BN151" s="28"/>
      <c r="BO151" s="28"/>
    </row>
    <row r="152" spans="1:67" s="36" customFormat="1" ht="20.25" customHeight="1">
      <c r="A152" s="7">
        <v>45769</v>
      </c>
      <c r="B152" s="19" t="s">
        <v>276</v>
      </c>
      <c r="C152" s="19" t="s">
        <v>211</v>
      </c>
      <c r="D152" s="19" t="s">
        <v>212</v>
      </c>
      <c r="E152" s="19" t="s">
        <v>25</v>
      </c>
      <c r="F152" s="19" t="s">
        <v>277</v>
      </c>
      <c r="G152" s="19" t="s">
        <v>71</v>
      </c>
      <c r="H152" s="19" t="s">
        <v>31</v>
      </c>
      <c r="I152" s="19" t="s">
        <v>63</v>
      </c>
      <c r="J152" s="19" t="s">
        <v>27</v>
      </c>
      <c r="K152" s="19" t="s">
        <v>345</v>
      </c>
      <c r="L152" s="19" t="s">
        <v>75</v>
      </c>
      <c r="M152" s="20">
        <v>125</v>
      </c>
      <c r="N152" s="25">
        <v>1.33</v>
      </c>
      <c r="O152" s="19" t="s">
        <v>67</v>
      </c>
      <c r="P152" s="19"/>
      <c r="Q152" s="19" t="s">
        <v>281</v>
      </c>
      <c r="R152" s="19"/>
      <c r="S152" s="8" t="s">
        <v>279</v>
      </c>
      <c r="T152" s="8">
        <v>45790</v>
      </c>
      <c r="U152" s="19"/>
      <c r="V152" s="55">
        <v>-0.90000000000000568</v>
      </c>
      <c r="W152" s="15" t="s">
        <v>282</v>
      </c>
      <c r="X152" s="19"/>
      <c r="Y152" s="104"/>
      <c r="Z152" s="80">
        <v>125.9</v>
      </c>
      <c r="AA152" s="38">
        <v>45784</v>
      </c>
      <c r="AB152" s="120"/>
      <c r="AC152" s="120"/>
      <c r="BG152" s="28"/>
      <c r="BH152" s="28"/>
      <c r="BI152" s="28"/>
      <c r="BJ152" s="28"/>
      <c r="BK152" s="28"/>
      <c r="BL152" s="28"/>
      <c r="BM152" s="28"/>
      <c r="BN152" s="28"/>
      <c r="BO152" s="28"/>
    </row>
    <row r="153" spans="1:67" s="87" customFormat="1" ht="20.25" customHeight="1">
      <c r="A153" s="7">
        <v>45771</v>
      </c>
      <c r="B153" s="19" t="s">
        <v>283</v>
      </c>
      <c r="C153" s="19" t="s">
        <v>267</v>
      </c>
      <c r="D153" s="19" t="s">
        <v>212</v>
      </c>
      <c r="E153" s="19" t="s">
        <v>34</v>
      </c>
      <c r="F153" s="19" t="s">
        <v>284</v>
      </c>
      <c r="G153" s="19" t="s">
        <v>71</v>
      </c>
      <c r="H153" s="19" t="s">
        <v>26</v>
      </c>
      <c r="I153" s="19" t="s">
        <v>63</v>
      </c>
      <c r="J153" s="19" t="s">
        <v>27</v>
      </c>
      <c r="K153" s="19" t="s">
        <v>273</v>
      </c>
      <c r="L153" s="19" t="s">
        <v>75</v>
      </c>
      <c r="M153" s="20">
        <v>200</v>
      </c>
      <c r="N153" s="25">
        <v>0</v>
      </c>
      <c r="O153" s="19" t="s">
        <v>67</v>
      </c>
      <c r="P153" s="19"/>
      <c r="Q153" s="19" t="s">
        <v>285</v>
      </c>
      <c r="R153" s="19"/>
      <c r="S153" s="8" t="s">
        <v>286</v>
      </c>
      <c r="T153" s="8">
        <v>45785</v>
      </c>
      <c r="U153" s="19"/>
      <c r="V153" s="55">
        <f>M153-U153-Z153</f>
        <v>-0.69999999999998863</v>
      </c>
      <c r="W153" s="15" t="s">
        <v>287</v>
      </c>
      <c r="X153" s="1"/>
      <c r="Y153" s="351"/>
      <c r="Z153" s="230">
        <v>200.7</v>
      </c>
      <c r="AA153" s="232">
        <v>45783</v>
      </c>
      <c r="AB153" s="248"/>
      <c r="AC153" s="248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29"/>
      <c r="BH153" s="29"/>
      <c r="BI153" s="29"/>
      <c r="BJ153" s="29"/>
      <c r="BK153" s="29"/>
      <c r="BL153" s="29"/>
      <c r="BM153" s="29"/>
      <c r="BN153" s="29"/>
      <c r="BO153" s="29"/>
    </row>
    <row r="154" spans="1:67" s="36" customFormat="1" ht="20.25" customHeight="1">
      <c r="A154" s="7">
        <v>45777</v>
      </c>
      <c r="B154" s="19" t="s">
        <v>560</v>
      </c>
      <c r="C154" s="124" t="s">
        <v>535</v>
      </c>
      <c r="D154" s="19" t="s">
        <v>212</v>
      </c>
      <c r="E154" s="10" t="s">
        <v>25</v>
      </c>
      <c r="F154" s="19" t="s">
        <v>561</v>
      </c>
      <c r="G154" s="19" t="s">
        <v>71</v>
      </c>
      <c r="H154" s="19" t="s">
        <v>26</v>
      </c>
      <c r="I154" s="19" t="s">
        <v>63</v>
      </c>
      <c r="J154" s="186" t="s">
        <v>27</v>
      </c>
      <c r="K154" s="20" t="s">
        <v>214</v>
      </c>
      <c r="L154" s="187" t="s">
        <v>75</v>
      </c>
      <c r="M154" s="124">
        <v>2499</v>
      </c>
      <c r="N154" s="10">
        <v>1.33</v>
      </c>
      <c r="O154" s="166" t="s">
        <v>67</v>
      </c>
      <c r="P154" s="45" t="s">
        <v>29</v>
      </c>
      <c r="Q154" s="45" t="s">
        <v>563</v>
      </c>
      <c r="R154" s="18" t="s">
        <v>29</v>
      </c>
      <c r="S154" s="188">
        <v>45801</v>
      </c>
      <c r="T154" s="188">
        <v>45801</v>
      </c>
      <c r="U154" s="19"/>
      <c r="V154" s="55">
        <f>M154-U154-Z154</f>
        <v>-1.1999999999998181</v>
      </c>
      <c r="W154" s="189" t="s">
        <v>564</v>
      </c>
      <c r="X154" s="166"/>
      <c r="Y154" s="166"/>
      <c r="Z154" s="19">
        <v>2500.1999999999998</v>
      </c>
      <c r="AA154" s="8">
        <v>45799</v>
      </c>
      <c r="AB154" s="191"/>
      <c r="AC154" s="192"/>
      <c r="AD154" s="191"/>
      <c r="AE154" s="192"/>
      <c r="AF154" s="191"/>
      <c r="AG154" s="192"/>
      <c r="AH154" s="191"/>
      <c r="AI154" s="192"/>
      <c r="AJ154" s="191"/>
      <c r="AK154" s="192"/>
      <c r="AL154" s="191"/>
      <c r="AM154" s="192"/>
      <c r="AN154" s="191"/>
      <c r="AO154" s="192"/>
      <c r="AP154" s="191"/>
      <c r="AQ154" s="192"/>
      <c r="AR154" s="191"/>
      <c r="AS154" s="192"/>
      <c r="AT154" s="191"/>
      <c r="AU154" s="192"/>
      <c r="AV154" s="191"/>
      <c r="AW154" s="192"/>
      <c r="AX154" s="191"/>
      <c r="AY154" s="190"/>
      <c r="AZ154" s="190"/>
      <c r="BA154" s="190"/>
      <c r="BB154" s="190"/>
      <c r="BC154" s="190"/>
      <c r="BD154" s="190"/>
      <c r="BE154" s="190"/>
      <c r="BF154" s="190"/>
      <c r="BG154" s="29"/>
      <c r="BH154" s="29"/>
      <c r="BI154" s="29"/>
      <c r="BJ154" s="29"/>
      <c r="BK154" s="29"/>
      <c r="BL154" s="29"/>
      <c r="BM154" s="29"/>
      <c r="BN154" s="29"/>
      <c r="BO154" s="29"/>
    </row>
    <row r="155" spans="1:67" s="36" customFormat="1" ht="20.25" customHeight="1">
      <c r="A155" s="7">
        <v>45777</v>
      </c>
      <c r="B155" s="19" t="s">
        <v>560</v>
      </c>
      <c r="C155" s="124" t="s">
        <v>535</v>
      </c>
      <c r="D155" s="19" t="s">
        <v>212</v>
      </c>
      <c r="E155" s="10" t="s">
        <v>25</v>
      </c>
      <c r="F155" s="19" t="s">
        <v>561</v>
      </c>
      <c r="G155" s="19" t="s">
        <v>71</v>
      </c>
      <c r="H155" s="19" t="s">
        <v>26</v>
      </c>
      <c r="I155" s="19" t="s">
        <v>63</v>
      </c>
      <c r="J155" s="186" t="s">
        <v>27</v>
      </c>
      <c r="K155" s="20" t="s">
        <v>555</v>
      </c>
      <c r="L155" s="187" t="s">
        <v>75</v>
      </c>
      <c r="M155" s="124">
        <v>1895</v>
      </c>
      <c r="N155" s="10">
        <v>1.33</v>
      </c>
      <c r="O155" s="166" t="s">
        <v>67</v>
      </c>
      <c r="P155" s="45" t="s">
        <v>29</v>
      </c>
      <c r="Q155" s="45" t="s">
        <v>538</v>
      </c>
      <c r="R155" s="18" t="s">
        <v>29</v>
      </c>
      <c r="S155" s="188">
        <v>45801</v>
      </c>
      <c r="T155" s="188">
        <v>45801</v>
      </c>
      <c r="U155" s="19"/>
      <c r="V155" s="55">
        <f>M155-U155-Z155-AB155</f>
        <v>-1.1000000000000796</v>
      </c>
      <c r="W155" s="189" t="s">
        <v>562</v>
      </c>
      <c r="X155" s="1"/>
      <c r="Y155" s="80"/>
      <c r="Z155" s="80">
        <f>1304.9+383.5</f>
        <v>1688.4</v>
      </c>
      <c r="AA155" s="310">
        <v>45799</v>
      </c>
      <c r="AB155" s="125">
        <v>207.7</v>
      </c>
      <c r="AC155" s="24">
        <v>45803</v>
      </c>
      <c r="AD155" s="191"/>
      <c r="AE155" s="192"/>
      <c r="AF155" s="191"/>
      <c r="AG155" s="192"/>
      <c r="AH155" s="191"/>
      <c r="AI155" s="192"/>
      <c r="BG155" s="29"/>
      <c r="BH155" s="29"/>
      <c r="BI155" s="29"/>
      <c r="BJ155" s="29"/>
      <c r="BK155" s="29"/>
      <c r="BL155" s="29"/>
      <c r="BM155" s="29"/>
      <c r="BN155" s="29"/>
      <c r="BO155" s="29"/>
    </row>
    <row r="156" spans="1:67" s="29" customFormat="1" ht="20.25" customHeight="1">
      <c r="A156" s="11">
        <v>45782</v>
      </c>
      <c r="B156" s="16" t="s">
        <v>874</v>
      </c>
      <c r="C156" s="16" t="s">
        <v>382</v>
      </c>
      <c r="D156" s="16" t="s">
        <v>212</v>
      </c>
      <c r="E156" s="16" t="s">
        <v>25</v>
      </c>
      <c r="F156" s="16" t="s">
        <v>875</v>
      </c>
      <c r="G156" s="16" t="s">
        <v>71</v>
      </c>
      <c r="H156" s="16" t="s">
        <v>31</v>
      </c>
      <c r="I156" s="16" t="s">
        <v>63</v>
      </c>
      <c r="J156" s="16" t="s">
        <v>27</v>
      </c>
      <c r="K156" s="16" t="s">
        <v>683</v>
      </c>
      <c r="L156" s="16" t="s">
        <v>75</v>
      </c>
      <c r="M156" s="17">
        <v>1383.24</v>
      </c>
      <c r="N156" s="23">
        <v>1.33</v>
      </c>
      <c r="O156" s="16" t="s">
        <v>1063</v>
      </c>
      <c r="P156" s="16" t="s">
        <v>29</v>
      </c>
      <c r="Q156" s="16" t="s">
        <v>392</v>
      </c>
      <c r="R156" s="16" t="s">
        <v>453</v>
      </c>
      <c r="S156" s="13">
        <v>45798</v>
      </c>
      <c r="T156" s="13">
        <v>45805</v>
      </c>
      <c r="U156" s="19"/>
      <c r="V156" s="53">
        <f>M156-U156-Z156</f>
        <v>-1.4600000000000364</v>
      </c>
      <c r="W156" s="22" t="s">
        <v>876</v>
      </c>
      <c r="X156" s="1"/>
      <c r="Y156" s="26"/>
      <c r="Z156" s="19">
        <v>1384.7</v>
      </c>
      <c r="AA156" s="24">
        <v>45799</v>
      </c>
      <c r="AB156" s="26"/>
      <c r="AC156" s="226"/>
    </row>
    <row r="157" spans="1:67" s="37" customFormat="1" ht="20.25" customHeight="1">
      <c r="A157" s="11">
        <v>45782</v>
      </c>
      <c r="B157" s="16" t="s">
        <v>880</v>
      </c>
      <c r="C157" s="16" t="s">
        <v>228</v>
      </c>
      <c r="D157" s="16" t="s">
        <v>212</v>
      </c>
      <c r="E157" s="16" t="s">
        <v>25</v>
      </c>
      <c r="F157" s="16" t="s">
        <v>881</v>
      </c>
      <c r="G157" s="16" t="s">
        <v>71</v>
      </c>
      <c r="H157" s="16" t="s">
        <v>31</v>
      </c>
      <c r="I157" s="16" t="s">
        <v>63</v>
      </c>
      <c r="J157" s="16" t="s">
        <v>27</v>
      </c>
      <c r="K157" s="16" t="s">
        <v>372</v>
      </c>
      <c r="L157" s="16" t="s">
        <v>75</v>
      </c>
      <c r="M157" s="17">
        <v>42</v>
      </c>
      <c r="N157" s="23">
        <v>1.33</v>
      </c>
      <c r="O157" s="16" t="s">
        <v>67</v>
      </c>
      <c r="P157" s="16" t="s">
        <v>29</v>
      </c>
      <c r="Q157" s="16" t="s">
        <v>362</v>
      </c>
      <c r="R157" s="16" t="s">
        <v>363</v>
      </c>
      <c r="S157" s="13">
        <v>45796</v>
      </c>
      <c r="T157" s="13">
        <v>45805</v>
      </c>
      <c r="U157" s="19"/>
      <c r="V157" s="53">
        <f>M157-U157-Z157</f>
        <v>-0.60000000000000142</v>
      </c>
      <c r="W157" s="22" t="s">
        <v>883</v>
      </c>
      <c r="X157" s="27"/>
      <c r="Y157" s="27"/>
      <c r="Z157" s="19">
        <v>42.6</v>
      </c>
      <c r="AA157" s="24">
        <v>45796</v>
      </c>
      <c r="AB157" s="27"/>
      <c r="AC157" s="27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11"/>
      <c r="BH157" s="211"/>
      <c r="BI157" s="211"/>
      <c r="BJ157" s="211"/>
      <c r="BK157" s="211"/>
      <c r="BL157" s="211"/>
      <c r="BM157" s="211"/>
      <c r="BN157" s="211"/>
      <c r="BO157" s="211"/>
    </row>
    <row r="158" spans="1:67" s="29" customFormat="1" ht="20.25" customHeight="1">
      <c r="A158" s="11">
        <v>45782</v>
      </c>
      <c r="B158" s="16" t="s">
        <v>884</v>
      </c>
      <c r="C158" s="16" t="s">
        <v>228</v>
      </c>
      <c r="D158" s="16" t="s">
        <v>212</v>
      </c>
      <c r="E158" s="16" t="s">
        <v>25</v>
      </c>
      <c r="F158" s="16" t="s">
        <v>885</v>
      </c>
      <c r="G158" s="16" t="s">
        <v>71</v>
      </c>
      <c r="H158" s="16" t="s">
        <v>31</v>
      </c>
      <c r="I158" s="16" t="s">
        <v>63</v>
      </c>
      <c r="J158" s="16" t="s">
        <v>27</v>
      </c>
      <c r="K158" s="16" t="s">
        <v>372</v>
      </c>
      <c r="L158" s="16" t="s">
        <v>35</v>
      </c>
      <c r="M158" s="17">
        <v>1438.56</v>
      </c>
      <c r="N158" s="23">
        <v>1.33</v>
      </c>
      <c r="O158" s="16" t="s">
        <v>67</v>
      </c>
      <c r="P158" s="16" t="s">
        <v>29</v>
      </c>
      <c r="Q158" s="16" t="s">
        <v>362</v>
      </c>
      <c r="R158" s="16" t="s">
        <v>887</v>
      </c>
      <c r="S158" s="13">
        <v>45796</v>
      </c>
      <c r="T158" s="13">
        <v>45805</v>
      </c>
      <c r="U158" s="19"/>
      <c r="V158" s="53">
        <f>M158-U158-Z158</f>
        <v>-1.6400000000001</v>
      </c>
      <c r="W158" s="22" t="s">
        <v>888</v>
      </c>
      <c r="X158" s="27"/>
      <c r="Y158" s="345"/>
      <c r="Z158" s="220">
        <f>800+640.2</f>
        <v>1440.2</v>
      </c>
      <c r="AA158" s="221">
        <v>45796</v>
      </c>
      <c r="AB158" s="56"/>
      <c r="AC158" s="56"/>
      <c r="BG158" s="28"/>
      <c r="BH158" s="28"/>
      <c r="BI158" s="28"/>
      <c r="BJ158" s="28"/>
      <c r="BK158" s="28"/>
      <c r="BL158" s="28"/>
      <c r="BM158" s="28"/>
      <c r="BN158" s="28"/>
      <c r="BO158" s="28"/>
    </row>
    <row r="159" spans="1:67" s="29" customFormat="1" ht="20.25" customHeight="1">
      <c r="A159" s="11">
        <v>45782</v>
      </c>
      <c r="B159" s="16" t="s">
        <v>880</v>
      </c>
      <c r="C159" s="16" t="s">
        <v>228</v>
      </c>
      <c r="D159" s="16" t="s">
        <v>212</v>
      </c>
      <c r="E159" s="16" t="s">
        <v>25</v>
      </c>
      <c r="F159" s="16" t="s">
        <v>881</v>
      </c>
      <c r="G159" s="16" t="s">
        <v>71</v>
      </c>
      <c r="H159" s="16" t="s">
        <v>31</v>
      </c>
      <c r="I159" s="16" t="s">
        <v>63</v>
      </c>
      <c r="J159" s="16" t="s">
        <v>27</v>
      </c>
      <c r="K159" s="16" t="s">
        <v>255</v>
      </c>
      <c r="L159" s="16" t="s">
        <v>75</v>
      </c>
      <c r="M159" s="17">
        <v>80</v>
      </c>
      <c r="N159" s="23">
        <v>1.33</v>
      </c>
      <c r="O159" s="16" t="s">
        <v>67</v>
      </c>
      <c r="P159" s="16" t="s">
        <v>29</v>
      </c>
      <c r="Q159" s="16" t="s">
        <v>480</v>
      </c>
      <c r="R159" s="16" t="s">
        <v>481</v>
      </c>
      <c r="S159" s="13">
        <v>45796</v>
      </c>
      <c r="T159" s="13">
        <v>45805</v>
      </c>
      <c r="U159" s="19"/>
      <c r="V159" s="55">
        <f>M159-U159-Z159</f>
        <v>-4.0999999999999943</v>
      </c>
      <c r="W159" s="22" t="s">
        <v>882</v>
      </c>
      <c r="X159" s="27"/>
      <c r="Y159" s="27"/>
      <c r="Z159" s="19">
        <v>84.1</v>
      </c>
      <c r="AA159" s="18">
        <v>45786</v>
      </c>
      <c r="AB159" s="374"/>
      <c r="AC159" s="27"/>
      <c r="AD159" s="26"/>
      <c r="AE159" s="26"/>
      <c r="BG159" s="28"/>
      <c r="BH159" s="28"/>
      <c r="BI159" s="28"/>
      <c r="BJ159" s="28"/>
      <c r="BK159" s="28"/>
      <c r="BL159" s="28"/>
      <c r="BM159" s="28"/>
      <c r="BN159" s="28"/>
      <c r="BO159" s="28"/>
    </row>
    <row r="160" spans="1:67" s="29" customFormat="1" ht="20.25" customHeight="1">
      <c r="A160" s="11">
        <v>45782</v>
      </c>
      <c r="B160" s="16" t="s">
        <v>884</v>
      </c>
      <c r="C160" s="16" t="s">
        <v>228</v>
      </c>
      <c r="D160" s="16" t="s">
        <v>212</v>
      </c>
      <c r="E160" s="16" t="s">
        <v>25</v>
      </c>
      <c r="F160" s="16" t="s">
        <v>885</v>
      </c>
      <c r="G160" s="16" t="s">
        <v>71</v>
      </c>
      <c r="H160" s="16" t="s">
        <v>31</v>
      </c>
      <c r="I160" s="16" t="s">
        <v>63</v>
      </c>
      <c r="J160" s="16" t="s">
        <v>27</v>
      </c>
      <c r="K160" s="16" t="s">
        <v>255</v>
      </c>
      <c r="L160" s="16" t="s">
        <v>75</v>
      </c>
      <c r="M160" s="17">
        <v>2877.58</v>
      </c>
      <c r="N160" s="23">
        <v>1.33</v>
      </c>
      <c r="O160" s="16" t="s">
        <v>67</v>
      </c>
      <c r="P160" s="16" t="s">
        <v>29</v>
      </c>
      <c r="Q160" s="16" t="s">
        <v>29</v>
      </c>
      <c r="R160" s="16" t="s">
        <v>29</v>
      </c>
      <c r="S160" s="13">
        <v>45796</v>
      </c>
      <c r="T160" s="13">
        <v>45805</v>
      </c>
      <c r="U160" s="19"/>
      <c r="V160" s="53">
        <f>M160-U160-Z160-AB160-AD160</f>
        <v>-2.0000000000209184E-2</v>
      </c>
      <c r="W160" s="22" t="s">
        <v>886</v>
      </c>
      <c r="X160" s="27"/>
      <c r="Y160" s="346"/>
      <c r="Z160" s="80">
        <f>176.7+1183.2</f>
        <v>1359.9</v>
      </c>
      <c r="AA160" s="38">
        <v>45786</v>
      </c>
      <c r="AB160" s="104">
        <v>1406.2</v>
      </c>
      <c r="AC160" s="85">
        <v>45803</v>
      </c>
      <c r="AD160" s="104">
        <v>111.5</v>
      </c>
      <c r="AE160" s="85">
        <v>45828</v>
      </c>
      <c r="BG160" s="28"/>
      <c r="BH160" s="28"/>
      <c r="BI160" s="28"/>
      <c r="BJ160" s="28"/>
      <c r="BK160" s="28"/>
      <c r="BL160" s="28"/>
      <c r="BM160" s="28"/>
      <c r="BN160" s="28"/>
      <c r="BO160" s="28"/>
    </row>
    <row r="161" spans="1:67" s="29" customFormat="1" ht="20.25" customHeight="1">
      <c r="A161" s="11">
        <v>45782</v>
      </c>
      <c r="B161" s="16" t="s">
        <v>877</v>
      </c>
      <c r="C161" s="16" t="s">
        <v>382</v>
      </c>
      <c r="D161" s="16" t="s">
        <v>212</v>
      </c>
      <c r="E161" s="16" t="s">
        <v>25</v>
      </c>
      <c r="F161" s="16" t="s">
        <v>878</v>
      </c>
      <c r="G161" s="16" t="s">
        <v>71</v>
      </c>
      <c r="H161" s="16" t="s">
        <v>31</v>
      </c>
      <c r="I161" s="16" t="s">
        <v>63</v>
      </c>
      <c r="J161" s="16" t="s">
        <v>27</v>
      </c>
      <c r="K161" s="16" t="s">
        <v>487</v>
      </c>
      <c r="L161" s="16" t="s">
        <v>75</v>
      </c>
      <c r="M161" s="17">
        <v>578.67999999999995</v>
      </c>
      <c r="N161" s="23">
        <v>1.33</v>
      </c>
      <c r="O161" s="16" t="s">
        <v>67</v>
      </c>
      <c r="P161" s="16" t="s">
        <v>29</v>
      </c>
      <c r="Q161" s="16" t="s">
        <v>397</v>
      </c>
      <c r="R161" s="16" t="s">
        <v>493</v>
      </c>
      <c r="S161" s="13">
        <v>45796</v>
      </c>
      <c r="T161" s="13">
        <v>45805</v>
      </c>
      <c r="U161" s="19"/>
      <c r="V161" s="53">
        <f>M161-U161-Z161</f>
        <v>-0.42000000000007276</v>
      </c>
      <c r="W161" s="22" t="s">
        <v>879</v>
      </c>
      <c r="X161" s="26"/>
      <c r="Y161" s="26"/>
      <c r="Z161" s="19">
        <v>579.1</v>
      </c>
      <c r="AA161" s="24">
        <v>45799</v>
      </c>
      <c r="AB161" s="26"/>
      <c r="AC161" s="26"/>
      <c r="BG161" s="28"/>
      <c r="BH161" s="28"/>
      <c r="BI161" s="28"/>
      <c r="BJ161" s="28"/>
      <c r="BK161" s="28"/>
      <c r="BL161" s="28"/>
      <c r="BM161" s="28"/>
      <c r="BN161" s="28"/>
      <c r="BO161" s="28"/>
    </row>
    <row r="162" spans="1:67" s="37" customFormat="1" ht="20.25" customHeight="1">
      <c r="A162" s="11">
        <v>45783</v>
      </c>
      <c r="B162" s="16" t="s">
        <v>908</v>
      </c>
      <c r="C162" s="16" t="s">
        <v>211</v>
      </c>
      <c r="D162" s="16" t="s">
        <v>212</v>
      </c>
      <c r="E162" s="16" t="s">
        <v>25</v>
      </c>
      <c r="F162" s="16" t="s">
        <v>909</v>
      </c>
      <c r="G162" s="16" t="s">
        <v>71</v>
      </c>
      <c r="H162" s="16" t="s">
        <v>26</v>
      </c>
      <c r="I162" s="16" t="s">
        <v>63</v>
      </c>
      <c r="J162" s="16" t="s">
        <v>27</v>
      </c>
      <c r="K162" s="16" t="s">
        <v>250</v>
      </c>
      <c r="L162" s="16" t="s">
        <v>75</v>
      </c>
      <c r="M162" s="17">
        <v>2392</v>
      </c>
      <c r="N162" s="23">
        <v>1.33</v>
      </c>
      <c r="O162" s="16" t="s">
        <v>67</v>
      </c>
      <c r="P162" s="16" t="s">
        <v>29</v>
      </c>
      <c r="Q162" s="16" t="s">
        <v>355</v>
      </c>
      <c r="R162" s="16" t="s">
        <v>29</v>
      </c>
      <c r="S162" s="13">
        <v>45871</v>
      </c>
      <c r="T162" s="13">
        <v>45871</v>
      </c>
      <c r="U162" s="19"/>
      <c r="V162" s="53">
        <f>M162-U162-Z162</f>
        <v>-2.3000000000001819</v>
      </c>
      <c r="W162" s="22" t="s">
        <v>910</v>
      </c>
      <c r="X162" s="26"/>
      <c r="Y162" s="26"/>
      <c r="Z162" s="19">
        <f>1051.5+1342.8</f>
        <v>2394.3000000000002</v>
      </c>
      <c r="AA162" s="24">
        <v>45849</v>
      </c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8"/>
      <c r="BH162" s="28"/>
      <c r="BI162" s="28"/>
      <c r="BJ162" s="28"/>
      <c r="BK162" s="28"/>
      <c r="BL162" s="28"/>
      <c r="BM162" s="28"/>
      <c r="BN162" s="28"/>
      <c r="BO162" s="28"/>
    </row>
    <row r="163" spans="1:67" s="29" customFormat="1" ht="20.25" customHeight="1">
      <c r="A163" s="11">
        <v>45783</v>
      </c>
      <c r="B163" s="16" t="s">
        <v>901</v>
      </c>
      <c r="C163" s="16" t="s">
        <v>304</v>
      </c>
      <c r="D163" s="16" t="s">
        <v>212</v>
      </c>
      <c r="E163" s="16" t="s">
        <v>25</v>
      </c>
      <c r="F163" s="16" t="s">
        <v>902</v>
      </c>
      <c r="G163" s="16" t="s">
        <v>71</v>
      </c>
      <c r="H163" s="16" t="s">
        <v>31</v>
      </c>
      <c r="I163" s="16" t="s">
        <v>63</v>
      </c>
      <c r="J163" s="16" t="s">
        <v>27</v>
      </c>
      <c r="K163" s="16" t="s">
        <v>598</v>
      </c>
      <c r="L163" s="16" t="s">
        <v>75</v>
      </c>
      <c r="M163" s="17">
        <v>11115</v>
      </c>
      <c r="N163" s="23">
        <v>1.32</v>
      </c>
      <c r="O163" s="16" t="s">
        <v>67</v>
      </c>
      <c r="P163" s="16" t="s">
        <v>29</v>
      </c>
      <c r="Q163" s="16" t="s">
        <v>29</v>
      </c>
      <c r="R163" s="16" t="s">
        <v>903</v>
      </c>
      <c r="S163" s="13">
        <v>45799</v>
      </c>
      <c r="T163" s="13">
        <v>45810</v>
      </c>
      <c r="U163" s="19"/>
      <c r="V163" s="55">
        <f>M163-U163-Z163-AB163-AD163-AF163-AH163</f>
        <v>-3.0999999999985448</v>
      </c>
      <c r="W163" s="22" t="s">
        <v>904</v>
      </c>
      <c r="X163" s="21" t="s">
        <v>1089</v>
      </c>
      <c r="Y163" s="79"/>
      <c r="Z163" s="80">
        <v>843.9</v>
      </c>
      <c r="AA163" s="31">
        <v>45796</v>
      </c>
      <c r="AB163" s="104">
        <f>4955.4+2315.7+3003.1</f>
        <v>10274.199999999999</v>
      </c>
      <c r="AC163" s="85">
        <v>45804</v>
      </c>
      <c r="BG163" s="28"/>
      <c r="BH163" s="28"/>
      <c r="BI163" s="28"/>
      <c r="BJ163" s="28"/>
      <c r="BK163" s="28"/>
      <c r="BL163" s="28"/>
      <c r="BM163" s="28"/>
      <c r="BN163" s="28"/>
      <c r="BO163" s="28"/>
    </row>
    <row r="164" spans="1:67" s="29" customFormat="1" ht="20.25" customHeight="1">
      <c r="A164" s="11">
        <v>45783</v>
      </c>
      <c r="B164" s="16" t="s">
        <v>905</v>
      </c>
      <c r="C164" s="16" t="s">
        <v>304</v>
      </c>
      <c r="D164" s="16" t="s">
        <v>212</v>
      </c>
      <c r="E164" s="16" t="s">
        <v>25</v>
      </c>
      <c r="F164" s="16" t="s">
        <v>906</v>
      </c>
      <c r="G164" s="16" t="s">
        <v>71</v>
      </c>
      <c r="H164" s="16" t="s">
        <v>31</v>
      </c>
      <c r="I164" s="16" t="s">
        <v>63</v>
      </c>
      <c r="J164" s="16" t="s">
        <v>27</v>
      </c>
      <c r="K164" s="16" t="s">
        <v>598</v>
      </c>
      <c r="L164" s="16" t="s">
        <v>75</v>
      </c>
      <c r="M164" s="17">
        <v>785</v>
      </c>
      <c r="N164" s="23">
        <v>1.32</v>
      </c>
      <c r="O164" s="16" t="s">
        <v>67</v>
      </c>
      <c r="P164" s="16" t="s">
        <v>29</v>
      </c>
      <c r="Q164" s="16" t="s">
        <v>507</v>
      </c>
      <c r="R164" s="16" t="s">
        <v>29</v>
      </c>
      <c r="S164" s="13">
        <v>45799</v>
      </c>
      <c r="T164" s="13">
        <v>45810</v>
      </c>
      <c r="U164" s="19"/>
      <c r="V164" s="55">
        <f>M164-U164-Z164-AB164-AD164-AF164-AH164</f>
        <v>-3.5</v>
      </c>
      <c r="W164" s="22" t="s">
        <v>907</v>
      </c>
      <c r="X164" s="26"/>
      <c r="Y164" s="269"/>
      <c r="Z164" s="193">
        <v>788.5</v>
      </c>
      <c r="AA164" s="194">
        <v>45804</v>
      </c>
      <c r="BG164" s="28"/>
      <c r="BH164" s="28"/>
      <c r="BI164" s="28"/>
      <c r="BJ164" s="28"/>
      <c r="BK164" s="28"/>
      <c r="BL164" s="28"/>
      <c r="BM164" s="28"/>
      <c r="BN164" s="28"/>
      <c r="BO164" s="28"/>
    </row>
    <row r="165" spans="1:67" s="81" customFormat="1" ht="20.25" customHeight="1">
      <c r="A165" s="11">
        <v>45785</v>
      </c>
      <c r="B165" s="16" t="s">
        <v>925</v>
      </c>
      <c r="C165" s="16" t="s">
        <v>243</v>
      </c>
      <c r="D165" s="16" t="s">
        <v>212</v>
      </c>
      <c r="E165" s="16" t="s">
        <v>25</v>
      </c>
      <c r="F165" s="19" t="s">
        <v>979</v>
      </c>
      <c r="G165" s="16" t="s">
        <v>71</v>
      </c>
      <c r="H165" s="16" t="s">
        <v>31</v>
      </c>
      <c r="I165" s="16" t="s">
        <v>63</v>
      </c>
      <c r="J165" s="16" t="s">
        <v>27</v>
      </c>
      <c r="K165" s="16" t="s">
        <v>384</v>
      </c>
      <c r="L165" s="16" t="s">
        <v>75</v>
      </c>
      <c r="M165" s="17">
        <v>592.4</v>
      </c>
      <c r="N165" s="23">
        <v>1.33</v>
      </c>
      <c r="O165" s="16" t="s">
        <v>67</v>
      </c>
      <c r="P165" s="16" t="s">
        <v>29</v>
      </c>
      <c r="Q165" s="16" t="s">
        <v>920</v>
      </c>
      <c r="R165" s="16" t="s">
        <v>921</v>
      </c>
      <c r="S165" s="13">
        <v>45803</v>
      </c>
      <c r="T165" s="13">
        <v>45811</v>
      </c>
      <c r="U165" s="19"/>
      <c r="V165" s="53">
        <f>M165-U165-Z165</f>
        <v>-0.5</v>
      </c>
      <c r="W165" s="22" t="s">
        <v>926</v>
      </c>
      <c r="X165" s="26"/>
      <c r="Y165" s="26"/>
      <c r="Z165" s="19">
        <v>592.9</v>
      </c>
      <c r="AA165" s="24">
        <v>45798</v>
      </c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</row>
    <row r="166" spans="1:67" s="29" customFormat="1" ht="20.25" customHeight="1">
      <c r="A166" s="11">
        <v>45785</v>
      </c>
      <c r="B166" s="16" t="s">
        <v>918</v>
      </c>
      <c r="C166" s="16" t="s">
        <v>243</v>
      </c>
      <c r="D166" s="16" t="s">
        <v>212</v>
      </c>
      <c r="E166" s="16" t="s">
        <v>25</v>
      </c>
      <c r="F166" s="16" t="s">
        <v>978</v>
      </c>
      <c r="G166" s="16" t="s">
        <v>71</v>
      </c>
      <c r="H166" s="16" t="s">
        <v>31</v>
      </c>
      <c r="I166" s="16" t="s">
        <v>63</v>
      </c>
      <c r="J166" s="16" t="s">
        <v>27</v>
      </c>
      <c r="K166" s="16" t="s">
        <v>919</v>
      </c>
      <c r="L166" s="16" t="s">
        <v>75</v>
      </c>
      <c r="M166" s="17">
        <v>861</v>
      </c>
      <c r="N166" s="23">
        <v>1.33</v>
      </c>
      <c r="O166" s="16" t="s">
        <v>67</v>
      </c>
      <c r="P166" s="16" t="s">
        <v>29</v>
      </c>
      <c r="Q166" s="16" t="s">
        <v>920</v>
      </c>
      <c r="R166" s="16" t="s">
        <v>921</v>
      </c>
      <c r="S166" s="13">
        <v>45803</v>
      </c>
      <c r="T166" s="13">
        <v>45811</v>
      </c>
      <c r="U166" s="19"/>
      <c r="V166" s="53">
        <f>M166-U166-Z166</f>
        <v>-0.5</v>
      </c>
      <c r="W166" s="22" t="s">
        <v>922</v>
      </c>
      <c r="X166" s="26"/>
      <c r="Y166" s="26"/>
      <c r="Z166" s="19">
        <v>861.5</v>
      </c>
      <c r="AA166" s="24">
        <v>45798</v>
      </c>
    </row>
    <row r="167" spans="1:67" s="29" customFormat="1" ht="20.25" customHeight="1">
      <c r="A167" s="11">
        <v>45785</v>
      </c>
      <c r="B167" s="16" t="s">
        <v>928</v>
      </c>
      <c r="C167" s="16" t="s">
        <v>243</v>
      </c>
      <c r="D167" s="16" t="s">
        <v>212</v>
      </c>
      <c r="E167" s="16" t="s">
        <v>25</v>
      </c>
      <c r="F167" s="19" t="s">
        <v>980</v>
      </c>
      <c r="G167" s="16" t="s">
        <v>71</v>
      </c>
      <c r="H167" s="16" t="s">
        <v>31</v>
      </c>
      <c r="I167" s="16" t="s">
        <v>63</v>
      </c>
      <c r="J167" s="16" t="s">
        <v>27</v>
      </c>
      <c r="K167" s="16" t="s">
        <v>929</v>
      </c>
      <c r="L167" s="16" t="s">
        <v>75</v>
      </c>
      <c r="M167" s="17">
        <v>1162</v>
      </c>
      <c r="N167" s="23">
        <v>1.33</v>
      </c>
      <c r="O167" s="16" t="s">
        <v>67</v>
      </c>
      <c r="P167" s="16" t="s">
        <v>29</v>
      </c>
      <c r="Q167" s="16" t="s">
        <v>920</v>
      </c>
      <c r="R167" s="16" t="s">
        <v>791</v>
      </c>
      <c r="S167" s="13">
        <v>45803</v>
      </c>
      <c r="T167" s="13">
        <v>45811</v>
      </c>
      <c r="U167" s="19"/>
      <c r="V167" s="53">
        <f>M167-U167-Z167</f>
        <v>-0.5</v>
      </c>
      <c r="W167" s="22" t="s">
        <v>930</v>
      </c>
      <c r="X167" s="26"/>
      <c r="Y167" s="44"/>
      <c r="Z167" s="80">
        <v>1162.5</v>
      </c>
      <c r="AA167" s="31">
        <v>45798</v>
      </c>
      <c r="BG167" s="28"/>
      <c r="BH167" s="28"/>
      <c r="BI167" s="28"/>
      <c r="BJ167" s="28"/>
      <c r="BK167" s="28"/>
      <c r="BL167" s="28"/>
      <c r="BM167" s="28"/>
      <c r="BN167" s="28"/>
      <c r="BO167" s="28"/>
    </row>
    <row r="168" spans="1:67" s="29" customFormat="1" ht="20.25" customHeight="1">
      <c r="A168" s="11">
        <v>45785</v>
      </c>
      <c r="B168" s="16" t="s">
        <v>931</v>
      </c>
      <c r="C168" s="16" t="s">
        <v>243</v>
      </c>
      <c r="D168" s="16" t="s">
        <v>212</v>
      </c>
      <c r="E168" s="16" t="s">
        <v>25</v>
      </c>
      <c r="F168" s="19" t="s">
        <v>981</v>
      </c>
      <c r="G168" s="16" t="s">
        <v>71</v>
      </c>
      <c r="H168" s="16" t="s">
        <v>31</v>
      </c>
      <c r="I168" s="16" t="s">
        <v>63</v>
      </c>
      <c r="J168" s="16" t="s">
        <v>27</v>
      </c>
      <c r="K168" s="16" t="s">
        <v>929</v>
      </c>
      <c r="L168" s="16" t="s">
        <v>75</v>
      </c>
      <c r="M168" s="17">
        <v>1301.7</v>
      </c>
      <c r="N168" s="23">
        <v>1.33</v>
      </c>
      <c r="O168" s="16" t="s">
        <v>67</v>
      </c>
      <c r="P168" s="16" t="s">
        <v>29</v>
      </c>
      <c r="Q168" s="16" t="s">
        <v>932</v>
      </c>
      <c r="R168" s="16" t="s">
        <v>525</v>
      </c>
      <c r="S168" s="13">
        <v>45803</v>
      </c>
      <c r="T168" s="13">
        <v>45811</v>
      </c>
      <c r="U168" s="19"/>
      <c r="V168" s="53">
        <f>M168-U168-Z168</f>
        <v>0</v>
      </c>
      <c r="W168" s="22" t="s">
        <v>933</v>
      </c>
      <c r="X168" s="26"/>
      <c r="Y168" s="26"/>
      <c r="Z168" s="19">
        <v>1301.7</v>
      </c>
      <c r="AA168" s="24">
        <v>45798</v>
      </c>
      <c r="BG168" s="28"/>
      <c r="BH168" s="28"/>
      <c r="BI168" s="28"/>
      <c r="BJ168" s="28"/>
      <c r="BK168" s="28"/>
      <c r="BL168" s="28"/>
      <c r="BM168" s="28"/>
      <c r="BN168" s="28"/>
      <c r="BO168" s="28"/>
    </row>
    <row r="169" spans="1:67" s="29" customFormat="1" ht="20.25" customHeight="1">
      <c r="A169" s="11">
        <v>45785</v>
      </c>
      <c r="B169" s="16" t="s">
        <v>934</v>
      </c>
      <c r="C169" s="16" t="s">
        <v>243</v>
      </c>
      <c r="D169" s="16" t="s">
        <v>212</v>
      </c>
      <c r="E169" s="16" t="s">
        <v>25</v>
      </c>
      <c r="F169" s="19" t="s">
        <v>982</v>
      </c>
      <c r="G169" s="16" t="s">
        <v>71</v>
      </c>
      <c r="H169" s="16" t="s">
        <v>31</v>
      </c>
      <c r="I169" s="16" t="s">
        <v>63</v>
      </c>
      <c r="J169" s="16" t="s">
        <v>27</v>
      </c>
      <c r="K169" s="16" t="s">
        <v>929</v>
      </c>
      <c r="L169" s="16" t="s">
        <v>75</v>
      </c>
      <c r="M169" s="17">
        <v>1377</v>
      </c>
      <c r="N169" s="23">
        <v>1.33</v>
      </c>
      <c r="O169" s="16" t="s">
        <v>67</v>
      </c>
      <c r="P169" s="16" t="s">
        <v>29</v>
      </c>
      <c r="Q169" s="16" t="s">
        <v>932</v>
      </c>
      <c r="R169" s="16" t="s">
        <v>935</v>
      </c>
      <c r="S169" s="13">
        <v>45803</v>
      </c>
      <c r="T169" s="13">
        <v>45811</v>
      </c>
      <c r="U169" s="19"/>
      <c r="V169" s="53">
        <f>M169-U169-Z169</f>
        <v>-9.9999999999909051E-2</v>
      </c>
      <c r="W169" s="22" t="s">
        <v>936</v>
      </c>
      <c r="X169" s="26"/>
      <c r="Y169" s="26"/>
      <c r="Z169" s="19">
        <f>862.6+514.5</f>
        <v>1377.1</v>
      </c>
      <c r="AA169" s="24">
        <v>45798</v>
      </c>
      <c r="BG169" s="28"/>
      <c r="BH169" s="28"/>
      <c r="BI169" s="28"/>
      <c r="BJ169" s="28"/>
      <c r="BK169" s="28"/>
      <c r="BL169" s="28"/>
      <c r="BM169" s="28"/>
      <c r="BN169" s="28"/>
      <c r="BO169" s="28"/>
    </row>
    <row r="170" spans="1:67" s="29" customFormat="1" ht="20.25" customHeight="1">
      <c r="A170" s="11">
        <v>45785</v>
      </c>
      <c r="B170" s="16" t="s">
        <v>937</v>
      </c>
      <c r="C170" s="16" t="s">
        <v>243</v>
      </c>
      <c r="D170" s="16" t="s">
        <v>212</v>
      </c>
      <c r="E170" s="16" t="s">
        <v>25</v>
      </c>
      <c r="F170" s="19" t="s">
        <v>983</v>
      </c>
      <c r="G170" s="16" t="s">
        <v>71</v>
      </c>
      <c r="H170" s="16" t="s">
        <v>31</v>
      </c>
      <c r="I170" s="16" t="s">
        <v>63</v>
      </c>
      <c r="J170" s="16" t="s">
        <v>27</v>
      </c>
      <c r="K170" s="16" t="s">
        <v>929</v>
      </c>
      <c r="L170" s="16" t="s">
        <v>75</v>
      </c>
      <c r="M170" s="17">
        <v>789.2</v>
      </c>
      <c r="N170" s="23">
        <v>1.33</v>
      </c>
      <c r="O170" s="16" t="s">
        <v>67</v>
      </c>
      <c r="P170" s="16" t="s">
        <v>29</v>
      </c>
      <c r="Q170" s="16" t="s">
        <v>938</v>
      </c>
      <c r="R170" s="16" t="s">
        <v>246</v>
      </c>
      <c r="S170" s="13">
        <v>45803</v>
      </c>
      <c r="T170" s="13">
        <v>45811</v>
      </c>
      <c r="U170" s="19"/>
      <c r="V170" s="53">
        <f>M170-U170-Z170</f>
        <v>-2.7999999999999545</v>
      </c>
      <c r="W170" s="22" t="s">
        <v>939</v>
      </c>
      <c r="X170" s="26"/>
      <c r="Y170" s="26"/>
      <c r="Z170" s="19">
        <v>792</v>
      </c>
      <c r="AA170" s="24">
        <v>45798</v>
      </c>
      <c r="BG170" s="28"/>
      <c r="BH170" s="28"/>
      <c r="BI170" s="28"/>
      <c r="BJ170" s="28"/>
      <c r="BK170" s="28"/>
      <c r="BL170" s="28"/>
      <c r="BM170" s="28"/>
      <c r="BN170" s="28"/>
      <c r="BO170" s="28"/>
    </row>
    <row r="171" spans="1:67" s="29" customFormat="1" ht="20.25" customHeight="1">
      <c r="A171" s="11">
        <v>45785</v>
      </c>
      <c r="B171" s="16" t="s">
        <v>940</v>
      </c>
      <c r="C171" s="16" t="s">
        <v>243</v>
      </c>
      <c r="D171" s="16" t="s">
        <v>212</v>
      </c>
      <c r="E171" s="16" t="s">
        <v>25</v>
      </c>
      <c r="F171" s="19" t="s">
        <v>984</v>
      </c>
      <c r="G171" s="16" t="s">
        <v>71</v>
      </c>
      <c r="H171" s="16" t="s">
        <v>31</v>
      </c>
      <c r="I171" s="16" t="s">
        <v>63</v>
      </c>
      <c r="J171" s="16" t="s">
        <v>27</v>
      </c>
      <c r="K171" s="16" t="s">
        <v>929</v>
      </c>
      <c r="L171" s="16" t="s">
        <v>75</v>
      </c>
      <c r="M171" s="17">
        <v>502</v>
      </c>
      <c r="N171" s="23">
        <v>1.33</v>
      </c>
      <c r="O171" s="16" t="s">
        <v>67</v>
      </c>
      <c r="P171" s="16" t="s">
        <v>29</v>
      </c>
      <c r="Q171" s="16" t="s">
        <v>938</v>
      </c>
      <c r="R171" s="16" t="s">
        <v>941</v>
      </c>
      <c r="S171" s="13">
        <v>45803</v>
      </c>
      <c r="T171" s="13">
        <v>45811</v>
      </c>
      <c r="U171" s="19"/>
      <c r="V171" s="53">
        <f>M171-U171-Z171</f>
        <v>-0.10000000000002274</v>
      </c>
      <c r="W171" s="22" t="s">
        <v>942</v>
      </c>
      <c r="X171" s="26"/>
      <c r="Y171" s="26"/>
      <c r="Z171" s="19">
        <v>502.1</v>
      </c>
      <c r="AA171" s="24">
        <v>45798</v>
      </c>
    </row>
    <row r="172" spans="1:67" s="81" customFormat="1" ht="20.25" customHeight="1">
      <c r="A172" s="11">
        <v>45785</v>
      </c>
      <c r="B172" s="16" t="s">
        <v>943</v>
      </c>
      <c r="C172" s="16" t="s">
        <v>243</v>
      </c>
      <c r="D172" s="16" t="s">
        <v>212</v>
      </c>
      <c r="E172" s="16" t="s">
        <v>25</v>
      </c>
      <c r="F172" s="19" t="s">
        <v>985</v>
      </c>
      <c r="G172" s="16" t="s">
        <v>71</v>
      </c>
      <c r="H172" s="16" t="s">
        <v>31</v>
      </c>
      <c r="I172" s="16" t="s">
        <v>63</v>
      </c>
      <c r="J172" s="16" t="s">
        <v>27</v>
      </c>
      <c r="K172" s="16" t="s">
        <v>929</v>
      </c>
      <c r="L172" s="16" t="s">
        <v>75</v>
      </c>
      <c r="M172" s="17">
        <v>1528.4</v>
      </c>
      <c r="N172" s="23">
        <v>1.33</v>
      </c>
      <c r="O172" s="16" t="s">
        <v>67</v>
      </c>
      <c r="P172" s="16" t="s">
        <v>29</v>
      </c>
      <c r="Q172" s="16" t="s">
        <v>920</v>
      </c>
      <c r="R172" s="16" t="s">
        <v>791</v>
      </c>
      <c r="S172" s="13">
        <v>45803</v>
      </c>
      <c r="T172" s="13">
        <v>45811</v>
      </c>
      <c r="U172" s="19"/>
      <c r="V172" s="53">
        <f>M172-U172-Z172</f>
        <v>-0.59999999999990905</v>
      </c>
      <c r="W172" s="22" t="s">
        <v>944</v>
      </c>
      <c r="X172" s="26"/>
      <c r="Y172" s="26"/>
      <c r="Z172" s="19">
        <f>792.4+736.6</f>
        <v>1529</v>
      </c>
      <c r="AA172" s="24">
        <v>45798</v>
      </c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</row>
    <row r="173" spans="1:67" s="29" customFormat="1" ht="20.25" customHeight="1">
      <c r="A173" s="11">
        <v>45785</v>
      </c>
      <c r="B173" s="16" t="s">
        <v>945</v>
      </c>
      <c r="C173" s="16" t="s">
        <v>243</v>
      </c>
      <c r="D173" s="16" t="s">
        <v>212</v>
      </c>
      <c r="E173" s="16" t="s">
        <v>25</v>
      </c>
      <c r="F173" s="19" t="s">
        <v>986</v>
      </c>
      <c r="G173" s="16" t="s">
        <v>71</v>
      </c>
      <c r="H173" s="16" t="s">
        <v>31</v>
      </c>
      <c r="I173" s="16" t="s">
        <v>63</v>
      </c>
      <c r="J173" s="16" t="s">
        <v>27</v>
      </c>
      <c r="K173" s="16" t="s">
        <v>929</v>
      </c>
      <c r="L173" s="16" t="s">
        <v>75</v>
      </c>
      <c r="M173" s="17">
        <v>2140.6</v>
      </c>
      <c r="N173" s="23">
        <v>1.33</v>
      </c>
      <c r="O173" s="16" t="s">
        <v>67</v>
      </c>
      <c r="P173" s="16" t="s">
        <v>29</v>
      </c>
      <c r="Q173" s="16" t="s">
        <v>920</v>
      </c>
      <c r="R173" s="16" t="s">
        <v>921</v>
      </c>
      <c r="S173" s="13">
        <v>45803</v>
      </c>
      <c r="T173" s="13">
        <v>45811</v>
      </c>
      <c r="U173" s="19"/>
      <c r="V173" s="53">
        <f>M173-U173-Z173</f>
        <v>-1.2000000000002728</v>
      </c>
      <c r="W173" s="22" t="s">
        <v>946</v>
      </c>
      <c r="X173" s="26"/>
      <c r="Y173" s="26"/>
      <c r="Z173" s="19">
        <v>2141.8000000000002</v>
      </c>
      <c r="AA173" s="24">
        <v>45798</v>
      </c>
    </row>
    <row r="174" spans="1:67" s="29" customFormat="1" ht="20.25" customHeight="1">
      <c r="A174" s="11">
        <v>45785</v>
      </c>
      <c r="B174" s="16" t="s">
        <v>948</v>
      </c>
      <c r="C174" s="16" t="s">
        <v>243</v>
      </c>
      <c r="D174" s="16" t="s">
        <v>212</v>
      </c>
      <c r="E174" s="16" t="s">
        <v>25</v>
      </c>
      <c r="F174" s="19" t="s">
        <v>987</v>
      </c>
      <c r="G174" s="16" t="s">
        <v>71</v>
      </c>
      <c r="H174" s="16" t="s">
        <v>31</v>
      </c>
      <c r="I174" s="16" t="s">
        <v>63</v>
      </c>
      <c r="J174" s="16" t="s">
        <v>27</v>
      </c>
      <c r="K174" s="16" t="s">
        <v>929</v>
      </c>
      <c r="L174" s="16" t="s">
        <v>75</v>
      </c>
      <c r="M174" s="17">
        <v>2180.1</v>
      </c>
      <c r="N174" s="23">
        <v>1.33</v>
      </c>
      <c r="O174" s="16" t="s">
        <v>67</v>
      </c>
      <c r="P174" s="16" t="s">
        <v>29</v>
      </c>
      <c r="Q174" s="16" t="s">
        <v>920</v>
      </c>
      <c r="R174" s="16" t="s">
        <v>791</v>
      </c>
      <c r="S174" s="13">
        <v>45803</v>
      </c>
      <c r="T174" s="13">
        <v>45811</v>
      </c>
      <c r="U174" s="19"/>
      <c r="V174" s="53">
        <f>M174-U174-Z174</f>
        <v>-9.9999999999909051E-2</v>
      </c>
      <c r="W174" s="22" t="s">
        <v>949</v>
      </c>
      <c r="X174" s="26"/>
      <c r="Y174" s="26"/>
      <c r="Z174" s="19">
        <f>1998.7+181.5</f>
        <v>2180.1999999999998</v>
      </c>
      <c r="AA174" s="24">
        <v>45798</v>
      </c>
    </row>
    <row r="175" spans="1:67" s="29" customFormat="1" ht="20.25" customHeight="1">
      <c r="A175" s="11">
        <v>45785</v>
      </c>
      <c r="B175" s="16" t="s">
        <v>950</v>
      </c>
      <c r="C175" s="16" t="s">
        <v>243</v>
      </c>
      <c r="D175" s="16" t="s">
        <v>212</v>
      </c>
      <c r="E175" s="16" t="s">
        <v>25</v>
      </c>
      <c r="F175" s="16" t="s">
        <v>989</v>
      </c>
      <c r="G175" s="16" t="s">
        <v>71</v>
      </c>
      <c r="H175" s="16" t="s">
        <v>31</v>
      </c>
      <c r="I175" s="16" t="s">
        <v>63</v>
      </c>
      <c r="J175" s="16" t="s">
        <v>27</v>
      </c>
      <c r="K175" s="16" t="s">
        <v>929</v>
      </c>
      <c r="L175" s="16" t="s">
        <v>75</v>
      </c>
      <c r="M175" s="17">
        <v>4041.7</v>
      </c>
      <c r="N175" s="23">
        <v>1.33</v>
      </c>
      <c r="O175" s="16" t="s">
        <v>67</v>
      </c>
      <c r="P175" s="16" t="s">
        <v>29</v>
      </c>
      <c r="Q175" s="16" t="s">
        <v>920</v>
      </c>
      <c r="R175" s="16" t="s">
        <v>791</v>
      </c>
      <c r="S175" s="13">
        <v>45803</v>
      </c>
      <c r="T175" s="13">
        <v>45811</v>
      </c>
      <c r="U175" s="19"/>
      <c r="V175" s="53">
        <f>M175-U175-Z175</f>
        <v>-3.7000000000002728</v>
      </c>
      <c r="W175" s="22" t="s">
        <v>951</v>
      </c>
      <c r="X175" s="26"/>
      <c r="Y175" s="26"/>
      <c r="Z175" s="19">
        <f>2134.8+1910.6</f>
        <v>4045.4</v>
      </c>
      <c r="AA175" s="24">
        <v>45798</v>
      </c>
    </row>
    <row r="176" spans="1:67" s="29" customFormat="1" ht="20.25" customHeight="1">
      <c r="A176" s="11">
        <v>45785</v>
      </c>
      <c r="B176" s="16" t="s">
        <v>952</v>
      </c>
      <c r="C176" s="16" t="s">
        <v>243</v>
      </c>
      <c r="D176" s="16" t="s">
        <v>212</v>
      </c>
      <c r="E176" s="16" t="s">
        <v>25</v>
      </c>
      <c r="F176" s="16" t="s">
        <v>988</v>
      </c>
      <c r="G176" s="16" t="s">
        <v>71</v>
      </c>
      <c r="H176" s="16" t="s">
        <v>31</v>
      </c>
      <c r="I176" s="16" t="s">
        <v>63</v>
      </c>
      <c r="J176" s="16" t="s">
        <v>27</v>
      </c>
      <c r="K176" s="16" t="s">
        <v>929</v>
      </c>
      <c r="L176" s="16" t="s">
        <v>75</v>
      </c>
      <c r="M176" s="17">
        <v>3593.8</v>
      </c>
      <c r="N176" s="23">
        <v>1.33</v>
      </c>
      <c r="O176" s="16" t="s">
        <v>67</v>
      </c>
      <c r="P176" s="16" t="s">
        <v>29</v>
      </c>
      <c r="Q176" s="16" t="s">
        <v>920</v>
      </c>
      <c r="R176" s="16" t="s">
        <v>921</v>
      </c>
      <c r="S176" s="13">
        <v>45803</v>
      </c>
      <c r="T176" s="13">
        <v>45811</v>
      </c>
      <c r="U176" s="19"/>
      <c r="V176" s="53">
        <f>M176-U176-Z176-AB176-AD176-AF176</f>
        <v>-8.5999999999997954</v>
      </c>
      <c r="W176" s="22" t="s">
        <v>953</v>
      </c>
      <c r="X176" s="26"/>
      <c r="Y176" s="26"/>
      <c r="Z176" s="19">
        <v>2012.5</v>
      </c>
      <c r="AA176" s="24">
        <v>45798</v>
      </c>
      <c r="AB176" s="104">
        <v>556</v>
      </c>
      <c r="AC176" s="85">
        <v>45810</v>
      </c>
      <c r="AD176" s="104">
        <v>300</v>
      </c>
      <c r="AE176" s="85">
        <v>45818</v>
      </c>
      <c r="AF176" s="104">
        <f>19.4+714.5</f>
        <v>733.9</v>
      </c>
      <c r="AG176" s="85">
        <v>45833</v>
      </c>
    </row>
    <row r="177" spans="1:67" s="29" customFormat="1" ht="20.25" customHeight="1">
      <c r="A177" s="272">
        <v>45785</v>
      </c>
      <c r="B177" s="273" t="s">
        <v>911</v>
      </c>
      <c r="C177" s="273" t="s">
        <v>438</v>
      </c>
      <c r="D177" s="273" t="s">
        <v>212</v>
      </c>
      <c r="E177" s="273" t="s">
        <v>25</v>
      </c>
      <c r="F177" s="273" t="s">
        <v>912</v>
      </c>
      <c r="G177" s="273" t="s">
        <v>71</v>
      </c>
      <c r="H177" s="273" t="s">
        <v>26</v>
      </c>
      <c r="I177" s="273" t="s">
        <v>63</v>
      </c>
      <c r="J177" s="273" t="s">
        <v>27</v>
      </c>
      <c r="K177" s="273" t="s">
        <v>214</v>
      </c>
      <c r="L177" s="273" t="s">
        <v>75</v>
      </c>
      <c r="M177" s="274"/>
      <c r="N177" s="275">
        <v>1.33</v>
      </c>
      <c r="O177" s="273" t="s">
        <v>67</v>
      </c>
      <c r="P177" s="273" t="s">
        <v>29</v>
      </c>
      <c r="Q177" s="273" t="s">
        <v>29</v>
      </c>
      <c r="R177" s="273" t="s">
        <v>29</v>
      </c>
      <c r="S177" s="277">
        <v>45805</v>
      </c>
      <c r="T177" s="277">
        <v>45810</v>
      </c>
      <c r="U177" s="278"/>
      <c r="V177" s="279">
        <v>0</v>
      </c>
      <c r="W177" s="280" t="s">
        <v>917</v>
      </c>
      <c r="X177" s="285"/>
      <c r="Y177" s="285"/>
      <c r="Z177" s="285"/>
      <c r="AA177" s="285"/>
      <c r="AB177" s="286"/>
      <c r="AC177" s="286"/>
      <c r="AD177" s="286"/>
      <c r="AE177" s="286"/>
      <c r="AF177" s="286"/>
      <c r="AG177" s="286"/>
      <c r="AH177" s="286"/>
      <c r="AI177" s="286"/>
      <c r="AJ177" s="286"/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  <c r="AV177" s="286"/>
      <c r="AW177" s="286"/>
      <c r="AX177" s="286"/>
      <c r="AY177" s="286"/>
      <c r="AZ177" s="286"/>
      <c r="BA177" s="286"/>
      <c r="BB177" s="286"/>
      <c r="BC177" s="286"/>
      <c r="BD177" s="286"/>
      <c r="BE177" s="286"/>
      <c r="BF177" s="286"/>
      <c r="BG177" s="286"/>
      <c r="BH177" s="286"/>
      <c r="BI177" s="286"/>
      <c r="BJ177" s="286"/>
      <c r="BK177" s="286"/>
      <c r="BL177" s="286"/>
      <c r="BM177" s="286"/>
      <c r="BN177" s="286"/>
      <c r="BO177" s="286"/>
    </row>
    <row r="178" spans="1:67" s="29" customFormat="1" ht="20.25" customHeight="1">
      <c r="A178" s="272">
        <v>45785</v>
      </c>
      <c r="B178" s="273" t="s">
        <v>911</v>
      </c>
      <c r="C178" s="273" t="s">
        <v>438</v>
      </c>
      <c r="D178" s="273" t="s">
        <v>212</v>
      </c>
      <c r="E178" s="273" t="s">
        <v>25</v>
      </c>
      <c r="F178" s="273" t="s">
        <v>912</v>
      </c>
      <c r="G178" s="273" t="s">
        <v>71</v>
      </c>
      <c r="H178" s="273" t="s">
        <v>26</v>
      </c>
      <c r="I178" s="273" t="s">
        <v>63</v>
      </c>
      <c r="J178" s="273" t="s">
        <v>27</v>
      </c>
      <c r="K178" s="273" t="s">
        <v>913</v>
      </c>
      <c r="L178" s="273" t="s">
        <v>75</v>
      </c>
      <c r="M178" s="274"/>
      <c r="N178" s="275">
        <v>1.33</v>
      </c>
      <c r="O178" s="273" t="s">
        <v>67</v>
      </c>
      <c r="P178" s="273" t="s">
        <v>29</v>
      </c>
      <c r="Q178" s="273" t="s">
        <v>29</v>
      </c>
      <c r="R178" s="273" t="s">
        <v>29</v>
      </c>
      <c r="S178" s="277">
        <v>45805</v>
      </c>
      <c r="T178" s="277">
        <v>45810</v>
      </c>
      <c r="U178" s="278"/>
      <c r="V178" s="279">
        <v>0</v>
      </c>
      <c r="W178" s="280" t="s">
        <v>915</v>
      </c>
      <c r="X178" s="1"/>
      <c r="Y178" s="285"/>
      <c r="Z178" s="285"/>
      <c r="AA178" s="285"/>
      <c r="AB178" s="286"/>
      <c r="AC178" s="286"/>
      <c r="AD178" s="286"/>
      <c r="AE178" s="286"/>
      <c r="AF178" s="286"/>
      <c r="AG178" s="286"/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6"/>
      <c r="AU178" s="286"/>
      <c r="AV178" s="286"/>
      <c r="AW178" s="286"/>
      <c r="AX178" s="286"/>
      <c r="AY178" s="286"/>
      <c r="AZ178" s="286"/>
      <c r="BA178" s="286"/>
      <c r="BB178" s="286"/>
      <c r="BC178" s="286"/>
      <c r="BD178" s="286"/>
      <c r="BE178" s="286"/>
      <c r="BF178" s="286"/>
      <c r="BG178" s="286"/>
      <c r="BH178" s="286"/>
      <c r="BI178" s="286"/>
      <c r="BJ178" s="286"/>
      <c r="BK178" s="286"/>
      <c r="BL178" s="286"/>
      <c r="BM178" s="286"/>
      <c r="BN178" s="286"/>
      <c r="BO178" s="286"/>
    </row>
    <row r="179" spans="1:67" s="29" customFormat="1" ht="20.25" customHeight="1">
      <c r="A179" s="11">
        <v>45785</v>
      </c>
      <c r="B179" s="16" t="s">
        <v>918</v>
      </c>
      <c r="C179" s="16" t="s">
        <v>243</v>
      </c>
      <c r="D179" s="16" t="s">
        <v>212</v>
      </c>
      <c r="E179" s="16" t="s">
        <v>25</v>
      </c>
      <c r="F179" s="16" t="s">
        <v>978</v>
      </c>
      <c r="G179" s="16" t="s">
        <v>71</v>
      </c>
      <c r="H179" s="16" t="s">
        <v>31</v>
      </c>
      <c r="I179" s="16" t="s">
        <v>63</v>
      </c>
      <c r="J179" s="16" t="s">
        <v>27</v>
      </c>
      <c r="K179" s="16" t="s">
        <v>923</v>
      </c>
      <c r="L179" s="16" t="s">
        <v>75</v>
      </c>
      <c r="M179" s="17">
        <v>133.1</v>
      </c>
      <c r="N179" s="23">
        <v>1.33</v>
      </c>
      <c r="O179" s="16" t="s">
        <v>67</v>
      </c>
      <c r="P179" s="16" t="s">
        <v>29</v>
      </c>
      <c r="Q179" s="16" t="s">
        <v>920</v>
      </c>
      <c r="R179" s="16" t="s">
        <v>921</v>
      </c>
      <c r="S179" s="13">
        <v>45803</v>
      </c>
      <c r="T179" s="13">
        <v>45811</v>
      </c>
      <c r="U179" s="19"/>
      <c r="V179" s="53">
        <f>M179-U179-Z179</f>
        <v>-2.4000000000000057</v>
      </c>
      <c r="W179" s="22" t="s">
        <v>924</v>
      </c>
      <c r="X179" s="1"/>
      <c r="Y179" s="26"/>
      <c r="Z179" s="19">
        <v>135.5</v>
      </c>
      <c r="AA179" s="24">
        <v>45798</v>
      </c>
      <c r="BG179" s="28"/>
      <c r="BH179" s="28"/>
      <c r="BI179" s="28"/>
      <c r="BJ179" s="28"/>
      <c r="BK179" s="28"/>
      <c r="BL179" s="28"/>
      <c r="BM179" s="28"/>
      <c r="BN179" s="28"/>
      <c r="BO179" s="28"/>
    </row>
    <row r="180" spans="1:67" s="29" customFormat="1" ht="20.25" customHeight="1">
      <c r="A180" s="11">
        <v>45785</v>
      </c>
      <c r="B180" s="16" t="s">
        <v>925</v>
      </c>
      <c r="C180" s="16" t="s">
        <v>243</v>
      </c>
      <c r="D180" s="16" t="s">
        <v>212</v>
      </c>
      <c r="E180" s="16" t="s">
        <v>25</v>
      </c>
      <c r="F180" s="19" t="s">
        <v>979</v>
      </c>
      <c r="G180" s="16" t="s">
        <v>71</v>
      </c>
      <c r="H180" s="16" t="s">
        <v>31</v>
      </c>
      <c r="I180" s="16" t="s">
        <v>63</v>
      </c>
      <c r="J180" s="16" t="s">
        <v>27</v>
      </c>
      <c r="K180" s="16" t="s">
        <v>923</v>
      </c>
      <c r="L180" s="16" t="s">
        <v>75</v>
      </c>
      <c r="M180" s="17">
        <v>91.5</v>
      </c>
      <c r="N180" s="23">
        <v>1.33</v>
      </c>
      <c r="O180" s="16" t="s">
        <v>67</v>
      </c>
      <c r="P180" s="16" t="s">
        <v>29</v>
      </c>
      <c r="Q180" s="16" t="s">
        <v>920</v>
      </c>
      <c r="R180" s="16" t="s">
        <v>921</v>
      </c>
      <c r="S180" s="13">
        <v>45803</v>
      </c>
      <c r="T180" s="13">
        <v>45811</v>
      </c>
      <c r="U180" s="19"/>
      <c r="V180" s="53">
        <f>M180-U180-Z180</f>
        <v>0</v>
      </c>
      <c r="W180" s="22" t="s">
        <v>927</v>
      </c>
      <c r="X180" s="1"/>
      <c r="Y180" s="269"/>
      <c r="Z180" s="220">
        <v>91.5</v>
      </c>
      <c r="AA180" s="221">
        <v>45798</v>
      </c>
    </row>
    <row r="181" spans="1:67" s="37" customFormat="1" ht="20.25" customHeight="1">
      <c r="A181" s="11">
        <v>45785</v>
      </c>
      <c r="B181" s="16" t="s">
        <v>945</v>
      </c>
      <c r="C181" s="16" t="s">
        <v>243</v>
      </c>
      <c r="D181" s="16" t="s">
        <v>212</v>
      </c>
      <c r="E181" s="16" t="s">
        <v>25</v>
      </c>
      <c r="F181" s="19" t="s">
        <v>986</v>
      </c>
      <c r="G181" s="16" t="s">
        <v>71</v>
      </c>
      <c r="H181" s="16" t="s">
        <v>31</v>
      </c>
      <c r="I181" s="16" t="s">
        <v>63</v>
      </c>
      <c r="J181" s="16" t="s">
        <v>27</v>
      </c>
      <c r="K181" s="16" t="s">
        <v>923</v>
      </c>
      <c r="L181" s="16" t="s">
        <v>75</v>
      </c>
      <c r="M181" s="17">
        <v>330.7</v>
      </c>
      <c r="N181" s="23">
        <v>1.33</v>
      </c>
      <c r="O181" s="16" t="s">
        <v>67</v>
      </c>
      <c r="P181" s="16" t="s">
        <v>29</v>
      </c>
      <c r="Q181" s="16" t="s">
        <v>920</v>
      </c>
      <c r="R181" s="16" t="s">
        <v>921</v>
      </c>
      <c r="S181" s="13">
        <v>45803</v>
      </c>
      <c r="T181" s="13">
        <v>45811</v>
      </c>
      <c r="U181" s="19"/>
      <c r="V181" s="53">
        <f>M181-U181-Z181</f>
        <v>-3.6999999999999886</v>
      </c>
      <c r="W181" s="22" t="s">
        <v>947</v>
      </c>
      <c r="X181" s="1"/>
      <c r="Y181" s="269"/>
      <c r="Z181" s="259">
        <v>334.4</v>
      </c>
      <c r="AA181" s="260">
        <v>45798</v>
      </c>
      <c r="AB181" s="264"/>
      <c r="AC181" s="258"/>
      <c r="AD181" s="258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11"/>
      <c r="BH181" s="211"/>
      <c r="BI181" s="211"/>
      <c r="BJ181" s="211"/>
      <c r="BK181" s="211"/>
      <c r="BL181" s="211"/>
      <c r="BM181" s="211"/>
      <c r="BN181" s="211"/>
      <c r="BO181" s="211"/>
    </row>
    <row r="182" spans="1:67" s="36" customFormat="1" ht="20.25" customHeight="1">
      <c r="A182" s="11">
        <v>45785</v>
      </c>
      <c r="B182" s="16" t="s">
        <v>952</v>
      </c>
      <c r="C182" s="16" t="s">
        <v>243</v>
      </c>
      <c r="D182" s="16" t="s">
        <v>212</v>
      </c>
      <c r="E182" s="16" t="s">
        <v>25</v>
      </c>
      <c r="F182" s="16" t="s">
        <v>988</v>
      </c>
      <c r="G182" s="16" t="s">
        <v>71</v>
      </c>
      <c r="H182" s="16" t="s">
        <v>31</v>
      </c>
      <c r="I182" s="16" t="s">
        <v>63</v>
      </c>
      <c r="J182" s="16" t="s">
        <v>27</v>
      </c>
      <c r="K182" s="16" t="s">
        <v>923</v>
      </c>
      <c r="L182" s="16" t="s">
        <v>75</v>
      </c>
      <c r="M182" s="17">
        <v>555.9</v>
      </c>
      <c r="N182" s="23">
        <v>1.33</v>
      </c>
      <c r="O182" s="16" t="s">
        <v>67</v>
      </c>
      <c r="P182" s="16" t="s">
        <v>29</v>
      </c>
      <c r="Q182" s="16" t="s">
        <v>920</v>
      </c>
      <c r="R182" s="16" t="s">
        <v>921</v>
      </c>
      <c r="S182" s="13">
        <v>45803</v>
      </c>
      <c r="T182" s="13">
        <v>45811</v>
      </c>
      <c r="U182" s="19"/>
      <c r="V182" s="53">
        <f>M182-U182-X182-Z182</f>
        <v>-4.5</v>
      </c>
      <c r="W182" s="22" t="s">
        <v>954</v>
      </c>
      <c r="X182" s="1"/>
      <c r="Y182" s="26"/>
      <c r="Z182" s="19">
        <v>560.4</v>
      </c>
      <c r="AA182" s="24">
        <v>45810</v>
      </c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9"/>
      <c r="BG182" s="211"/>
      <c r="BH182" s="211"/>
      <c r="BI182" s="211"/>
      <c r="BJ182" s="211"/>
      <c r="BK182" s="211"/>
      <c r="BL182" s="211"/>
      <c r="BM182" s="211"/>
      <c r="BN182" s="211"/>
      <c r="BO182" s="211"/>
    </row>
    <row r="183" spans="1:67" s="29" customFormat="1" ht="20.25" customHeight="1">
      <c r="A183" s="11">
        <v>45785</v>
      </c>
      <c r="B183" s="16" t="s">
        <v>955</v>
      </c>
      <c r="C183" s="16" t="s">
        <v>243</v>
      </c>
      <c r="D183" s="16" t="s">
        <v>212</v>
      </c>
      <c r="E183" s="16" t="s">
        <v>25</v>
      </c>
      <c r="F183" s="16" t="s">
        <v>990</v>
      </c>
      <c r="G183" s="16" t="s">
        <v>71</v>
      </c>
      <c r="H183" s="16" t="s">
        <v>31</v>
      </c>
      <c r="I183" s="16" t="s">
        <v>63</v>
      </c>
      <c r="J183" s="16" t="s">
        <v>27</v>
      </c>
      <c r="K183" s="16" t="s">
        <v>923</v>
      </c>
      <c r="L183" s="16" t="s">
        <v>75</v>
      </c>
      <c r="M183" s="17">
        <v>627.9</v>
      </c>
      <c r="N183" s="23">
        <v>1.33</v>
      </c>
      <c r="O183" s="16" t="s">
        <v>67</v>
      </c>
      <c r="P183" s="16" t="s">
        <v>29</v>
      </c>
      <c r="Q183" s="16" t="s">
        <v>920</v>
      </c>
      <c r="R183" s="16" t="s">
        <v>921</v>
      </c>
      <c r="S183" s="13">
        <v>45803</v>
      </c>
      <c r="T183" s="13">
        <v>45811</v>
      </c>
      <c r="U183" s="19"/>
      <c r="V183" s="53">
        <f>M183-U183-X183-Z183</f>
        <v>-2.2000000000000455</v>
      </c>
      <c r="W183" s="22" t="s">
        <v>956</v>
      </c>
      <c r="X183" s="1"/>
      <c r="Y183" s="44"/>
      <c r="Z183" s="80">
        <v>630.1</v>
      </c>
      <c r="AA183" s="31">
        <v>45810</v>
      </c>
      <c r="BG183" s="36"/>
      <c r="BH183" s="36"/>
      <c r="BI183" s="36"/>
      <c r="BJ183" s="36"/>
      <c r="BK183" s="36"/>
      <c r="BL183" s="36"/>
      <c r="BM183" s="36"/>
      <c r="BN183" s="36"/>
      <c r="BO183" s="36"/>
    </row>
    <row r="184" spans="1:67" s="29" customFormat="1" ht="20.25" customHeight="1">
      <c r="A184" s="11">
        <v>45785</v>
      </c>
      <c r="B184" s="16" t="s">
        <v>911</v>
      </c>
      <c r="C184" s="16" t="s">
        <v>438</v>
      </c>
      <c r="D184" s="16" t="s">
        <v>212</v>
      </c>
      <c r="E184" s="16" t="s">
        <v>25</v>
      </c>
      <c r="F184" s="16">
        <v>4003405190</v>
      </c>
      <c r="G184" s="16" t="s">
        <v>71</v>
      </c>
      <c r="H184" s="16" t="s">
        <v>31</v>
      </c>
      <c r="I184" s="16" t="s">
        <v>63</v>
      </c>
      <c r="J184" s="16" t="s">
        <v>27</v>
      </c>
      <c r="K184" s="16" t="s">
        <v>372</v>
      </c>
      <c r="L184" s="16" t="s">
        <v>75</v>
      </c>
      <c r="M184" s="17">
        <v>26</v>
      </c>
      <c r="N184" s="23">
        <v>1.33</v>
      </c>
      <c r="O184" s="16" t="s">
        <v>67</v>
      </c>
      <c r="P184" s="16" t="s">
        <v>29</v>
      </c>
      <c r="Q184" s="16" t="s">
        <v>29</v>
      </c>
      <c r="R184" s="16" t="s">
        <v>29</v>
      </c>
      <c r="S184" s="13">
        <v>45805</v>
      </c>
      <c r="T184" s="13">
        <v>45810</v>
      </c>
      <c r="U184" s="19"/>
      <c r="V184" s="53">
        <f>M184-U184-Z184</f>
        <v>-1.3000000000000007</v>
      </c>
      <c r="W184" s="22" t="s">
        <v>958</v>
      </c>
      <c r="X184" s="26"/>
      <c r="Y184" s="44"/>
      <c r="Z184" s="19">
        <v>27.3</v>
      </c>
      <c r="AA184" s="24">
        <v>45803</v>
      </c>
      <c r="AB184" s="57"/>
      <c r="AC184" s="26"/>
      <c r="BG184" s="28"/>
      <c r="BH184" s="28"/>
      <c r="BI184" s="28"/>
      <c r="BJ184" s="28"/>
      <c r="BK184" s="28"/>
      <c r="BL184" s="28"/>
      <c r="BM184" s="28"/>
      <c r="BN184" s="28"/>
      <c r="BO184" s="28"/>
    </row>
    <row r="185" spans="1:67" s="29" customFormat="1" ht="20.25" customHeight="1">
      <c r="A185" s="11">
        <v>45786</v>
      </c>
      <c r="B185" s="16" t="s">
        <v>960</v>
      </c>
      <c r="C185" s="16" t="s">
        <v>267</v>
      </c>
      <c r="D185" s="16" t="s">
        <v>212</v>
      </c>
      <c r="E185" s="16" t="s">
        <v>25</v>
      </c>
      <c r="F185" s="16" t="s">
        <v>961</v>
      </c>
      <c r="G185" s="16" t="s">
        <v>71</v>
      </c>
      <c r="H185" s="16" t="s">
        <v>26</v>
      </c>
      <c r="I185" s="16" t="s">
        <v>63</v>
      </c>
      <c r="J185" s="16" t="s">
        <v>27</v>
      </c>
      <c r="K185" s="16" t="s">
        <v>218</v>
      </c>
      <c r="L185" s="16" t="s">
        <v>75</v>
      </c>
      <c r="M185" s="17">
        <v>30880</v>
      </c>
      <c r="N185" s="23">
        <v>1.33</v>
      </c>
      <c r="O185" s="16" t="s">
        <v>67</v>
      </c>
      <c r="P185" s="16" t="s">
        <v>29</v>
      </c>
      <c r="Q185" s="16" t="s">
        <v>962</v>
      </c>
      <c r="R185" s="16" t="s">
        <v>29</v>
      </c>
      <c r="S185" s="13">
        <v>45800</v>
      </c>
      <c r="T185" s="13">
        <v>45800</v>
      </c>
      <c r="U185" s="19"/>
      <c r="V185" s="55">
        <f>M185-U185-Z185-AB185</f>
        <v>-0.60000000000218279</v>
      </c>
      <c r="W185" s="22" t="s">
        <v>963</v>
      </c>
      <c r="X185" s="1"/>
      <c r="Y185" s="26"/>
      <c r="Z185" s="19">
        <f>4264.7+1436.9+2698.8+584.2+4127.5+3475</f>
        <v>16587.100000000002</v>
      </c>
      <c r="AA185" s="24">
        <v>45796</v>
      </c>
      <c r="AB185" s="125">
        <f>2150.7+3861.6+266.4+280.1+288.4+105.2+3869.3+3224.1+247.7</f>
        <v>14293.5</v>
      </c>
      <c r="AC185" s="24">
        <v>45799</v>
      </c>
    </row>
    <row r="186" spans="1:67" s="29" customFormat="1" ht="20.25" customHeight="1">
      <c r="A186" s="11">
        <v>45786</v>
      </c>
      <c r="B186" s="16" t="s">
        <v>960</v>
      </c>
      <c r="C186" s="16" t="s">
        <v>267</v>
      </c>
      <c r="D186" s="16" t="s">
        <v>212</v>
      </c>
      <c r="E186" s="16" t="s">
        <v>25</v>
      </c>
      <c r="F186" s="16" t="s">
        <v>961</v>
      </c>
      <c r="G186" s="16" t="s">
        <v>71</v>
      </c>
      <c r="H186" s="16" t="s">
        <v>31</v>
      </c>
      <c r="I186" s="16" t="s">
        <v>63</v>
      </c>
      <c r="J186" s="16" t="s">
        <v>27</v>
      </c>
      <c r="K186" s="16" t="s">
        <v>218</v>
      </c>
      <c r="L186" s="16" t="s">
        <v>75</v>
      </c>
      <c r="M186" s="17">
        <v>885</v>
      </c>
      <c r="N186" s="23">
        <v>1.33</v>
      </c>
      <c r="O186" s="16" t="s">
        <v>67</v>
      </c>
      <c r="P186" s="16" t="s">
        <v>29</v>
      </c>
      <c r="Q186" s="16" t="s">
        <v>969</v>
      </c>
      <c r="R186" s="16" t="s">
        <v>29</v>
      </c>
      <c r="S186" s="13">
        <v>45800</v>
      </c>
      <c r="T186" s="13">
        <v>45800</v>
      </c>
      <c r="U186" s="19"/>
      <c r="V186" s="53">
        <f>M186-U186-Z186-AB186</f>
        <v>-2.8999999999999773</v>
      </c>
      <c r="W186" s="22" t="s">
        <v>970</v>
      </c>
      <c r="X186" s="1"/>
      <c r="Z186" s="19">
        <v>887.9</v>
      </c>
      <c r="AA186" s="24">
        <v>45799</v>
      </c>
    </row>
    <row r="187" spans="1:67" s="286" customFormat="1" ht="20.25" customHeight="1">
      <c r="A187" s="11">
        <v>45786</v>
      </c>
      <c r="B187" s="16" t="s">
        <v>960</v>
      </c>
      <c r="C187" s="16" t="s">
        <v>267</v>
      </c>
      <c r="D187" s="16" t="s">
        <v>212</v>
      </c>
      <c r="E187" s="16" t="s">
        <v>25</v>
      </c>
      <c r="F187" s="16" t="s">
        <v>961</v>
      </c>
      <c r="G187" s="16" t="s">
        <v>71</v>
      </c>
      <c r="H187" s="16" t="s">
        <v>26</v>
      </c>
      <c r="I187" s="16" t="s">
        <v>63</v>
      </c>
      <c r="J187" s="16" t="s">
        <v>27</v>
      </c>
      <c r="K187" s="16" t="s">
        <v>957</v>
      </c>
      <c r="L187" s="16" t="s">
        <v>75</v>
      </c>
      <c r="M187" s="17">
        <v>1270</v>
      </c>
      <c r="N187" s="23">
        <v>1.33</v>
      </c>
      <c r="O187" s="16" t="s">
        <v>67</v>
      </c>
      <c r="P187" s="16" t="s">
        <v>29</v>
      </c>
      <c r="Q187" s="16" t="s">
        <v>971</v>
      </c>
      <c r="R187" s="16" t="s">
        <v>29</v>
      </c>
      <c r="S187" s="13">
        <v>45800</v>
      </c>
      <c r="T187" s="13">
        <v>45800</v>
      </c>
      <c r="U187" s="19"/>
      <c r="V187" s="53">
        <f>M187-U187-Z187-AB187-AC187</f>
        <v>-2.5999999999999091</v>
      </c>
      <c r="W187" s="22" t="s">
        <v>972</v>
      </c>
      <c r="X187" s="1"/>
      <c r="Y187" s="214"/>
      <c r="Z187" s="82">
        <v>1272.5999999999999</v>
      </c>
      <c r="AA187" s="30">
        <v>45796</v>
      </c>
      <c r="AB187" s="214"/>
      <c r="AC187" s="214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8"/>
      <c r="BH187" s="28"/>
      <c r="BI187" s="28"/>
      <c r="BJ187" s="28"/>
      <c r="BK187" s="28"/>
      <c r="BL187" s="28"/>
      <c r="BM187" s="28"/>
      <c r="BN187" s="28"/>
      <c r="BO187" s="28"/>
    </row>
    <row r="188" spans="1:67" s="29" customFormat="1" ht="20.25" customHeight="1">
      <c r="A188" s="11">
        <v>45786</v>
      </c>
      <c r="B188" s="16" t="s">
        <v>973</v>
      </c>
      <c r="C188" s="16" t="s">
        <v>535</v>
      </c>
      <c r="D188" s="16" t="s">
        <v>212</v>
      </c>
      <c r="E188" s="16" t="s">
        <v>25</v>
      </c>
      <c r="F188" s="16" t="s">
        <v>974</v>
      </c>
      <c r="G188" s="16" t="s">
        <v>71</v>
      </c>
      <c r="H188" s="16" t="s">
        <v>26</v>
      </c>
      <c r="I188" s="16" t="s">
        <v>63</v>
      </c>
      <c r="J188" s="16" t="s">
        <v>27</v>
      </c>
      <c r="K188" s="16" t="s">
        <v>975</v>
      </c>
      <c r="L188" s="16" t="s">
        <v>75</v>
      </c>
      <c r="M188" s="17">
        <v>2175</v>
      </c>
      <c r="N188" s="23">
        <v>1.33</v>
      </c>
      <c r="O188" s="16" t="s">
        <v>67</v>
      </c>
      <c r="P188" s="16" t="s">
        <v>29</v>
      </c>
      <c r="Q188" s="16" t="s">
        <v>538</v>
      </c>
      <c r="R188" s="16" t="s">
        <v>29</v>
      </c>
      <c r="S188" s="13">
        <v>45799</v>
      </c>
      <c r="T188" s="13">
        <v>45799</v>
      </c>
      <c r="U188" s="19"/>
      <c r="V188" s="55">
        <f>M188-U188-Z188</f>
        <v>-9.9999999999909051E-2</v>
      </c>
      <c r="W188" s="22" t="s">
        <v>976</v>
      </c>
      <c r="X188" s="1"/>
      <c r="Y188" s="26"/>
      <c r="Z188" s="19">
        <v>2175.1</v>
      </c>
      <c r="AA188" s="8">
        <v>45799</v>
      </c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</row>
    <row r="189" spans="1:67" s="29" customFormat="1" ht="20.25" customHeight="1">
      <c r="A189" s="11">
        <v>45786</v>
      </c>
      <c r="B189" s="16" t="s">
        <v>960</v>
      </c>
      <c r="C189" s="16" t="s">
        <v>267</v>
      </c>
      <c r="D189" s="16" t="s">
        <v>212</v>
      </c>
      <c r="E189" s="16" t="s">
        <v>25</v>
      </c>
      <c r="F189" s="16" t="s">
        <v>961</v>
      </c>
      <c r="G189" s="16" t="s">
        <v>71</v>
      </c>
      <c r="H189" s="16" t="s">
        <v>31</v>
      </c>
      <c r="I189" s="16" t="s">
        <v>63</v>
      </c>
      <c r="J189" s="16" t="s">
        <v>27</v>
      </c>
      <c r="K189" s="16" t="s">
        <v>966</v>
      </c>
      <c r="L189" s="16" t="s">
        <v>75</v>
      </c>
      <c r="M189" s="17">
        <v>1185</v>
      </c>
      <c r="N189" s="23">
        <v>1.33</v>
      </c>
      <c r="O189" s="16" t="s">
        <v>67</v>
      </c>
      <c r="P189" s="16" t="s">
        <v>29</v>
      </c>
      <c r="Q189" s="16" t="s">
        <v>967</v>
      </c>
      <c r="R189" s="16" t="s">
        <v>29</v>
      </c>
      <c r="S189" s="13">
        <v>45800</v>
      </c>
      <c r="T189" s="13">
        <v>45800</v>
      </c>
      <c r="U189" s="19"/>
      <c r="V189" s="53">
        <f>M189-U189-Z189-AB189-AC189</f>
        <v>-0.59999999999990905</v>
      </c>
      <c r="W189" s="22" t="s">
        <v>968</v>
      </c>
      <c r="X189" s="26"/>
      <c r="Y189" s="26"/>
      <c r="Z189" s="19">
        <v>1185.5999999999999</v>
      </c>
      <c r="AA189" s="24">
        <v>45796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G189" s="28"/>
      <c r="BH189" s="28"/>
      <c r="BI189" s="28"/>
      <c r="BJ189" s="28"/>
      <c r="BK189" s="28"/>
      <c r="BL189" s="28"/>
      <c r="BM189" s="28"/>
      <c r="BN189" s="28"/>
      <c r="BO189" s="28"/>
    </row>
    <row r="190" spans="1:67" s="29" customFormat="1" ht="20.25" customHeight="1">
      <c r="A190" s="11">
        <v>45786</v>
      </c>
      <c r="B190" s="16" t="s">
        <v>973</v>
      </c>
      <c r="C190" s="16" t="s">
        <v>535</v>
      </c>
      <c r="D190" s="16" t="s">
        <v>212</v>
      </c>
      <c r="E190" s="16" t="s">
        <v>25</v>
      </c>
      <c r="F190" s="16" t="s">
        <v>974</v>
      </c>
      <c r="G190" s="16" t="s">
        <v>71</v>
      </c>
      <c r="H190" s="16" t="s">
        <v>26</v>
      </c>
      <c r="I190" s="16" t="s">
        <v>63</v>
      </c>
      <c r="J190" s="16" t="s">
        <v>27</v>
      </c>
      <c r="K190" s="16" t="s">
        <v>966</v>
      </c>
      <c r="L190" s="16" t="s">
        <v>75</v>
      </c>
      <c r="M190" s="17">
        <v>251</v>
      </c>
      <c r="N190" s="23">
        <v>1.33</v>
      </c>
      <c r="O190" s="16" t="s">
        <v>67</v>
      </c>
      <c r="P190" s="16" t="s">
        <v>29</v>
      </c>
      <c r="Q190" s="16" t="s">
        <v>538</v>
      </c>
      <c r="R190" s="16" t="s">
        <v>29</v>
      </c>
      <c r="S190" s="13">
        <v>45799</v>
      </c>
      <c r="T190" s="13">
        <v>45799</v>
      </c>
      <c r="U190" s="19"/>
      <c r="V190" s="55">
        <f>M190-U190-Z190-AB190</f>
        <v>-0.60000000000000853</v>
      </c>
      <c r="W190" s="22" t="s">
        <v>977</v>
      </c>
      <c r="X190" s="26"/>
      <c r="Y190" s="26"/>
      <c r="Z190" s="19">
        <f>155.8</f>
        <v>155.80000000000001</v>
      </c>
      <c r="AA190" s="8">
        <v>45799</v>
      </c>
      <c r="AB190" s="19">
        <v>95.8</v>
      </c>
      <c r="AC190" s="24">
        <v>45803</v>
      </c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G190" s="28"/>
      <c r="BH190" s="28"/>
      <c r="BI190" s="28"/>
      <c r="BJ190" s="28"/>
      <c r="BK190" s="28"/>
      <c r="BL190" s="28"/>
      <c r="BM190" s="28"/>
      <c r="BN190" s="28"/>
      <c r="BO190" s="28"/>
    </row>
    <row r="191" spans="1:67" s="29" customFormat="1" ht="20.25" customHeight="1">
      <c r="A191" s="11">
        <v>45786</v>
      </c>
      <c r="B191" s="16" t="s">
        <v>960</v>
      </c>
      <c r="C191" s="16" t="s">
        <v>267</v>
      </c>
      <c r="D191" s="16" t="s">
        <v>212</v>
      </c>
      <c r="E191" s="16" t="s">
        <v>25</v>
      </c>
      <c r="F191" s="16" t="s">
        <v>961</v>
      </c>
      <c r="G191" s="16" t="s">
        <v>71</v>
      </c>
      <c r="H191" s="16" t="s">
        <v>26</v>
      </c>
      <c r="I191" s="16" t="s">
        <v>63</v>
      </c>
      <c r="J191" s="16" t="s">
        <v>27</v>
      </c>
      <c r="K191" s="16" t="s">
        <v>613</v>
      </c>
      <c r="L191" s="16" t="s">
        <v>75</v>
      </c>
      <c r="M191" s="17">
        <v>11550</v>
      </c>
      <c r="N191" s="23">
        <v>1.33</v>
      </c>
      <c r="O191" s="16" t="s">
        <v>67</v>
      </c>
      <c r="P191" s="16" t="s">
        <v>29</v>
      </c>
      <c r="Q191" s="16" t="s">
        <v>964</v>
      </c>
      <c r="R191" s="16" t="s">
        <v>29</v>
      </c>
      <c r="S191" s="13">
        <v>45800</v>
      </c>
      <c r="T191" s="13">
        <v>45800</v>
      </c>
      <c r="U191" s="19"/>
      <c r="V191" s="53">
        <f>M191-U191-Z191-AB191</f>
        <v>-5.1999999999998181</v>
      </c>
      <c r="W191" s="22" t="s">
        <v>965</v>
      </c>
      <c r="X191" s="26"/>
      <c r="Y191" s="26"/>
      <c r="Z191" s="19">
        <f>1202.9+2777.5+4208.1</f>
        <v>8188.5</v>
      </c>
      <c r="AA191" s="24">
        <v>45796</v>
      </c>
      <c r="AB191" s="19">
        <v>3366.7</v>
      </c>
      <c r="AC191" s="24">
        <v>45799</v>
      </c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G191" s="28"/>
      <c r="BH191" s="28"/>
      <c r="BI191" s="28"/>
      <c r="BJ191" s="28"/>
      <c r="BK191" s="28"/>
      <c r="BL191" s="28"/>
      <c r="BM191" s="28"/>
      <c r="BN191" s="28"/>
      <c r="BO191" s="28"/>
    </row>
    <row r="192" spans="1:67" s="29" customFormat="1" ht="20.25" customHeight="1">
      <c r="A192" s="11">
        <v>45790</v>
      </c>
      <c r="B192" s="16" t="s">
        <v>1006</v>
      </c>
      <c r="C192" s="16" t="s">
        <v>267</v>
      </c>
      <c r="D192" s="16" t="s">
        <v>212</v>
      </c>
      <c r="E192" s="16" t="s">
        <v>34</v>
      </c>
      <c r="F192" s="16" t="s">
        <v>1007</v>
      </c>
      <c r="G192" s="16" t="s">
        <v>71</v>
      </c>
      <c r="H192" s="16" t="s">
        <v>26</v>
      </c>
      <c r="I192" s="16" t="s">
        <v>63</v>
      </c>
      <c r="J192" s="16" t="s">
        <v>27</v>
      </c>
      <c r="K192" s="16" t="s">
        <v>1008</v>
      </c>
      <c r="L192" s="16" t="s">
        <v>75</v>
      </c>
      <c r="M192" s="17">
        <v>50</v>
      </c>
      <c r="N192" s="23">
        <v>1.32</v>
      </c>
      <c r="O192" s="16" t="s">
        <v>67</v>
      </c>
      <c r="P192" s="16" t="s">
        <v>29</v>
      </c>
      <c r="Q192" s="16" t="s">
        <v>29</v>
      </c>
      <c r="R192" s="16" t="s">
        <v>29</v>
      </c>
      <c r="S192" s="13">
        <v>45804</v>
      </c>
      <c r="T192" s="13">
        <v>45804</v>
      </c>
      <c r="U192" s="19"/>
      <c r="V192" s="53">
        <f>M192-U192-Z192</f>
        <v>-1.2000000000000028</v>
      </c>
      <c r="W192" s="22" t="s">
        <v>1009</v>
      </c>
      <c r="X192" s="1"/>
      <c r="Y192" s="346"/>
      <c r="Z192" s="80">
        <v>51.2</v>
      </c>
      <c r="AA192" s="30">
        <v>45804</v>
      </c>
    </row>
    <row r="193" spans="1:67" s="28" customFormat="1" ht="20.25" customHeight="1">
      <c r="A193" s="11">
        <v>45796</v>
      </c>
      <c r="B193" s="16" t="s">
        <v>1026</v>
      </c>
      <c r="C193" s="16" t="s">
        <v>267</v>
      </c>
      <c r="D193" s="16" t="s">
        <v>212</v>
      </c>
      <c r="E193" s="16" t="s">
        <v>34</v>
      </c>
      <c r="F193" s="16" t="s">
        <v>1027</v>
      </c>
      <c r="G193" s="16" t="s">
        <v>71</v>
      </c>
      <c r="H193" s="16" t="s">
        <v>26</v>
      </c>
      <c r="I193" s="16" t="s">
        <v>63</v>
      </c>
      <c r="J193" s="16" t="s">
        <v>27</v>
      </c>
      <c r="K193" s="16" t="s">
        <v>340</v>
      </c>
      <c r="L193" s="16" t="s">
        <v>75</v>
      </c>
      <c r="M193" s="17">
        <v>50</v>
      </c>
      <c r="N193" s="23">
        <v>1.32</v>
      </c>
      <c r="O193" s="16" t="s">
        <v>67</v>
      </c>
      <c r="P193" s="16" t="s">
        <v>29</v>
      </c>
      <c r="Q193" s="16" t="s">
        <v>29</v>
      </c>
      <c r="R193" s="16" t="s">
        <v>29</v>
      </c>
      <c r="S193" s="13">
        <v>45810</v>
      </c>
      <c r="T193" s="13">
        <v>45817</v>
      </c>
      <c r="U193" s="19"/>
      <c r="V193" s="53">
        <f>M193-U193-Z193</f>
        <v>-4.5</v>
      </c>
      <c r="W193" s="22" t="s">
        <v>1028</v>
      </c>
      <c r="X193" s="21"/>
      <c r="Y193" s="343"/>
      <c r="Z193" s="19">
        <v>54.5</v>
      </c>
      <c r="AA193" s="218">
        <v>45804</v>
      </c>
      <c r="AB193" s="7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</row>
    <row r="194" spans="1:67" s="28" customFormat="1" ht="20.25" customHeight="1">
      <c r="A194" s="48">
        <v>45797</v>
      </c>
      <c r="B194" s="49" t="s">
        <v>1032</v>
      </c>
      <c r="C194" s="49" t="s">
        <v>243</v>
      </c>
      <c r="D194" s="49" t="s">
        <v>212</v>
      </c>
      <c r="E194" s="49" t="s">
        <v>34</v>
      </c>
      <c r="F194" s="49" t="s">
        <v>1033</v>
      </c>
      <c r="G194" s="49" t="s">
        <v>71</v>
      </c>
      <c r="H194" s="49" t="s">
        <v>31</v>
      </c>
      <c r="I194" s="49" t="s">
        <v>63</v>
      </c>
      <c r="J194" s="49" t="s">
        <v>27</v>
      </c>
      <c r="K194" s="49" t="s">
        <v>245</v>
      </c>
      <c r="L194" s="49" t="s">
        <v>75</v>
      </c>
      <c r="M194" s="50">
        <v>20</v>
      </c>
      <c r="N194" s="204">
        <v>1.33</v>
      </c>
      <c r="O194" s="49" t="s">
        <v>67</v>
      </c>
      <c r="P194" s="49" t="s">
        <v>29</v>
      </c>
      <c r="Q194" s="49" t="s">
        <v>921</v>
      </c>
      <c r="R194" s="49" t="s">
        <v>29</v>
      </c>
      <c r="S194" s="13">
        <v>45811</v>
      </c>
      <c r="T194" s="52">
        <v>45813</v>
      </c>
      <c r="U194" s="19"/>
      <c r="V194" s="53">
        <f>M194-U194-X194-Z194</f>
        <v>-0.30000000000000071</v>
      </c>
      <c r="W194" s="51" t="s">
        <v>1034</v>
      </c>
      <c r="X194" s="88"/>
      <c r="Y194" s="247"/>
      <c r="Z194" s="220">
        <v>20.3</v>
      </c>
      <c r="AA194" s="221">
        <v>45818</v>
      </c>
      <c r="AB194" s="88"/>
      <c r="AC194" s="88"/>
      <c r="BG194" s="37"/>
      <c r="BH194" s="37"/>
      <c r="BI194" s="37"/>
      <c r="BJ194" s="37"/>
      <c r="BK194" s="37"/>
      <c r="BL194" s="37"/>
      <c r="BM194" s="37"/>
      <c r="BN194" s="37"/>
      <c r="BO194" s="37"/>
    </row>
    <row r="195" spans="1:67" s="101" customFormat="1" ht="20.25" customHeight="1">
      <c r="A195" s="48">
        <v>45797</v>
      </c>
      <c r="B195" s="49" t="s">
        <v>1035</v>
      </c>
      <c r="C195" s="49" t="s">
        <v>243</v>
      </c>
      <c r="D195" s="49" t="s">
        <v>212</v>
      </c>
      <c r="E195" s="49" t="s">
        <v>34</v>
      </c>
      <c r="F195" s="49" t="s">
        <v>1036</v>
      </c>
      <c r="G195" s="49" t="s">
        <v>71</v>
      </c>
      <c r="H195" s="49" t="s">
        <v>31</v>
      </c>
      <c r="I195" s="49" t="s">
        <v>63</v>
      </c>
      <c r="J195" s="49" t="s">
        <v>27</v>
      </c>
      <c r="K195" s="49" t="s">
        <v>245</v>
      </c>
      <c r="L195" s="49" t="s">
        <v>75</v>
      </c>
      <c r="M195" s="50">
        <v>20</v>
      </c>
      <c r="N195" s="204">
        <v>1.33</v>
      </c>
      <c r="O195" s="49" t="s">
        <v>67</v>
      </c>
      <c r="P195" s="49" t="s">
        <v>29</v>
      </c>
      <c r="Q195" s="49" t="s">
        <v>791</v>
      </c>
      <c r="R195" s="49" t="s">
        <v>29</v>
      </c>
      <c r="S195" s="13">
        <v>45811</v>
      </c>
      <c r="T195" s="52">
        <v>45813</v>
      </c>
      <c r="U195" s="19"/>
      <c r="V195" s="53">
        <f>M195-U195-X195-Z195</f>
        <v>-1.6000000000000014</v>
      </c>
      <c r="W195" s="51" t="s">
        <v>1037</v>
      </c>
      <c r="X195" s="88"/>
      <c r="Y195" s="88"/>
      <c r="Z195" s="19">
        <v>21.6</v>
      </c>
      <c r="AA195" s="24">
        <v>45818</v>
      </c>
      <c r="AB195" s="228"/>
      <c r="AC195" s="8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36"/>
      <c r="BH195" s="36"/>
      <c r="BI195" s="36"/>
      <c r="BJ195" s="36"/>
      <c r="BK195" s="36"/>
      <c r="BL195" s="36"/>
      <c r="BM195" s="36"/>
      <c r="BN195" s="36"/>
      <c r="BO195" s="36"/>
    </row>
    <row r="196" spans="1:67" s="28" customFormat="1" ht="20.25" customHeight="1">
      <c r="A196" s="48">
        <v>45797</v>
      </c>
      <c r="B196" s="49" t="s">
        <v>1038</v>
      </c>
      <c r="C196" s="49" t="s">
        <v>243</v>
      </c>
      <c r="D196" s="49" t="s">
        <v>212</v>
      </c>
      <c r="E196" s="49" t="s">
        <v>34</v>
      </c>
      <c r="F196" s="49" t="s">
        <v>1039</v>
      </c>
      <c r="G196" s="49" t="s">
        <v>1714</v>
      </c>
      <c r="H196" s="49" t="s">
        <v>31</v>
      </c>
      <c r="I196" s="49" t="s">
        <v>63</v>
      </c>
      <c r="J196" s="49" t="s">
        <v>27</v>
      </c>
      <c r="K196" s="49" t="s">
        <v>245</v>
      </c>
      <c r="L196" s="49" t="s">
        <v>75</v>
      </c>
      <c r="M196" s="50">
        <v>20</v>
      </c>
      <c r="N196" s="204">
        <v>1.33</v>
      </c>
      <c r="O196" s="49" t="s">
        <v>67</v>
      </c>
      <c r="P196" s="49" t="s">
        <v>29</v>
      </c>
      <c r="Q196" s="49" t="s">
        <v>1040</v>
      </c>
      <c r="R196" s="49" t="s">
        <v>29</v>
      </c>
      <c r="S196" s="13">
        <v>45811</v>
      </c>
      <c r="T196" s="52">
        <v>45813</v>
      </c>
      <c r="U196" s="19"/>
      <c r="V196" s="53">
        <f>M196-U196-X196-Z196</f>
        <v>-2.5</v>
      </c>
      <c r="W196" s="51" t="s">
        <v>1041</v>
      </c>
      <c r="X196" s="88"/>
      <c r="Y196" s="223"/>
      <c r="Z196" s="80">
        <v>22.5</v>
      </c>
      <c r="AA196" s="31">
        <v>45818</v>
      </c>
      <c r="AB196" s="88"/>
      <c r="AC196" s="88"/>
      <c r="BG196" s="37"/>
      <c r="BH196" s="37"/>
      <c r="BI196" s="37"/>
      <c r="BJ196" s="37"/>
      <c r="BK196" s="37"/>
      <c r="BL196" s="37"/>
      <c r="BM196" s="37"/>
      <c r="BN196" s="37"/>
      <c r="BO196" s="37"/>
    </row>
    <row r="197" spans="1:67" s="28" customFormat="1" ht="20.25" customHeight="1">
      <c r="A197" s="48">
        <v>45797</v>
      </c>
      <c r="B197" s="49" t="s">
        <v>1042</v>
      </c>
      <c r="C197" s="49" t="s">
        <v>243</v>
      </c>
      <c r="D197" s="49" t="s">
        <v>212</v>
      </c>
      <c r="E197" s="49" t="s">
        <v>34</v>
      </c>
      <c r="F197" s="49" t="s">
        <v>1043</v>
      </c>
      <c r="G197" s="49" t="s">
        <v>1714</v>
      </c>
      <c r="H197" s="49" t="s">
        <v>31</v>
      </c>
      <c r="I197" s="49" t="s">
        <v>63</v>
      </c>
      <c r="J197" s="49" t="s">
        <v>27</v>
      </c>
      <c r="K197" s="49" t="s">
        <v>245</v>
      </c>
      <c r="L197" s="49" t="s">
        <v>75</v>
      </c>
      <c r="M197" s="50">
        <v>20</v>
      </c>
      <c r="N197" s="204">
        <v>1.33</v>
      </c>
      <c r="O197" s="49" t="s">
        <v>67</v>
      </c>
      <c r="P197" s="49" t="s">
        <v>29</v>
      </c>
      <c r="Q197" s="49" t="s">
        <v>1044</v>
      </c>
      <c r="R197" s="49" t="s">
        <v>29</v>
      </c>
      <c r="S197" s="13">
        <v>45811</v>
      </c>
      <c r="T197" s="52">
        <v>45813</v>
      </c>
      <c r="U197" s="19"/>
      <c r="V197" s="53">
        <f>M197-U197-X197-Z197</f>
        <v>-2.8999999999999986</v>
      </c>
      <c r="W197" s="51" t="s">
        <v>1045</v>
      </c>
      <c r="X197" s="88"/>
      <c r="Y197" s="247"/>
      <c r="Z197" s="220">
        <v>22.9</v>
      </c>
      <c r="AA197" s="221">
        <v>45818</v>
      </c>
      <c r="AB197" s="88"/>
      <c r="AC197" s="88"/>
      <c r="BG197" s="37"/>
      <c r="BH197" s="37"/>
      <c r="BI197" s="37"/>
      <c r="BJ197" s="37"/>
      <c r="BK197" s="37"/>
      <c r="BL197" s="37"/>
      <c r="BM197" s="37"/>
      <c r="BN197" s="37"/>
      <c r="BO197" s="37"/>
    </row>
    <row r="198" spans="1:67" s="37" customFormat="1" ht="20.25" customHeight="1">
      <c r="A198" s="11">
        <v>45798</v>
      </c>
      <c r="B198" s="16" t="s">
        <v>1058</v>
      </c>
      <c r="C198" s="16" t="s">
        <v>382</v>
      </c>
      <c r="D198" s="16" t="s">
        <v>212</v>
      </c>
      <c r="E198" s="16" t="s">
        <v>34</v>
      </c>
      <c r="F198" s="16" t="s">
        <v>1059</v>
      </c>
      <c r="G198" s="16" t="s">
        <v>71</v>
      </c>
      <c r="H198" s="16" t="s">
        <v>31</v>
      </c>
      <c r="I198" s="16" t="s">
        <v>63</v>
      </c>
      <c r="J198" s="16" t="s">
        <v>27</v>
      </c>
      <c r="K198" s="16" t="s">
        <v>384</v>
      </c>
      <c r="L198" s="16" t="s">
        <v>75</v>
      </c>
      <c r="M198" s="17">
        <v>221.2</v>
      </c>
      <c r="N198" s="23">
        <v>1.33</v>
      </c>
      <c r="O198" s="16" t="s">
        <v>67</v>
      </c>
      <c r="P198" s="16" t="s">
        <v>29</v>
      </c>
      <c r="Q198" s="16" t="s">
        <v>389</v>
      </c>
      <c r="R198" s="16" t="s">
        <v>390</v>
      </c>
      <c r="S198" s="13">
        <v>45812</v>
      </c>
      <c r="T198" s="13">
        <v>45812</v>
      </c>
      <c r="U198" s="19"/>
      <c r="V198" s="53">
        <f>M198-U198-Z198</f>
        <v>-0.90000000000000568</v>
      </c>
      <c r="W198" s="22" t="s">
        <v>1060</v>
      </c>
      <c r="X198" s="26"/>
      <c r="Y198" s="26"/>
      <c r="Z198" s="19">
        <v>222.1</v>
      </c>
      <c r="AA198" s="85">
        <v>45826</v>
      </c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</row>
    <row r="199" spans="1:67" s="29" customFormat="1" ht="20.25" customHeight="1">
      <c r="A199" s="11">
        <v>45798</v>
      </c>
      <c r="B199" s="16" t="s">
        <v>1061</v>
      </c>
      <c r="C199" s="16" t="s">
        <v>535</v>
      </c>
      <c r="D199" s="16" t="s">
        <v>212</v>
      </c>
      <c r="E199" s="16" t="s">
        <v>34</v>
      </c>
      <c r="F199" s="16" t="s">
        <v>1062</v>
      </c>
      <c r="G199" s="16" t="s">
        <v>71</v>
      </c>
      <c r="H199" s="16" t="s">
        <v>26</v>
      </c>
      <c r="I199" s="16" t="s">
        <v>63</v>
      </c>
      <c r="J199" s="16" t="s">
        <v>27</v>
      </c>
      <c r="K199" s="16" t="s">
        <v>214</v>
      </c>
      <c r="L199" s="16" t="s">
        <v>75</v>
      </c>
      <c r="M199" s="17">
        <v>251</v>
      </c>
      <c r="N199" s="23">
        <v>1.33</v>
      </c>
      <c r="O199" s="16" t="s">
        <v>1063</v>
      </c>
      <c r="P199" s="16" t="s">
        <v>29</v>
      </c>
      <c r="Q199" s="16" t="s">
        <v>1064</v>
      </c>
      <c r="R199" s="16" t="s">
        <v>29</v>
      </c>
      <c r="S199" s="13">
        <v>45812</v>
      </c>
      <c r="T199" s="13">
        <v>45812</v>
      </c>
      <c r="U199" s="19"/>
      <c r="V199" s="55">
        <f>M199-U199-Z199</f>
        <v>-0.30000000000001137</v>
      </c>
      <c r="W199" s="22" t="s">
        <v>1065</v>
      </c>
      <c r="X199" s="26"/>
      <c r="Z199" s="220">
        <v>251.3</v>
      </c>
      <c r="AA199" s="221">
        <v>45803</v>
      </c>
      <c r="AB199" s="79"/>
      <c r="AC199" s="79"/>
    </row>
    <row r="200" spans="1:67" s="29" customFormat="1" ht="20.25" customHeight="1">
      <c r="A200" s="11">
        <v>45798</v>
      </c>
      <c r="B200" s="16" t="s">
        <v>1061</v>
      </c>
      <c r="C200" s="16" t="s">
        <v>535</v>
      </c>
      <c r="D200" s="16" t="s">
        <v>212</v>
      </c>
      <c r="E200" s="16" t="s">
        <v>34</v>
      </c>
      <c r="F200" s="16" t="s">
        <v>1062</v>
      </c>
      <c r="G200" s="16" t="s">
        <v>71</v>
      </c>
      <c r="H200" s="16" t="s">
        <v>26</v>
      </c>
      <c r="I200" s="16" t="s">
        <v>63</v>
      </c>
      <c r="J200" s="16" t="s">
        <v>27</v>
      </c>
      <c r="K200" s="16" t="s">
        <v>250</v>
      </c>
      <c r="L200" s="16" t="s">
        <v>75</v>
      </c>
      <c r="M200" s="17">
        <v>24</v>
      </c>
      <c r="N200" s="23">
        <v>1.33</v>
      </c>
      <c r="O200" s="16" t="s">
        <v>67</v>
      </c>
      <c r="P200" s="16" t="s">
        <v>29</v>
      </c>
      <c r="Q200" s="16" t="s">
        <v>1066</v>
      </c>
      <c r="R200" s="16" t="s">
        <v>29</v>
      </c>
      <c r="S200" s="13">
        <v>45812</v>
      </c>
      <c r="T200" s="13">
        <v>45812</v>
      </c>
      <c r="U200" s="19"/>
      <c r="V200" s="55">
        <f>M200-U200-Z200</f>
        <v>-0.19999999999999929</v>
      </c>
      <c r="W200" s="22" t="s">
        <v>1067</v>
      </c>
      <c r="X200" s="26"/>
      <c r="Y200" s="26"/>
      <c r="Z200" s="19">
        <v>24.2</v>
      </c>
      <c r="AA200" s="24">
        <v>45803</v>
      </c>
      <c r="AB200" s="21"/>
      <c r="AC200" s="21"/>
      <c r="BG200" s="28"/>
      <c r="BH200" s="28"/>
      <c r="BI200" s="28"/>
      <c r="BJ200" s="28"/>
      <c r="BK200" s="28"/>
      <c r="BL200" s="28"/>
      <c r="BM200" s="28"/>
      <c r="BN200" s="28"/>
      <c r="BO200" s="28"/>
    </row>
    <row r="201" spans="1:67" s="29" customFormat="1" ht="20.25" customHeight="1">
      <c r="A201" s="11">
        <v>45803</v>
      </c>
      <c r="B201" s="16" t="s">
        <v>1077</v>
      </c>
      <c r="C201" s="16" t="s">
        <v>267</v>
      </c>
      <c r="D201" s="16" t="s">
        <v>212</v>
      </c>
      <c r="E201" s="16" t="s">
        <v>34</v>
      </c>
      <c r="F201" s="16" t="s">
        <v>1078</v>
      </c>
      <c r="G201" s="16" t="s">
        <v>71</v>
      </c>
      <c r="H201" s="16" t="s">
        <v>26</v>
      </c>
      <c r="I201" s="16" t="s">
        <v>63</v>
      </c>
      <c r="J201" s="16" t="s">
        <v>27</v>
      </c>
      <c r="K201" s="16" t="s">
        <v>218</v>
      </c>
      <c r="L201" s="16" t="s">
        <v>75</v>
      </c>
      <c r="M201" s="17">
        <v>25</v>
      </c>
      <c r="N201" s="23">
        <v>1.32</v>
      </c>
      <c r="O201" s="16" t="s">
        <v>1063</v>
      </c>
      <c r="P201" s="16" t="s">
        <v>29</v>
      </c>
      <c r="Q201" s="16" t="s">
        <v>269</v>
      </c>
      <c r="R201" s="16" t="s">
        <v>431</v>
      </c>
      <c r="S201" s="13">
        <v>45817</v>
      </c>
      <c r="T201" s="13">
        <v>45817</v>
      </c>
      <c r="U201" s="19"/>
      <c r="V201" s="53">
        <f>M201-U201-Z201</f>
        <v>-4.8999999999999986</v>
      </c>
      <c r="W201" s="22" t="s">
        <v>1079</v>
      </c>
      <c r="X201" s="1"/>
      <c r="Y201" s="269"/>
      <c r="Z201" s="217">
        <v>29.9</v>
      </c>
      <c r="AA201" s="218">
        <v>45804</v>
      </c>
    </row>
    <row r="202" spans="1:67" s="29" customFormat="1" ht="20.25" customHeight="1">
      <c r="A202" s="11">
        <v>45803</v>
      </c>
      <c r="B202" s="16" t="s">
        <v>1080</v>
      </c>
      <c r="C202" s="16" t="s">
        <v>267</v>
      </c>
      <c r="D202" s="16" t="s">
        <v>212</v>
      </c>
      <c r="E202" s="16" t="s">
        <v>34</v>
      </c>
      <c r="F202" s="16" t="s">
        <v>1081</v>
      </c>
      <c r="G202" s="16" t="s">
        <v>71</v>
      </c>
      <c r="H202" s="16" t="s">
        <v>26</v>
      </c>
      <c r="I202" s="16" t="s">
        <v>63</v>
      </c>
      <c r="J202" s="16" t="s">
        <v>27</v>
      </c>
      <c r="K202" s="16" t="s">
        <v>1082</v>
      </c>
      <c r="L202" s="16" t="s">
        <v>75</v>
      </c>
      <c r="M202" s="17">
        <v>700</v>
      </c>
      <c r="N202" s="23">
        <v>1.32</v>
      </c>
      <c r="O202" s="16" t="s">
        <v>67</v>
      </c>
      <c r="P202" s="16" t="s">
        <v>29</v>
      </c>
      <c r="Q202" s="16" t="s">
        <v>1083</v>
      </c>
      <c r="R202" s="16" t="s">
        <v>29</v>
      </c>
      <c r="S202" s="13">
        <v>45817</v>
      </c>
      <c r="T202" s="13">
        <v>45817</v>
      </c>
      <c r="U202" s="19"/>
      <c r="V202" s="53">
        <f>M202-U202-X202-Z202</f>
        <v>-0.29999999999995453</v>
      </c>
      <c r="W202" s="22" t="s">
        <v>1084</v>
      </c>
      <c r="X202" s="1"/>
      <c r="Y202" s="21"/>
      <c r="Z202" s="19">
        <v>700.3</v>
      </c>
      <c r="AA202" s="24">
        <v>45818</v>
      </c>
      <c r="AB202" s="26"/>
      <c r="AC202" s="26"/>
    </row>
    <row r="203" spans="1:67" s="29" customFormat="1" ht="20.25" customHeight="1">
      <c r="A203" s="11">
        <v>45803</v>
      </c>
      <c r="B203" s="16" t="s">
        <v>1085</v>
      </c>
      <c r="C203" s="16" t="s">
        <v>298</v>
      </c>
      <c r="D203" s="16" t="s">
        <v>212</v>
      </c>
      <c r="E203" s="16" t="s">
        <v>25</v>
      </c>
      <c r="F203" s="16" t="s">
        <v>1086</v>
      </c>
      <c r="G203" s="16" t="s">
        <v>71</v>
      </c>
      <c r="H203" s="16" t="s">
        <v>31</v>
      </c>
      <c r="I203" s="16" t="s">
        <v>63</v>
      </c>
      <c r="J203" s="16" t="s">
        <v>27</v>
      </c>
      <c r="K203" s="16" t="s">
        <v>975</v>
      </c>
      <c r="L203" s="16" t="s">
        <v>75</v>
      </c>
      <c r="M203" s="17">
        <v>3219</v>
      </c>
      <c r="N203" s="23">
        <v>1.23</v>
      </c>
      <c r="O203" s="16" t="s">
        <v>67</v>
      </c>
      <c r="P203" s="16" t="s">
        <v>29</v>
      </c>
      <c r="Q203" s="16" t="s">
        <v>1087</v>
      </c>
      <c r="R203" s="16" t="s">
        <v>29</v>
      </c>
      <c r="S203" s="13">
        <v>45824</v>
      </c>
      <c r="T203" s="13">
        <v>45827</v>
      </c>
      <c r="U203" s="19"/>
      <c r="V203" s="53">
        <f>M203-U203-Z203-AB203-AD203-AF203</f>
        <v>-3.3999999999998636</v>
      </c>
      <c r="W203" s="22" t="s">
        <v>1088</v>
      </c>
      <c r="X203" s="1"/>
      <c r="Y203" s="26"/>
      <c r="Z203" s="19">
        <f>584+52.2</f>
        <v>636.20000000000005</v>
      </c>
      <c r="AA203" s="24">
        <v>45827</v>
      </c>
      <c r="AB203" s="104">
        <f>138.6+963.9</f>
        <v>1102.5</v>
      </c>
      <c r="AC203" s="85">
        <v>45833</v>
      </c>
      <c r="AD203" s="104">
        <f>90.6+1011.6</f>
        <v>1102.2</v>
      </c>
      <c r="AE203" s="85">
        <v>45839</v>
      </c>
      <c r="AF203" s="104">
        <v>381.5</v>
      </c>
      <c r="AG203" s="222">
        <v>45848</v>
      </c>
      <c r="BG203" s="28"/>
      <c r="BH203" s="28"/>
      <c r="BI203" s="28"/>
      <c r="BJ203" s="28"/>
      <c r="BK203" s="28"/>
      <c r="BL203" s="28"/>
      <c r="BM203" s="28"/>
      <c r="BN203" s="28"/>
      <c r="BO203" s="28"/>
    </row>
    <row r="204" spans="1:67" s="29" customFormat="1" ht="20.100000000000001" customHeight="1">
      <c r="A204" s="11">
        <v>45805</v>
      </c>
      <c r="B204" s="16" t="s">
        <v>1102</v>
      </c>
      <c r="C204" s="16" t="s">
        <v>211</v>
      </c>
      <c r="D204" s="16" t="s">
        <v>212</v>
      </c>
      <c r="E204" s="16" t="s">
        <v>25</v>
      </c>
      <c r="F204" s="16" t="s">
        <v>1103</v>
      </c>
      <c r="G204" s="16" t="s">
        <v>71</v>
      </c>
      <c r="H204" s="16" t="s">
        <v>26</v>
      </c>
      <c r="I204" s="16" t="s">
        <v>63</v>
      </c>
      <c r="J204" s="16" t="s">
        <v>27</v>
      </c>
      <c r="K204" s="16" t="s">
        <v>588</v>
      </c>
      <c r="L204" s="16" t="s">
        <v>75</v>
      </c>
      <c r="M204" s="17">
        <v>960</v>
      </c>
      <c r="N204" s="23">
        <v>1.33</v>
      </c>
      <c r="O204" s="16" t="s">
        <v>67</v>
      </c>
      <c r="P204" s="16" t="s">
        <v>29</v>
      </c>
      <c r="Q204" s="16" t="s">
        <v>539</v>
      </c>
      <c r="R204" s="16" t="s">
        <v>29</v>
      </c>
      <c r="S204" s="13">
        <v>45826</v>
      </c>
      <c r="T204" s="13">
        <v>45826</v>
      </c>
      <c r="U204" s="19"/>
      <c r="V204" s="53">
        <f>M204-U204-Z204-AB204</f>
        <v>-5.7000000000000028</v>
      </c>
      <c r="W204" s="22" t="s">
        <v>1108</v>
      </c>
      <c r="X204" s="1" t="s">
        <v>1452</v>
      </c>
      <c r="Y204" s="21"/>
      <c r="Z204" s="19">
        <v>874</v>
      </c>
      <c r="AA204" s="24">
        <v>45826</v>
      </c>
      <c r="AB204" s="19">
        <v>91.7</v>
      </c>
      <c r="AC204" s="78">
        <v>45846</v>
      </c>
    </row>
    <row r="205" spans="1:67" s="29" customFormat="1" ht="20.100000000000001" customHeight="1">
      <c r="A205" s="11">
        <v>45805</v>
      </c>
      <c r="B205" s="16" t="s">
        <v>1102</v>
      </c>
      <c r="C205" s="16" t="s">
        <v>211</v>
      </c>
      <c r="D205" s="16" t="s">
        <v>212</v>
      </c>
      <c r="E205" s="16" t="s">
        <v>25</v>
      </c>
      <c r="F205" s="16" t="s">
        <v>1103</v>
      </c>
      <c r="G205" s="16" t="s">
        <v>71</v>
      </c>
      <c r="H205" s="16" t="s">
        <v>31</v>
      </c>
      <c r="I205" s="16" t="s">
        <v>63</v>
      </c>
      <c r="J205" s="16" t="s">
        <v>27</v>
      </c>
      <c r="K205" s="16" t="s">
        <v>1106</v>
      </c>
      <c r="L205" s="16" t="s">
        <v>75</v>
      </c>
      <c r="M205" s="17">
        <v>349</v>
      </c>
      <c r="N205" s="23">
        <v>1.31</v>
      </c>
      <c r="O205" s="16" t="s">
        <v>67</v>
      </c>
      <c r="P205" s="16" t="s">
        <v>29</v>
      </c>
      <c r="Q205" s="16" t="s">
        <v>775</v>
      </c>
      <c r="R205" s="16" t="s">
        <v>29</v>
      </c>
      <c r="S205" s="13">
        <v>45826</v>
      </c>
      <c r="T205" s="13">
        <v>45826</v>
      </c>
      <c r="U205" s="19"/>
      <c r="V205" s="53">
        <f>M205-Z205-AB205-AD205-AF205-AH205-AJ205-AL205-AN205-AP205-AR205-AT205-AV205-AX205-AZ205-BB205-BD205-BF205-BH205-U205</f>
        <v>0</v>
      </c>
      <c r="W205" s="22" t="s">
        <v>1107</v>
      </c>
      <c r="X205" s="1" t="s">
        <v>1745</v>
      </c>
      <c r="Y205" s="35"/>
      <c r="Z205" s="80">
        <v>222.5</v>
      </c>
      <c r="AA205" s="60">
        <v>45854</v>
      </c>
      <c r="AB205" s="104">
        <v>126.5</v>
      </c>
      <c r="AC205" s="105">
        <v>45860</v>
      </c>
      <c r="BG205" s="28"/>
      <c r="BH205" s="28"/>
      <c r="BI205" s="28"/>
      <c r="BJ205" s="28"/>
      <c r="BK205" s="28"/>
      <c r="BL205" s="28"/>
      <c r="BM205" s="28"/>
      <c r="BN205" s="28"/>
      <c r="BO205" s="28"/>
    </row>
    <row r="206" spans="1:67" s="29" customFormat="1" ht="20.25" customHeight="1">
      <c r="A206" s="11">
        <v>45805</v>
      </c>
      <c r="B206" s="16" t="s">
        <v>1102</v>
      </c>
      <c r="C206" s="16" t="s">
        <v>211</v>
      </c>
      <c r="D206" s="16" t="s">
        <v>212</v>
      </c>
      <c r="E206" s="16" t="s">
        <v>25</v>
      </c>
      <c r="F206" s="16" t="s">
        <v>1103</v>
      </c>
      <c r="G206" s="16" t="s">
        <v>71</v>
      </c>
      <c r="H206" s="16" t="s">
        <v>31</v>
      </c>
      <c r="I206" s="16" t="s">
        <v>63</v>
      </c>
      <c r="J206" s="16" t="s">
        <v>27</v>
      </c>
      <c r="K206" s="16" t="s">
        <v>632</v>
      </c>
      <c r="L206" s="16" t="s">
        <v>75</v>
      </c>
      <c r="M206" s="17">
        <v>1373</v>
      </c>
      <c r="N206" s="23">
        <v>1.33</v>
      </c>
      <c r="O206" s="16" t="s">
        <v>67</v>
      </c>
      <c r="P206" s="16" t="s">
        <v>29</v>
      </c>
      <c r="Q206" s="16" t="s">
        <v>1104</v>
      </c>
      <c r="R206" s="16" t="s">
        <v>29</v>
      </c>
      <c r="S206" s="13">
        <v>45826</v>
      </c>
      <c r="T206" s="13">
        <v>45826</v>
      </c>
      <c r="U206" s="19"/>
      <c r="V206" s="55">
        <f>M206-U206-Z206-AB206-AD206</f>
        <v>-0.70000000000004547</v>
      </c>
      <c r="W206" s="22" t="s">
        <v>1105</v>
      </c>
      <c r="X206" s="19">
        <v>1063.4000000000001</v>
      </c>
      <c r="Y206" s="19"/>
      <c r="Z206" s="19">
        <v>310.3</v>
      </c>
      <c r="AA206" s="24">
        <v>45817</v>
      </c>
      <c r="AB206" s="104">
        <v>1063.4000000000001</v>
      </c>
      <c r="AC206" s="238">
        <v>45840</v>
      </c>
    </row>
    <row r="207" spans="1:67" s="29" customFormat="1" ht="20.25" customHeight="1">
      <c r="A207" s="11">
        <v>45807</v>
      </c>
      <c r="B207" s="16" t="s">
        <v>1138</v>
      </c>
      <c r="C207" s="16" t="s">
        <v>243</v>
      </c>
      <c r="D207" s="16" t="s">
        <v>212</v>
      </c>
      <c r="E207" s="16" t="s">
        <v>34</v>
      </c>
      <c r="F207" s="16" t="s">
        <v>1139</v>
      </c>
      <c r="G207" s="16" t="s">
        <v>71</v>
      </c>
      <c r="H207" s="16" t="s">
        <v>31</v>
      </c>
      <c r="I207" s="16" t="s">
        <v>63</v>
      </c>
      <c r="J207" s="16" t="s">
        <v>27</v>
      </c>
      <c r="K207" s="16" t="s">
        <v>919</v>
      </c>
      <c r="L207" s="16" t="s">
        <v>75</v>
      </c>
      <c r="M207" s="17">
        <v>300</v>
      </c>
      <c r="N207" s="23">
        <v>1.33</v>
      </c>
      <c r="O207" s="16" t="s">
        <v>67</v>
      </c>
      <c r="P207" s="16" t="s">
        <v>29</v>
      </c>
      <c r="Q207" s="16" t="s">
        <v>932</v>
      </c>
      <c r="R207" s="16" t="s">
        <v>525</v>
      </c>
      <c r="S207" s="12" t="s">
        <v>1129</v>
      </c>
      <c r="T207" s="13">
        <v>45831</v>
      </c>
      <c r="U207" s="19"/>
      <c r="V207" s="53">
        <f>M207-U207-Z207-AB207-AD207-AF207</f>
        <v>-9</v>
      </c>
      <c r="W207" s="22" t="s">
        <v>1140</v>
      </c>
      <c r="X207" s="26"/>
      <c r="Y207" s="44"/>
      <c r="Z207" s="19">
        <v>309</v>
      </c>
      <c r="AA207" s="24">
        <v>45833</v>
      </c>
      <c r="AB207" s="57"/>
    </row>
    <row r="208" spans="1:67" s="29" customFormat="1" ht="20.25" customHeight="1">
      <c r="A208" s="11">
        <v>45807</v>
      </c>
      <c r="B208" s="16" t="s">
        <v>1141</v>
      </c>
      <c r="C208" s="16" t="s">
        <v>243</v>
      </c>
      <c r="D208" s="16" t="s">
        <v>212</v>
      </c>
      <c r="E208" s="16" t="s">
        <v>34</v>
      </c>
      <c r="F208" s="16" t="s">
        <v>1142</v>
      </c>
      <c r="G208" s="16" t="s">
        <v>71</v>
      </c>
      <c r="H208" s="16" t="s">
        <v>31</v>
      </c>
      <c r="I208" s="16" t="s">
        <v>63</v>
      </c>
      <c r="J208" s="16" t="s">
        <v>27</v>
      </c>
      <c r="K208" s="16" t="s">
        <v>245</v>
      </c>
      <c r="L208" s="16" t="s">
        <v>75</v>
      </c>
      <c r="M208" s="17">
        <v>90</v>
      </c>
      <c r="N208" s="23">
        <v>1.33</v>
      </c>
      <c r="O208" s="16" t="s">
        <v>67</v>
      </c>
      <c r="P208" s="16" t="s">
        <v>29</v>
      </c>
      <c r="Q208" s="16" t="s">
        <v>932</v>
      </c>
      <c r="R208" s="16" t="s">
        <v>525</v>
      </c>
      <c r="S208" s="12" t="s">
        <v>1129</v>
      </c>
      <c r="T208" s="13">
        <v>45831</v>
      </c>
      <c r="U208" s="19"/>
      <c r="V208" s="53">
        <f>M208-U208-X208-Z208</f>
        <v>-0.40000000000000568</v>
      </c>
      <c r="W208" s="22" t="s">
        <v>1143</v>
      </c>
      <c r="X208" s="26"/>
      <c r="Y208" s="269"/>
      <c r="Z208" s="259">
        <v>90.4</v>
      </c>
      <c r="AA208" s="260">
        <v>45818</v>
      </c>
      <c r="BG208" s="54"/>
      <c r="BH208" s="54"/>
      <c r="BI208" s="54"/>
      <c r="BJ208" s="54"/>
      <c r="BK208" s="54"/>
      <c r="BL208" s="54"/>
      <c r="BM208" s="54"/>
      <c r="BN208" s="54"/>
      <c r="BO208" s="54"/>
    </row>
    <row r="209" spans="1:67" s="36" customFormat="1" ht="20.25" customHeight="1">
      <c r="A209" s="11">
        <v>45807</v>
      </c>
      <c r="B209" s="16" t="s">
        <v>1144</v>
      </c>
      <c r="C209" s="16" t="s">
        <v>243</v>
      </c>
      <c r="D209" s="16" t="s">
        <v>212</v>
      </c>
      <c r="E209" s="16" t="s">
        <v>34</v>
      </c>
      <c r="F209" s="16" t="s">
        <v>1145</v>
      </c>
      <c r="G209" s="16" t="s">
        <v>71</v>
      </c>
      <c r="H209" s="16" t="s">
        <v>31</v>
      </c>
      <c r="I209" s="16" t="s">
        <v>63</v>
      </c>
      <c r="J209" s="16" t="s">
        <v>27</v>
      </c>
      <c r="K209" s="16" t="s">
        <v>245</v>
      </c>
      <c r="L209" s="16" t="s">
        <v>75</v>
      </c>
      <c r="M209" s="17">
        <v>90</v>
      </c>
      <c r="N209" s="23">
        <v>1.33</v>
      </c>
      <c r="O209" s="16" t="s">
        <v>67</v>
      </c>
      <c r="P209" s="16" t="s">
        <v>29</v>
      </c>
      <c r="Q209" s="16" t="s">
        <v>932</v>
      </c>
      <c r="R209" s="16" t="s">
        <v>935</v>
      </c>
      <c r="S209" s="12" t="s">
        <v>1129</v>
      </c>
      <c r="T209" s="13">
        <v>45831</v>
      </c>
      <c r="U209" s="19"/>
      <c r="V209" s="53">
        <f>M209-U209-X209-Z209</f>
        <v>-3.7000000000000028</v>
      </c>
      <c r="W209" s="22" t="s">
        <v>1146</v>
      </c>
      <c r="X209" s="26"/>
      <c r="Y209" s="26"/>
      <c r="Z209" s="19">
        <v>93.7</v>
      </c>
      <c r="AA209" s="24">
        <v>45818</v>
      </c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9"/>
      <c r="BG209" s="101"/>
      <c r="BH209" s="101"/>
      <c r="BI209" s="101"/>
      <c r="BJ209" s="101"/>
      <c r="BK209" s="101"/>
      <c r="BL209" s="101"/>
      <c r="BM209" s="101"/>
      <c r="BN209" s="101"/>
      <c r="BO209" s="101"/>
    </row>
    <row r="210" spans="1:67" s="36" customFormat="1" ht="20.25" customHeight="1">
      <c r="A210" s="11">
        <v>45807</v>
      </c>
      <c r="B210" s="16" t="s">
        <v>1147</v>
      </c>
      <c r="C210" s="16" t="s">
        <v>243</v>
      </c>
      <c r="D210" s="16" t="s">
        <v>212</v>
      </c>
      <c r="E210" s="16" t="s">
        <v>34</v>
      </c>
      <c r="F210" s="16" t="s">
        <v>1148</v>
      </c>
      <c r="G210" s="16" t="s">
        <v>71</v>
      </c>
      <c r="H210" s="16" t="s">
        <v>31</v>
      </c>
      <c r="I210" s="16" t="s">
        <v>63</v>
      </c>
      <c r="J210" s="16" t="s">
        <v>27</v>
      </c>
      <c r="K210" s="16" t="s">
        <v>245</v>
      </c>
      <c r="L210" s="16" t="s">
        <v>75</v>
      </c>
      <c r="M210" s="17">
        <v>30</v>
      </c>
      <c r="N210" s="23">
        <v>1.33</v>
      </c>
      <c r="O210" s="16" t="s">
        <v>67</v>
      </c>
      <c r="P210" s="16" t="s">
        <v>29</v>
      </c>
      <c r="Q210" s="16" t="s">
        <v>1149</v>
      </c>
      <c r="R210" s="16" t="s">
        <v>1040</v>
      </c>
      <c r="S210" s="12" t="s">
        <v>1129</v>
      </c>
      <c r="T210" s="13">
        <v>45831</v>
      </c>
      <c r="U210" s="19"/>
      <c r="V210" s="53">
        <f>M210-U210-X210-Z210</f>
        <v>-3.8999999999999986</v>
      </c>
      <c r="W210" s="22" t="s">
        <v>1150</v>
      </c>
      <c r="X210" s="26"/>
      <c r="Y210" s="26"/>
      <c r="Z210" s="19">
        <v>33.9</v>
      </c>
      <c r="AA210" s="24">
        <v>45818</v>
      </c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9"/>
      <c r="BG210" s="54"/>
      <c r="BH210" s="54"/>
      <c r="BI210" s="54"/>
      <c r="BJ210" s="54"/>
      <c r="BK210" s="54"/>
      <c r="BL210" s="54"/>
      <c r="BM210" s="54"/>
      <c r="BN210" s="54"/>
      <c r="BO210" s="54"/>
    </row>
    <row r="211" spans="1:67" s="36" customFormat="1" ht="20.25" customHeight="1">
      <c r="A211" s="11">
        <v>45807</v>
      </c>
      <c r="B211" s="16" t="s">
        <v>1151</v>
      </c>
      <c r="C211" s="16" t="s">
        <v>243</v>
      </c>
      <c r="D211" s="16" t="s">
        <v>212</v>
      </c>
      <c r="E211" s="16" t="s">
        <v>34</v>
      </c>
      <c r="F211" s="16" t="s">
        <v>1152</v>
      </c>
      <c r="G211" s="16" t="s">
        <v>71</v>
      </c>
      <c r="H211" s="16" t="s">
        <v>31</v>
      </c>
      <c r="I211" s="16" t="s">
        <v>63</v>
      </c>
      <c r="J211" s="16" t="s">
        <v>27</v>
      </c>
      <c r="K211" s="16" t="s">
        <v>245</v>
      </c>
      <c r="L211" s="16" t="s">
        <v>75</v>
      </c>
      <c r="M211" s="17">
        <v>30</v>
      </c>
      <c r="N211" s="23">
        <v>1.33</v>
      </c>
      <c r="O211" s="16" t="s">
        <v>67</v>
      </c>
      <c r="P211" s="16" t="s">
        <v>29</v>
      </c>
      <c r="Q211" s="16" t="s">
        <v>938</v>
      </c>
      <c r="R211" s="16" t="s">
        <v>246</v>
      </c>
      <c r="S211" s="12" t="s">
        <v>1129</v>
      </c>
      <c r="T211" s="13">
        <v>45831</v>
      </c>
      <c r="U211" s="19"/>
      <c r="V211" s="53">
        <f>M211-U211-X211-Z211</f>
        <v>-0.69999999999999929</v>
      </c>
      <c r="W211" s="22" t="s">
        <v>1153</v>
      </c>
      <c r="X211" s="26"/>
      <c r="Y211" s="26"/>
      <c r="Z211" s="19">
        <v>30.7</v>
      </c>
      <c r="AA211" s="24">
        <v>45818</v>
      </c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9"/>
    </row>
    <row r="212" spans="1:67" s="29" customFormat="1" ht="20.25" customHeight="1">
      <c r="A212" s="11">
        <v>45807</v>
      </c>
      <c r="B212" s="16" t="s">
        <v>1154</v>
      </c>
      <c r="C212" s="16" t="s">
        <v>243</v>
      </c>
      <c r="D212" s="16" t="s">
        <v>212</v>
      </c>
      <c r="E212" s="16" t="s">
        <v>34</v>
      </c>
      <c r="F212" s="16" t="s">
        <v>1155</v>
      </c>
      <c r="G212" s="16" t="s">
        <v>71</v>
      </c>
      <c r="H212" s="16" t="s">
        <v>31</v>
      </c>
      <c r="I212" s="16" t="s">
        <v>63</v>
      </c>
      <c r="J212" s="16" t="s">
        <v>27</v>
      </c>
      <c r="K212" s="16" t="s">
        <v>245</v>
      </c>
      <c r="L212" s="16" t="s">
        <v>75</v>
      </c>
      <c r="M212" s="17">
        <v>20</v>
      </c>
      <c r="N212" s="23">
        <v>1.33</v>
      </c>
      <c r="O212" s="16" t="s">
        <v>67</v>
      </c>
      <c r="P212" s="16" t="s">
        <v>29</v>
      </c>
      <c r="Q212" s="16" t="s">
        <v>938</v>
      </c>
      <c r="R212" s="16" t="s">
        <v>246</v>
      </c>
      <c r="S212" s="12" t="s">
        <v>1129</v>
      </c>
      <c r="T212" s="13">
        <v>45831</v>
      </c>
      <c r="U212" s="19"/>
      <c r="V212" s="53">
        <f>M212-U212-X212-Z212</f>
        <v>0</v>
      </c>
      <c r="W212" s="22" t="s">
        <v>1156</v>
      </c>
      <c r="X212" s="26"/>
      <c r="Y212" s="44"/>
      <c r="Z212" s="80">
        <v>20</v>
      </c>
      <c r="AA212" s="31">
        <v>45818</v>
      </c>
      <c r="BG212" s="54"/>
      <c r="BH212" s="54"/>
      <c r="BI212" s="54"/>
      <c r="BJ212" s="54"/>
      <c r="BK212" s="54"/>
      <c r="BL212" s="54"/>
      <c r="BM212" s="54"/>
      <c r="BN212" s="54"/>
      <c r="BO212" s="54"/>
    </row>
    <row r="213" spans="1:67" s="29" customFormat="1" ht="20.25" customHeight="1">
      <c r="A213" s="11">
        <v>45807</v>
      </c>
      <c r="B213" s="16" t="s">
        <v>1157</v>
      </c>
      <c r="C213" s="16" t="s">
        <v>243</v>
      </c>
      <c r="D213" s="16" t="s">
        <v>212</v>
      </c>
      <c r="E213" s="16" t="s">
        <v>34</v>
      </c>
      <c r="F213" s="16" t="s">
        <v>1158</v>
      </c>
      <c r="G213" s="16" t="s">
        <v>71</v>
      </c>
      <c r="H213" s="16" t="s">
        <v>31</v>
      </c>
      <c r="I213" s="16" t="s">
        <v>63</v>
      </c>
      <c r="J213" s="16" t="s">
        <v>27</v>
      </c>
      <c r="K213" s="16" t="s">
        <v>245</v>
      </c>
      <c r="L213" s="16" t="s">
        <v>75</v>
      </c>
      <c r="M213" s="17">
        <v>20</v>
      </c>
      <c r="N213" s="23">
        <v>1.33</v>
      </c>
      <c r="O213" s="16" t="s">
        <v>67</v>
      </c>
      <c r="P213" s="16" t="s">
        <v>29</v>
      </c>
      <c r="Q213" s="16" t="s">
        <v>938</v>
      </c>
      <c r="R213" s="16" t="s">
        <v>941</v>
      </c>
      <c r="S213" s="12" t="s">
        <v>1129</v>
      </c>
      <c r="T213" s="13">
        <v>45831</v>
      </c>
      <c r="U213" s="19"/>
      <c r="V213" s="53">
        <f>M213-U213-Z213-AB213-AD213-AF213</f>
        <v>-5.5</v>
      </c>
      <c r="W213" s="22" t="s">
        <v>1159</v>
      </c>
      <c r="X213" s="26"/>
      <c r="Y213" s="26"/>
      <c r="Z213" s="19">
        <v>25.5</v>
      </c>
      <c r="AA213" s="24">
        <v>45833</v>
      </c>
    </row>
    <row r="214" spans="1:67" s="29" customFormat="1" ht="20.25" customHeight="1">
      <c r="A214" s="11">
        <v>45807</v>
      </c>
      <c r="B214" s="16" t="s">
        <v>1160</v>
      </c>
      <c r="C214" s="16" t="s">
        <v>243</v>
      </c>
      <c r="D214" s="16" t="s">
        <v>212</v>
      </c>
      <c r="E214" s="16" t="s">
        <v>34</v>
      </c>
      <c r="F214" s="16" t="s">
        <v>1161</v>
      </c>
      <c r="G214" s="16" t="s">
        <v>71</v>
      </c>
      <c r="H214" s="16" t="s">
        <v>31</v>
      </c>
      <c r="I214" s="16" t="s">
        <v>63</v>
      </c>
      <c r="J214" s="16" t="s">
        <v>27</v>
      </c>
      <c r="K214" s="16" t="s">
        <v>245</v>
      </c>
      <c r="L214" s="16" t="s">
        <v>75</v>
      </c>
      <c r="M214" s="17">
        <v>70</v>
      </c>
      <c r="N214" s="23">
        <v>1.33</v>
      </c>
      <c r="O214" s="16" t="s">
        <v>67</v>
      </c>
      <c r="P214" s="16" t="s">
        <v>29</v>
      </c>
      <c r="Q214" s="16" t="s">
        <v>920</v>
      </c>
      <c r="R214" s="16" t="s">
        <v>921</v>
      </c>
      <c r="S214" s="12" t="s">
        <v>1129</v>
      </c>
      <c r="T214" s="13">
        <v>45831</v>
      </c>
      <c r="U214" s="19"/>
      <c r="V214" s="53">
        <f>M214-U214-Z214-AB214-AD214-AF214</f>
        <v>-1</v>
      </c>
      <c r="W214" s="22" t="s">
        <v>1162</v>
      </c>
      <c r="X214" s="26"/>
      <c r="Y214" s="269"/>
      <c r="Z214" s="220">
        <v>71</v>
      </c>
      <c r="AA214" s="221">
        <v>45833</v>
      </c>
      <c r="AB214" s="26"/>
      <c r="AC214" s="26"/>
    </row>
    <row r="215" spans="1:67" s="29" customFormat="1" ht="20.25" customHeight="1">
      <c r="A215" s="11">
        <v>45807</v>
      </c>
      <c r="B215" s="16" t="s">
        <v>1169</v>
      </c>
      <c r="C215" s="16" t="s">
        <v>243</v>
      </c>
      <c r="D215" s="16" t="s">
        <v>212</v>
      </c>
      <c r="E215" s="16" t="s">
        <v>34</v>
      </c>
      <c r="F215" s="16" t="s">
        <v>1170</v>
      </c>
      <c r="G215" s="16" t="s">
        <v>71</v>
      </c>
      <c r="H215" s="16" t="s">
        <v>31</v>
      </c>
      <c r="I215" s="16" t="s">
        <v>63</v>
      </c>
      <c r="J215" s="16" t="s">
        <v>27</v>
      </c>
      <c r="K215" s="16" t="s">
        <v>245</v>
      </c>
      <c r="L215" s="16" t="s">
        <v>75</v>
      </c>
      <c r="M215" s="17">
        <v>300</v>
      </c>
      <c r="N215" s="23">
        <v>1.33</v>
      </c>
      <c r="O215" s="16" t="s">
        <v>67</v>
      </c>
      <c r="P215" s="16" t="s">
        <v>29</v>
      </c>
      <c r="Q215" s="16" t="s">
        <v>920</v>
      </c>
      <c r="R215" s="16" t="s">
        <v>791</v>
      </c>
      <c r="S215" s="12" t="s">
        <v>1129</v>
      </c>
      <c r="T215" s="13">
        <v>45831</v>
      </c>
      <c r="U215" s="19"/>
      <c r="V215" s="53">
        <f>M215-U215-Z215-AB215-AD215-AF215</f>
        <v>-5.3000000000000114</v>
      </c>
      <c r="W215" s="22" t="s">
        <v>1171</v>
      </c>
      <c r="X215" s="26"/>
      <c r="Y215" s="26"/>
      <c r="Z215" s="19">
        <v>305.3</v>
      </c>
      <c r="AA215" s="24">
        <v>45833</v>
      </c>
    </row>
    <row r="216" spans="1:67" s="29" customFormat="1" ht="20.25" customHeight="1">
      <c r="A216" s="11">
        <v>45807</v>
      </c>
      <c r="B216" s="16" t="s">
        <v>1172</v>
      </c>
      <c r="C216" s="16" t="s">
        <v>243</v>
      </c>
      <c r="D216" s="16" t="s">
        <v>212</v>
      </c>
      <c r="E216" s="16" t="s">
        <v>34</v>
      </c>
      <c r="F216" s="16" t="s">
        <v>1173</v>
      </c>
      <c r="G216" s="16" t="s">
        <v>71</v>
      </c>
      <c r="H216" s="16" t="s">
        <v>31</v>
      </c>
      <c r="I216" s="16" t="s">
        <v>63</v>
      </c>
      <c r="J216" s="16" t="s">
        <v>27</v>
      </c>
      <c r="K216" s="16" t="s">
        <v>245</v>
      </c>
      <c r="L216" s="16" t="s">
        <v>75</v>
      </c>
      <c r="M216" s="17">
        <v>300</v>
      </c>
      <c r="N216" s="23">
        <v>1.33</v>
      </c>
      <c r="O216" s="16" t="s">
        <v>67</v>
      </c>
      <c r="P216" s="16" t="s">
        <v>29</v>
      </c>
      <c r="Q216" s="16" t="s">
        <v>920</v>
      </c>
      <c r="R216" s="16" t="s">
        <v>921</v>
      </c>
      <c r="S216" s="12" t="s">
        <v>1129</v>
      </c>
      <c r="T216" s="13">
        <v>45831</v>
      </c>
      <c r="U216" s="19"/>
      <c r="V216" s="53">
        <f>M216-U216-Z216-AB216-AD216-AF216</f>
        <v>-0.30000000000001137</v>
      </c>
      <c r="W216" s="22" t="s">
        <v>1174</v>
      </c>
      <c r="X216" s="26"/>
      <c r="Y216" s="26"/>
      <c r="Z216" s="19">
        <v>300.3</v>
      </c>
      <c r="AA216" s="24">
        <v>45833</v>
      </c>
    </row>
    <row r="217" spans="1:67" s="29" customFormat="1" ht="20.25" customHeight="1">
      <c r="A217" s="11">
        <v>45807</v>
      </c>
      <c r="B217" s="16" t="s">
        <v>1166</v>
      </c>
      <c r="C217" s="16" t="s">
        <v>243</v>
      </c>
      <c r="D217" s="16" t="s">
        <v>212</v>
      </c>
      <c r="E217" s="16" t="s">
        <v>34</v>
      </c>
      <c r="F217" s="16" t="s">
        <v>1167</v>
      </c>
      <c r="G217" s="16" t="s">
        <v>71</v>
      </c>
      <c r="H217" s="16" t="s">
        <v>31</v>
      </c>
      <c r="I217" s="16" t="s">
        <v>63</v>
      </c>
      <c r="J217" s="16" t="s">
        <v>27</v>
      </c>
      <c r="K217" s="16" t="s">
        <v>218</v>
      </c>
      <c r="L217" s="16" t="s">
        <v>75</v>
      </c>
      <c r="M217" s="17">
        <v>70</v>
      </c>
      <c r="N217" s="23">
        <v>1.33</v>
      </c>
      <c r="O217" s="16" t="s">
        <v>1063</v>
      </c>
      <c r="P217" s="16" t="s">
        <v>29</v>
      </c>
      <c r="Q217" s="16" t="s">
        <v>920</v>
      </c>
      <c r="R217" s="16" t="s">
        <v>518</v>
      </c>
      <c r="S217" s="12" t="s">
        <v>1129</v>
      </c>
      <c r="T217" s="13">
        <v>45831</v>
      </c>
      <c r="U217" s="19"/>
      <c r="V217" s="53">
        <f>M217-U217-Z217</f>
        <v>-0.90000000000000568</v>
      </c>
      <c r="W217" s="22" t="s">
        <v>1168</v>
      </c>
      <c r="X217" s="1"/>
      <c r="Y217" s="44"/>
      <c r="Z217" s="19">
        <v>70.900000000000006</v>
      </c>
      <c r="AA217" s="24">
        <v>45818</v>
      </c>
    </row>
    <row r="218" spans="1:67" s="29" customFormat="1" ht="20.25" customHeight="1">
      <c r="A218" s="11">
        <v>45807</v>
      </c>
      <c r="B218" s="16" t="s">
        <v>1175</v>
      </c>
      <c r="C218" s="16" t="s">
        <v>304</v>
      </c>
      <c r="D218" s="16" t="s">
        <v>212</v>
      </c>
      <c r="E218" s="16" t="s">
        <v>25</v>
      </c>
      <c r="F218" s="16" t="s">
        <v>1176</v>
      </c>
      <c r="G218" s="16" t="s">
        <v>71</v>
      </c>
      <c r="H218" s="16" t="s">
        <v>31</v>
      </c>
      <c r="I218" s="16" t="s">
        <v>63</v>
      </c>
      <c r="J218" s="16" t="s">
        <v>27</v>
      </c>
      <c r="K218" s="16" t="s">
        <v>218</v>
      </c>
      <c r="L218" s="16" t="s">
        <v>75</v>
      </c>
      <c r="M218" s="17">
        <v>690</v>
      </c>
      <c r="N218" s="23">
        <v>1.33</v>
      </c>
      <c r="O218" s="16" t="s">
        <v>1063</v>
      </c>
      <c r="P218" s="16" t="s">
        <v>29</v>
      </c>
      <c r="Q218" s="16" t="s">
        <v>1177</v>
      </c>
      <c r="R218" s="16" t="s">
        <v>29</v>
      </c>
      <c r="S218" s="12" t="s">
        <v>1129</v>
      </c>
      <c r="T218" s="13">
        <v>45828</v>
      </c>
      <c r="U218" s="19"/>
      <c r="V218" s="53">
        <f>M218-U218-Z218</f>
        <v>-1.8999999999999773</v>
      </c>
      <c r="W218" s="22" t="s">
        <v>1178</v>
      </c>
      <c r="X218" s="1"/>
      <c r="Y218" s="343"/>
      <c r="Z218" s="259">
        <v>691.9</v>
      </c>
      <c r="AA218" s="260">
        <v>45820</v>
      </c>
    </row>
    <row r="219" spans="1:67" s="36" customFormat="1" ht="20.25" customHeight="1">
      <c r="A219" s="11">
        <v>45807</v>
      </c>
      <c r="B219" s="16" t="s">
        <v>1175</v>
      </c>
      <c r="C219" s="16" t="s">
        <v>304</v>
      </c>
      <c r="D219" s="16" t="s">
        <v>212</v>
      </c>
      <c r="E219" s="16" t="s">
        <v>25</v>
      </c>
      <c r="F219" s="16" t="s">
        <v>1176</v>
      </c>
      <c r="G219" s="16" t="s">
        <v>71</v>
      </c>
      <c r="H219" s="16" t="s">
        <v>26</v>
      </c>
      <c r="I219" s="16" t="s">
        <v>63</v>
      </c>
      <c r="J219" s="16" t="s">
        <v>27</v>
      </c>
      <c r="K219" s="16" t="s">
        <v>218</v>
      </c>
      <c r="L219" s="16" t="s">
        <v>75</v>
      </c>
      <c r="M219" s="17">
        <v>4155</v>
      </c>
      <c r="N219" s="23">
        <v>1.33</v>
      </c>
      <c r="O219" s="16" t="s">
        <v>1063</v>
      </c>
      <c r="P219" s="16" t="s">
        <v>29</v>
      </c>
      <c r="Q219" s="16" t="s">
        <v>509</v>
      </c>
      <c r="R219" s="16" t="s">
        <v>29</v>
      </c>
      <c r="S219" s="12" t="s">
        <v>1129</v>
      </c>
      <c r="T219" s="13">
        <v>45828</v>
      </c>
      <c r="U219" s="19"/>
      <c r="V219" s="53">
        <f>M219-U219-Z219</f>
        <v>-0.8999999999996362</v>
      </c>
      <c r="W219" s="22" t="s">
        <v>1180</v>
      </c>
      <c r="X219" s="1"/>
      <c r="Y219" s="21"/>
      <c r="Z219" s="19">
        <f>1104.7+908.1+2143.1</f>
        <v>4155.8999999999996</v>
      </c>
      <c r="AA219" s="24">
        <v>45820</v>
      </c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</row>
    <row r="220" spans="1:67" s="29" customFormat="1" ht="20.25" customHeight="1">
      <c r="A220" s="11">
        <v>45807</v>
      </c>
      <c r="B220" s="16" t="s">
        <v>1181</v>
      </c>
      <c r="C220" s="16" t="s">
        <v>304</v>
      </c>
      <c r="D220" s="16" t="s">
        <v>212</v>
      </c>
      <c r="E220" s="16" t="s">
        <v>25</v>
      </c>
      <c r="F220" s="16" t="s">
        <v>1182</v>
      </c>
      <c r="G220" s="16" t="s">
        <v>71</v>
      </c>
      <c r="H220" s="16" t="s">
        <v>26</v>
      </c>
      <c r="I220" s="16" t="s">
        <v>63</v>
      </c>
      <c r="J220" s="16" t="s">
        <v>27</v>
      </c>
      <c r="K220" s="16" t="s">
        <v>218</v>
      </c>
      <c r="L220" s="16" t="s">
        <v>75</v>
      </c>
      <c r="M220" s="17">
        <v>1200</v>
      </c>
      <c r="N220" s="23">
        <v>1.33</v>
      </c>
      <c r="O220" s="16" t="s">
        <v>1063</v>
      </c>
      <c r="P220" s="16" t="s">
        <v>29</v>
      </c>
      <c r="Q220" s="16" t="s">
        <v>810</v>
      </c>
      <c r="R220" s="16" t="s">
        <v>29</v>
      </c>
      <c r="S220" s="12" t="s">
        <v>1129</v>
      </c>
      <c r="T220" s="13">
        <v>45828</v>
      </c>
      <c r="U220" s="19"/>
      <c r="V220" s="53">
        <f>M220-U220-Z220</f>
        <v>-0.59999999999990905</v>
      </c>
      <c r="W220" s="22" t="s">
        <v>1183</v>
      </c>
      <c r="X220" s="1"/>
      <c r="Y220" s="35"/>
      <c r="Z220" s="80">
        <f>618.3+582.3</f>
        <v>1200.5999999999999</v>
      </c>
      <c r="AA220" s="31">
        <v>45820</v>
      </c>
    </row>
    <row r="221" spans="1:67" s="29" customFormat="1" ht="20.25" customHeight="1">
      <c r="A221" s="11">
        <v>45807</v>
      </c>
      <c r="B221" s="16" t="s">
        <v>1163</v>
      </c>
      <c r="C221" s="16" t="s">
        <v>243</v>
      </c>
      <c r="D221" s="16" t="s">
        <v>212</v>
      </c>
      <c r="E221" s="16" t="s">
        <v>34</v>
      </c>
      <c r="F221" s="16" t="s">
        <v>1164</v>
      </c>
      <c r="G221" s="16" t="s">
        <v>71</v>
      </c>
      <c r="H221" s="16" t="s">
        <v>31</v>
      </c>
      <c r="I221" s="16" t="s">
        <v>63</v>
      </c>
      <c r="J221" s="16" t="s">
        <v>27</v>
      </c>
      <c r="K221" s="16" t="s">
        <v>514</v>
      </c>
      <c r="L221" s="16" t="s">
        <v>75</v>
      </c>
      <c r="M221" s="17">
        <v>30</v>
      </c>
      <c r="N221" s="23">
        <v>1.33</v>
      </c>
      <c r="O221" s="16" t="s">
        <v>67</v>
      </c>
      <c r="P221" s="16" t="s">
        <v>29</v>
      </c>
      <c r="Q221" s="16" t="s">
        <v>920</v>
      </c>
      <c r="R221" s="16" t="s">
        <v>449</v>
      </c>
      <c r="S221" s="12" t="s">
        <v>1129</v>
      </c>
      <c r="T221" s="13">
        <v>45831</v>
      </c>
      <c r="U221" s="19"/>
      <c r="V221" s="53">
        <f>M221-U221-Z221</f>
        <v>-2.1000000000000014</v>
      </c>
      <c r="W221" s="22" t="s">
        <v>1165</v>
      </c>
      <c r="X221" s="1"/>
      <c r="Y221" s="214"/>
      <c r="Z221" s="259">
        <v>32.1</v>
      </c>
      <c r="AA221" s="260">
        <v>45818</v>
      </c>
    </row>
    <row r="222" spans="1:67" s="29" customFormat="1" ht="20.25" customHeight="1">
      <c r="A222" s="11">
        <v>45807</v>
      </c>
      <c r="B222" s="16" t="s">
        <v>1175</v>
      </c>
      <c r="C222" s="16" t="s">
        <v>304</v>
      </c>
      <c r="D222" s="16" t="s">
        <v>212</v>
      </c>
      <c r="E222" s="16" t="s">
        <v>25</v>
      </c>
      <c r="F222" s="16" t="s">
        <v>1176</v>
      </c>
      <c r="G222" s="16" t="s">
        <v>71</v>
      </c>
      <c r="H222" s="16" t="s">
        <v>31</v>
      </c>
      <c r="I222" s="16" t="s">
        <v>63</v>
      </c>
      <c r="J222" s="16" t="s">
        <v>27</v>
      </c>
      <c r="K222" s="16" t="s">
        <v>598</v>
      </c>
      <c r="L222" s="16" t="s">
        <v>75</v>
      </c>
      <c r="M222" s="17">
        <v>1475</v>
      </c>
      <c r="N222" s="23">
        <v>1.33</v>
      </c>
      <c r="O222" s="16" t="s">
        <v>67</v>
      </c>
      <c r="P222" s="16" t="s">
        <v>29</v>
      </c>
      <c r="Q222" s="16" t="s">
        <v>903</v>
      </c>
      <c r="R222" s="16" t="s">
        <v>29</v>
      </c>
      <c r="S222" s="12" t="s">
        <v>1129</v>
      </c>
      <c r="T222" s="13">
        <v>45828</v>
      </c>
      <c r="U222" s="19"/>
      <c r="V222" s="53">
        <f>M222-U222-Z222</f>
        <v>0</v>
      </c>
      <c r="W222" s="22" t="s">
        <v>1179</v>
      </c>
      <c r="X222" s="21"/>
      <c r="Y222" s="21"/>
      <c r="Z222" s="19">
        <v>1475</v>
      </c>
      <c r="AA222" s="24">
        <v>45820</v>
      </c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G222" s="28"/>
      <c r="BH222" s="28"/>
      <c r="BI222" s="28"/>
      <c r="BJ222" s="28"/>
      <c r="BK222" s="28"/>
      <c r="BL222" s="28"/>
      <c r="BM222" s="28"/>
      <c r="BN222" s="28"/>
      <c r="BO222" s="28"/>
    </row>
    <row r="223" spans="1:67" s="36" customFormat="1" ht="20.25" customHeight="1">
      <c r="A223" s="11">
        <v>45807</v>
      </c>
      <c r="B223" s="16" t="s">
        <v>1127</v>
      </c>
      <c r="C223" s="16" t="s">
        <v>228</v>
      </c>
      <c r="D223" s="16" t="s">
        <v>212</v>
      </c>
      <c r="E223" s="16" t="s">
        <v>34</v>
      </c>
      <c r="F223" s="16" t="s">
        <v>1128</v>
      </c>
      <c r="G223" s="16" t="s">
        <v>71</v>
      </c>
      <c r="H223" s="16" t="s">
        <v>31</v>
      </c>
      <c r="I223" s="16" t="s">
        <v>63</v>
      </c>
      <c r="J223" s="16" t="s">
        <v>27</v>
      </c>
      <c r="K223" s="16" t="s">
        <v>255</v>
      </c>
      <c r="L223" s="16" t="s">
        <v>75</v>
      </c>
      <c r="M223" s="17">
        <v>55</v>
      </c>
      <c r="N223" s="23">
        <v>1.33</v>
      </c>
      <c r="O223" s="16" t="s">
        <v>67</v>
      </c>
      <c r="P223" s="16" t="s">
        <v>29</v>
      </c>
      <c r="Q223" s="16" t="s">
        <v>263</v>
      </c>
      <c r="R223" s="16" t="s">
        <v>1130</v>
      </c>
      <c r="S223" s="12" t="s">
        <v>1129</v>
      </c>
      <c r="T223" s="13">
        <v>45824</v>
      </c>
      <c r="U223" s="19"/>
      <c r="V223" s="53">
        <f>M223-U223-Z223-AB223-AD223</f>
        <v>-1.7000000000000028</v>
      </c>
      <c r="W223" s="22" t="s">
        <v>1131</v>
      </c>
      <c r="X223" s="27"/>
      <c r="Y223" s="27"/>
      <c r="Z223" s="19">
        <v>56.7</v>
      </c>
      <c r="AA223" s="24">
        <v>45828</v>
      </c>
      <c r="AB223" s="27"/>
      <c r="AC223" s="27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9"/>
      <c r="BG223" s="28"/>
      <c r="BH223" s="28"/>
      <c r="BI223" s="28"/>
      <c r="BJ223" s="28"/>
      <c r="BK223" s="28"/>
      <c r="BL223" s="28"/>
      <c r="BM223" s="28"/>
      <c r="BN223" s="28"/>
      <c r="BO223" s="28"/>
    </row>
    <row r="224" spans="1:67" s="36" customFormat="1" ht="20.25" customHeight="1">
      <c r="A224" s="11">
        <v>45807</v>
      </c>
      <c r="B224" s="16" t="s">
        <v>1132</v>
      </c>
      <c r="C224" s="16" t="s">
        <v>243</v>
      </c>
      <c r="D224" s="16" t="s">
        <v>212</v>
      </c>
      <c r="E224" s="16" t="s">
        <v>34</v>
      </c>
      <c r="F224" s="16" t="s">
        <v>1133</v>
      </c>
      <c r="G224" s="19" t="s">
        <v>1714</v>
      </c>
      <c r="H224" s="16" t="s">
        <v>31</v>
      </c>
      <c r="I224" s="16" t="s">
        <v>63</v>
      </c>
      <c r="J224" s="16" t="s">
        <v>27</v>
      </c>
      <c r="K224" s="16" t="s">
        <v>671</v>
      </c>
      <c r="L224" s="16" t="s">
        <v>75</v>
      </c>
      <c r="M224" s="17">
        <v>268.5</v>
      </c>
      <c r="N224" s="23">
        <v>1.33</v>
      </c>
      <c r="O224" s="16" t="s">
        <v>67</v>
      </c>
      <c r="P224" s="16" t="s">
        <v>29</v>
      </c>
      <c r="Q224" s="16" t="s">
        <v>932</v>
      </c>
      <c r="R224" s="16" t="s">
        <v>525</v>
      </c>
      <c r="S224" s="12" t="s">
        <v>65</v>
      </c>
      <c r="T224" s="13">
        <v>45821</v>
      </c>
      <c r="U224" s="19"/>
      <c r="V224" s="53">
        <f>M224-U224-X224-Z224-AB224</f>
        <v>-9.999999999998721E-2</v>
      </c>
      <c r="W224" s="22" t="s">
        <v>1134</v>
      </c>
      <c r="X224" s="27"/>
      <c r="Y224" s="27"/>
      <c r="Z224" s="19">
        <v>247.7</v>
      </c>
      <c r="AA224" s="24">
        <v>45810</v>
      </c>
      <c r="AB224" s="19">
        <v>20.9</v>
      </c>
      <c r="AC224" s="24">
        <v>45818</v>
      </c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</row>
    <row r="225" spans="1:67" s="36" customFormat="1" ht="20.25" customHeight="1">
      <c r="A225" s="11">
        <v>45807</v>
      </c>
      <c r="B225" s="16" t="s">
        <v>1135</v>
      </c>
      <c r="C225" s="16" t="s">
        <v>243</v>
      </c>
      <c r="D225" s="16" t="s">
        <v>212</v>
      </c>
      <c r="E225" s="16" t="s">
        <v>34</v>
      </c>
      <c r="F225" s="16" t="s">
        <v>1136</v>
      </c>
      <c r="G225" s="16" t="s">
        <v>71</v>
      </c>
      <c r="H225" s="16" t="s">
        <v>31</v>
      </c>
      <c r="I225" s="16" t="s">
        <v>63</v>
      </c>
      <c r="J225" s="16" t="s">
        <v>27</v>
      </c>
      <c r="K225" s="16" t="s">
        <v>332</v>
      </c>
      <c r="L225" s="16" t="s">
        <v>75</v>
      </c>
      <c r="M225" s="17">
        <v>81.8</v>
      </c>
      <c r="N225" s="23">
        <v>1.33</v>
      </c>
      <c r="O225" s="16" t="s">
        <v>67</v>
      </c>
      <c r="P225" s="16" t="s">
        <v>29</v>
      </c>
      <c r="Q225" s="16" t="s">
        <v>938</v>
      </c>
      <c r="R225" s="16" t="s">
        <v>246</v>
      </c>
      <c r="S225" s="12" t="s">
        <v>65</v>
      </c>
      <c r="T225" s="13">
        <v>45821</v>
      </c>
      <c r="U225" s="19"/>
      <c r="V225" s="53">
        <f>M225-U225-X225-Z225</f>
        <v>-1.9000000000000057</v>
      </c>
      <c r="W225" s="22" t="s">
        <v>1137</v>
      </c>
      <c r="X225" s="21"/>
      <c r="Y225" s="21"/>
      <c r="Z225" s="19">
        <v>83.7</v>
      </c>
      <c r="AA225" s="24">
        <v>45810</v>
      </c>
      <c r="AB225" s="21"/>
      <c r="AC225" s="27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9"/>
      <c r="BG225" s="28"/>
      <c r="BH225" s="28"/>
      <c r="BI225" s="28"/>
      <c r="BJ225" s="28"/>
      <c r="BK225" s="28"/>
      <c r="BL225" s="28"/>
      <c r="BM225" s="28"/>
      <c r="BN225" s="28"/>
      <c r="BO225" s="28"/>
    </row>
    <row r="226" spans="1:67" s="28" customFormat="1" ht="20.25" customHeight="1">
      <c r="A226" s="7">
        <v>45810</v>
      </c>
      <c r="B226" s="19" t="s">
        <v>1194</v>
      </c>
      <c r="C226" s="19" t="s">
        <v>267</v>
      </c>
      <c r="D226" s="19" t="s">
        <v>212</v>
      </c>
      <c r="E226" s="19" t="s">
        <v>25</v>
      </c>
      <c r="F226" s="19" t="s">
        <v>1195</v>
      </c>
      <c r="G226" s="19" t="s">
        <v>71</v>
      </c>
      <c r="H226" s="19" t="s">
        <v>31</v>
      </c>
      <c r="I226" s="19" t="s">
        <v>63</v>
      </c>
      <c r="J226" s="19" t="s">
        <v>27</v>
      </c>
      <c r="K226" s="19" t="s">
        <v>966</v>
      </c>
      <c r="L226" s="19" t="s">
        <v>75</v>
      </c>
      <c r="M226" s="20">
        <v>3025</v>
      </c>
      <c r="N226" s="25">
        <v>1.32</v>
      </c>
      <c r="O226" s="19" t="s">
        <v>67</v>
      </c>
      <c r="P226" s="19" t="s">
        <v>29</v>
      </c>
      <c r="Q226" s="19" t="s">
        <v>1196</v>
      </c>
      <c r="R226" s="19" t="s">
        <v>29</v>
      </c>
      <c r="S226" s="224">
        <v>45817</v>
      </c>
      <c r="T226" s="8">
        <v>45831</v>
      </c>
      <c r="U226" s="19"/>
      <c r="V226" s="55">
        <f>M226-U226-Z226-AB226</f>
        <v>-1.6000000000002501</v>
      </c>
      <c r="W226" s="15" t="s">
        <v>1197</v>
      </c>
      <c r="X226" s="10" t="s">
        <v>1319</v>
      </c>
      <c r="Y226" s="341"/>
      <c r="Z226" s="220">
        <f>1900.4+490.3</f>
        <v>2390.7000000000003</v>
      </c>
      <c r="AA226" s="251">
        <v>45820</v>
      </c>
      <c r="AB226" s="19">
        <f>488.5+147.4</f>
        <v>635.9</v>
      </c>
      <c r="AC226" s="18">
        <v>45828</v>
      </c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</row>
    <row r="227" spans="1:67" s="28" customFormat="1" ht="20.25" customHeight="1">
      <c r="A227" s="48">
        <v>45811</v>
      </c>
      <c r="B227" s="49" t="s">
        <v>1209</v>
      </c>
      <c r="C227" s="49" t="s">
        <v>228</v>
      </c>
      <c r="D227" s="49" t="s">
        <v>212</v>
      </c>
      <c r="E227" s="49" t="s">
        <v>25</v>
      </c>
      <c r="F227" s="49" t="s">
        <v>1210</v>
      </c>
      <c r="G227" s="49" t="s">
        <v>71</v>
      </c>
      <c r="H227" s="49" t="s">
        <v>31</v>
      </c>
      <c r="I227" s="49" t="s">
        <v>63</v>
      </c>
      <c r="J227" s="49" t="s">
        <v>27</v>
      </c>
      <c r="K227" s="49" t="s">
        <v>214</v>
      </c>
      <c r="L227" s="49" t="s">
        <v>75</v>
      </c>
      <c r="M227" s="50">
        <v>115.11</v>
      </c>
      <c r="N227" s="215">
        <v>1.32</v>
      </c>
      <c r="O227" s="49" t="s">
        <v>1063</v>
      </c>
      <c r="P227" s="49" t="s">
        <v>29</v>
      </c>
      <c r="Q227" s="49" t="s">
        <v>1211</v>
      </c>
      <c r="R227" s="49" t="s">
        <v>1212</v>
      </c>
      <c r="S227" s="52">
        <v>45825</v>
      </c>
      <c r="T227" s="52">
        <v>45834</v>
      </c>
      <c r="U227" s="19"/>
      <c r="V227" s="53">
        <f>M227-U227-Z227-AB227-AD227</f>
        <v>-0.68999999999999773</v>
      </c>
      <c r="W227" s="51" t="s">
        <v>1213</v>
      </c>
      <c r="X227" s="88"/>
      <c r="Y227" s="88"/>
      <c r="Z227" s="19">
        <v>115.8</v>
      </c>
      <c r="AA227" s="24">
        <v>45828</v>
      </c>
      <c r="BG227" s="29"/>
      <c r="BH227" s="29"/>
      <c r="BI227" s="29"/>
      <c r="BJ227" s="29"/>
      <c r="BK227" s="29"/>
      <c r="BL227" s="29"/>
      <c r="BM227" s="29"/>
      <c r="BN227" s="29"/>
      <c r="BO227" s="29"/>
    </row>
    <row r="228" spans="1:67" s="28" customFormat="1" ht="20.25" customHeight="1">
      <c r="A228" s="205">
        <v>45811</v>
      </c>
      <c r="B228" s="206" t="s">
        <v>1251</v>
      </c>
      <c r="C228" s="206" t="s">
        <v>267</v>
      </c>
      <c r="D228" s="206" t="s">
        <v>212</v>
      </c>
      <c r="E228" s="206" t="s">
        <v>25</v>
      </c>
      <c r="F228" s="206" t="s">
        <v>1252</v>
      </c>
      <c r="G228" s="206" t="s">
        <v>71</v>
      </c>
      <c r="H228" s="206" t="s">
        <v>26</v>
      </c>
      <c r="I228" s="206" t="s">
        <v>63</v>
      </c>
      <c r="J228" s="206" t="s">
        <v>27</v>
      </c>
      <c r="K228" s="206" t="s">
        <v>214</v>
      </c>
      <c r="L228" s="206" t="s">
        <v>75</v>
      </c>
      <c r="M228" s="207">
        <v>4360</v>
      </c>
      <c r="N228" s="225">
        <v>1.32</v>
      </c>
      <c r="O228" s="206" t="s">
        <v>1063</v>
      </c>
      <c r="P228" s="206" t="s">
        <v>29</v>
      </c>
      <c r="Q228" s="206" t="s">
        <v>29</v>
      </c>
      <c r="R228" s="206" t="s">
        <v>713</v>
      </c>
      <c r="S228" s="224">
        <v>45825</v>
      </c>
      <c r="T228" s="224">
        <v>45834</v>
      </c>
      <c r="U228" s="19"/>
      <c r="V228" s="55">
        <f>M228-U228-Z228</f>
        <v>-1.1999999999998181</v>
      </c>
      <c r="W228" s="209" t="s">
        <v>1253</v>
      </c>
      <c r="X228" s="10"/>
      <c r="Y228" s="153"/>
      <c r="Z228" s="80">
        <f>675.6+1291.7+110.2+595.3+1129.6+558.8</f>
        <v>4361.2</v>
      </c>
      <c r="AA228" s="38">
        <v>45828</v>
      </c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29"/>
      <c r="BH228" s="29"/>
      <c r="BI228" s="29"/>
      <c r="BJ228" s="29"/>
      <c r="BK228" s="29"/>
      <c r="BL228" s="29"/>
      <c r="BM228" s="29"/>
      <c r="BN228" s="29"/>
      <c r="BO228" s="29"/>
    </row>
    <row r="229" spans="1:67" s="28" customFormat="1" ht="20.25" customHeight="1">
      <c r="A229" s="48">
        <v>45811</v>
      </c>
      <c r="B229" s="49" t="s">
        <v>1198</v>
      </c>
      <c r="C229" s="49" t="s">
        <v>304</v>
      </c>
      <c r="D229" s="49" t="s">
        <v>212</v>
      </c>
      <c r="E229" s="49" t="s">
        <v>25</v>
      </c>
      <c r="F229" s="49" t="s">
        <v>1199</v>
      </c>
      <c r="G229" s="49" t="s">
        <v>71</v>
      </c>
      <c r="H229" s="49" t="s">
        <v>31</v>
      </c>
      <c r="I229" s="49" t="s">
        <v>63</v>
      </c>
      <c r="J229" s="49" t="s">
        <v>27</v>
      </c>
      <c r="K229" s="49" t="s">
        <v>239</v>
      </c>
      <c r="L229" s="49" t="s">
        <v>75</v>
      </c>
      <c r="M229" s="50">
        <v>1805</v>
      </c>
      <c r="N229" s="215">
        <v>1.32</v>
      </c>
      <c r="O229" s="49" t="s">
        <v>1063</v>
      </c>
      <c r="P229" s="49" t="s">
        <v>29</v>
      </c>
      <c r="Q229" s="49" t="s">
        <v>1200</v>
      </c>
      <c r="R229" s="49" t="s">
        <v>29</v>
      </c>
      <c r="S229" s="52">
        <v>45824</v>
      </c>
      <c r="T229" s="52">
        <v>45834</v>
      </c>
      <c r="U229" s="19"/>
      <c r="V229" s="53">
        <f>M229-U229-Z229</f>
        <v>0</v>
      </c>
      <c r="W229" s="51" t="s">
        <v>1201</v>
      </c>
      <c r="X229" s="1"/>
      <c r="Y229" s="340"/>
      <c r="Z229" s="220">
        <v>1805</v>
      </c>
      <c r="AA229" s="221">
        <v>45820</v>
      </c>
      <c r="BG229" s="29"/>
      <c r="BH229" s="29"/>
      <c r="BI229" s="29"/>
      <c r="BJ229" s="29"/>
      <c r="BK229" s="29"/>
      <c r="BL229" s="29"/>
      <c r="BM229" s="29"/>
      <c r="BN229" s="29"/>
      <c r="BO229" s="29"/>
    </row>
    <row r="230" spans="1:67" s="28" customFormat="1" ht="20.25" customHeight="1">
      <c r="A230" s="48">
        <v>45811</v>
      </c>
      <c r="B230" s="49" t="s">
        <v>1198</v>
      </c>
      <c r="C230" s="49" t="s">
        <v>304</v>
      </c>
      <c r="D230" s="49" t="s">
        <v>212</v>
      </c>
      <c r="E230" s="49" t="s">
        <v>25</v>
      </c>
      <c r="F230" s="49" t="s">
        <v>1199</v>
      </c>
      <c r="G230" s="49" t="s">
        <v>71</v>
      </c>
      <c r="H230" s="49" t="s">
        <v>26</v>
      </c>
      <c r="I230" s="49" t="s">
        <v>63</v>
      </c>
      <c r="J230" s="49" t="s">
        <v>27</v>
      </c>
      <c r="K230" s="49" t="s">
        <v>239</v>
      </c>
      <c r="L230" s="49" t="s">
        <v>75</v>
      </c>
      <c r="M230" s="50">
        <v>2140</v>
      </c>
      <c r="N230" s="215">
        <v>1.32</v>
      </c>
      <c r="O230" s="49" t="s">
        <v>1063</v>
      </c>
      <c r="P230" s="49" t="s">
        <v>29</v>
      </c>
      <c r="Q230" s="49" t="s">
        <v>1203</v>
      </c>
      <c r="R230" s="49" t="s">
        <v>29</v>
      </c>
      <c r="S230" s="52">
        <v>45824</v>
      </c>
      <c r="T230" s="52">
        <v>45834</v>
      </c>
      <c r="U230" s="19"/>
      <c r="V230" s="53">
        <f>M230-U230-Z230-AB230</f>
        <v>0</v>
      </c>
      <c r="W230" s="51" t="s">
        <v>1204</v>
      </c>
      <c r="X230" s="1"/>
      <c r="Y230" s="9"/>
      <c r="Z230" s="19">
        <f>1869.5+249</f>
        <v>2118.5</v>
      </c>
      <c r="AA230" s="24">
        <v>45820</v>
      </c>
      <c r="AB230" s="19">
        <v>21.5</v>
      </c>
      <c r="AC230" s="14">
        <v>45852</v>
      </c>
      <c r="BG230" s="29"/>
      <c r="BH230" s="29"/>
      <c r="BI230" s="29"/>
      <c r="BJ230" s="29"/>
      <c r="BK230" s="29"/>
      <c r="BL230" s="29"/>
      <c r="BM230" s="29"/>
      <c r="BN230" s="29"/>
      <c r="BO230" s="29"/>
    </row>
    <row r="231" spans="1:67" s="28" customFormat="1" ht="20.25" customHeight="1">
      <c r="A231" s="48">
        <v>45811</v>
      </c>
      <c r="B231" s="49" t="s">
        <v>1214</v>
      </c>
      <c r="C231" s="49" t="s">
        <v>228</v>
      </c>
      <c r="D231" s="49" t="s">
        <v>212</v>
      </c>
      <c r="E231" s="49" t="s">
        <v>25</v>
      </c>
      <c r="F231" s="49" t="s">
        <v>1215</v>
      </c>
      <c r="G231" s="49" t="s">
        <v>71</v>
      </c>
      <c r="H231" s="49" t="s">
        <v>31</v>
      </c>
      <c r="I231" s="49" t="s">
        <v>63</v>
      </c>
      <c r="J231" s="49" t="s">
        <v>27</v>
      </c>
      <c r="K231" s="49" t="s">
        <v>239</v>
      </c>
      <c r="L231" s="49" t="s">
        <v>75</v>
      </c>
      <c r="M231" s="50">
        <v>2416.14</v>
      </c>
      <c r="N231" s="215">
        <v>1.32</v>
      </c>
      <c r="O231" s="49" t="s">
        <v>1063</v>
      </c>
      <c r="P231" s="49" t="s">
        <v>29</v>
      </c>
      <c r="Q231" s="49" t="s">
        <v>1216</v>
      </c>
      <c r="R231" s="49" t="s">
        <v>1217</v>
      </c>
      <c r="S231" s="52">
        <v>45825</v>
      </c>
      <c r="T231" s="52">
        <v>45834</v>
      </c>
      <c r="U231" s="19"/>
      <c r="V231" s="53">
        <f>M231-U231-Z231-AB231-AD231</f>
        <v>-3.6600000000000819</v>
      </c>
      <c r="W231" s="51" t="s">
        <v>1218</v>
      </c>
      <c r="X231" s="1"/>
      <c r="Y231" s="263"/>
      <c r="Z231" s="82">
        <v>1451.1</v>
      </c>
      <c r="AA231" s="30">
        <v>45828</v>
      </c>
      <c r="AB231" s="104">
        <v>968.7</v>
      </c>
      <c r="AC231" s="85">
        <v>45839</v>
      </c>
      <c r="BG231" s="29"/>
      <c r="BH231" s="29"/>
      <c r="BI231" s="29"/>
      <c r="BJ231" s="29"/>
      <c r="BK231" s="29"/>
      <c r="BL231" s="29"/>
      <c r="BM231" s="29"/>
      <c r="BN231" s="29"/>
      <c r="BO231" s="29"/>
    </row>
    <row r="232" spans="1:67" s="28" customFormat="1" ht="20.25" customHeight="1">
      <c r="A232" s="48">
        <v>45811</v>
      </c>
      <c r="B232" s="49" t="s">
        <v>1224</v>
      </c>
      <c r="C232" s="49" t="s">
        <v>400</v>
      </c>
      <c r="D232" s="49" t="s">
        <v>212</v>
      </c>
      <c r="E232" s="49" t="s">
        <v>25</v>
      </c>
      <c r="F232" s="49" t="s">
        <v>1225</v>
      </c>
      <c r="G232" s="49" t="s">
        <v>71</v>
      </c>
      <c r="H232" s="49" t="s">
        <v>31</v>
      </c>
      <c r="I232" s="49" t="s">
        <v>63</v>
      </c>
      <c r="J232" s="49" t="s">
        <v>27</v>
      </c>
      <c r="K232" s="49" t="s">
        <v>239</v>
      </c>
      <c r="L232" s="49" t="s">
        <v>75</v>
      </c>
      <c r="M232" s="50">
        <v>2023.5</v>
      </c>
      <c r="N232" s="215">
        <v>1.31</v>
      </c>
      <c r="O232" s="49" t="s">
        <v>1063</v>
      </c>
      <c r="P232" s="49" t="s">
        <v>29</v>
      </c>
      <c r="Q232" s="49" t="s">
        <v>1226</v>
      </c>
      <c r="R232" s="49" t="s">
        <v>1227</v>
      </c>
      <c r="S232" s="52">
        <v>45825</v>
      </c>
      <c r="T232" s="52">
        <v>45834</v>
      </c>
      <c r="U232" s="19"/>
      <c r="V232" s="53">
        <f>M232-U232-Z232-AB232-AD232</f>
        <v>-0.59999999999996589</v>
      </c>
      <c r="W232" s="51" t="s">
        <v>1228</v>
      </c>
      <c r="X232" s="1"/>
      <c r="Y232" s="88"/>
      <c r="Z232" s="19">
        <f>313.1+70.2</f>
        <v>383.3</v>
      </c>
      <c r="AA232" s="14">
        <v>45827</v>
      </c>
      <c r="AB232" s="104">
        <f>149.2+1121.8</f>
        <v>1271</v>
      </c>
      <c r="AC232" s="222">
        <v>45848</v>
      </c>
      <c r="AD232" s="104">
        <v>369.8</v>
      </c>
      <c r="AE232" s="252">
        <v>45852</v>
      </c>
      <c r="BG232" s="29"/>
      <c r="BH232" s="29"/>
      <c r="BI232" s="29"/>
      <c r="BJ232" s="29"/>
      <c r="BK232" s="29"/>
      <c r="BL232" s="29"/>
      <c r="BM232" s="29"/>
      <c r="BN232" s="29"/>
      <c r="BO232" s="29"/>
    </row>
    <row r="233" spans="1:67" s="28" customFormat="1" ht="20.25" customHeight="1">
      <c r="A233" s="205">
        <v>45811</v>
      </c>
      <c r="B233" s="206" t="s">
        <v>1219</v>
      </c>
      <c r="C233" s="206" t="s">
        <v>400</v>
      </c>
      <c r="D233" s="206" t="s">
        <v>212</v>
      </c>
      <c r="E233" s="206" t="s">
        <v>25</v>
      </c>
      <c r="F233" s="206" t="s">
        <v>1220</v>
      </c>
      <c r="G233" s="206" t="s">
        <v>71</v>
      </c>
      <c r="H233" s="206" t="s">
        <v>31</v>
      </c>
      <c r="I233" s="206" t="s">
        <v>63</v>
      </c>
      <c r="J233" s="206" t="s">
        <v>27</v>
      </c>
      <c r="K233" s="206" t="s">
        <v>1116</v>
      </c>
      <c r="L233" s="206" t="s">
        <v>75</v>
      </c>
      <c r="M233" s="207">
        <v>83526.740000000005</v>
      </c>
      <c r="N233" s="225">
        <v>1.31</v>
      </c>
      <c r="O233" s="206" t="s">
        <v>1063</v>
      </c>
      <c r="P233" s="206" t="s">
        <v>29</v>
      </c>
      <c r="Q233" s="206" t="s">
        <v>1221</v>
      </c>
      <c r="R233" s="206" t="s">
        <v>1222</v>
      </c>
      <c r="S233" s="224">
        <v>45832</v>
      </c>
      <c r="T233" s="224">
        <v>45834</v>
      </c>
      <c r="U233" s="19"/>
      <c r="V233" s="55">
        <f>M233-Z233-AB233-AD233-AF233-AH233-AJ233-AL233-AN233-AP233-AR233-AT233-AV233-AX233-AZ233-BB233-BD233-BF233-BH233-U233-BJ233-BL233-BN233-BP233-BR233</f>
        <v>-0.75999999998657586</v>
      </c>
      <c r="W233" s="209" t="s">
        <v>1223</v>
      </c>
      <c r="X233" s="1"/>
      <c r="Y233" s="10"/>
      <c r="Z233" s="19">
        <f>1195.4+208.7+238.2+2155.5+1730.3</f>
        <v>5528.1</v>
      </c>
      <c r="AA233" s="18">
        <v>45827</v>
      </c>
      <c r="AB233" s="104">
        <f>883.3+418.2+1867.1+22.3</f>
        <v>3190.9</v>
      </c>
      <c r="AC233" s="86">
        <v>45831</v>
      </c>
      <c r="AD233" s="104">
        <v>1529.5</v>
      </c>
      <c r="AE233" s="86">
        <v>45833</v>
      </c>
      <c r="AF233" s="104">
        <f>2618.6+23.4</f>
        <v>2642</v>
      </c>
      <c r="AG233" s="86">
        <v>45834</v>
      </c>
      <c r="AH233" s="104">
        <f>1339+447.9+2351.6</f>
        <v>4138.5</v>
      </c>
      <c r="AI233" s="86">
        <v>45840</v>
      </c>
      <c r="AJ233" s="104">
        <f>2304+437.4+1081.8+2093.3+3874.6</f>
        <v>9791.1</v>
      </c>
      <c r="AK233" s="86">
        <v>45842</v>
      </c>
      <c r="AL233" s="104">
        <f>1743.7+1441.9+427.7+1461.1+1253.2+1330.7</f>
        <v>7658.2999999999993</v>
      </c>
      <c r="AM233" s="86">
        <v>45845</v>
      </c>
      <c r="AN233" s="104">
        <f>1520+2278.8</f>
        <v>3798.8</v>
      </c>
      <c r="AO233" s="86">
        <v>45846</v>
      </c>
      <c r="AP233" s="104">
        <f>2216.1+681.2+1849.3</f>
        <v>4746.6000000000004</v>
      </c>
      <c r="AQ233" s="86">
        <v>45847</v>
      </c>
      <c r="AR233" s="104">
        <v>3777.1</v>
      </c>
      <c r="AS233" s="86">
        <v>45848</v>
      </c>
      <c r="AT233" s="104">
        <f>2458.4+2718.2</f>
        <v>5176.6000000000004</v>
      </c>
      <c r="AU233" s="86">
        <v>45849</v>
      </c>
      <c r="AV233" s="104">
        <v>3568.6</v>
      </c>
      <c r="AW233" s="86">
        <v>45849</v>
      </c>
      <c r="AX233" s="104">
        <f>429.8+962</f>
        <v>1391.8</v>
      </c>
      <c r="AY233" s="86">
        <v>45852</v>
      </c>
      <c r="AZ233" s="104">
        <v>1568.3</v>
      </c>
      <c r="BA233" s="86">
        <v>45853</v>
      </c>
      <c r="BB233" s="141">
        <v>3812.4</v>
      </c>
      <c r="BC233" s="86">
        <v>45853</v>
      </c>
      <c r="BD233" s="36">
        <v>2514.9</v>
      </c>
      <c r="BE233" s="123">
        <v>45854</v>
      </c>
      <c r="BF233" s="36">
        <v>988.1</v>
      </c>
      <c r="BG233" s="123">
        <v>45855</v>
      </c>
      <c r="BH233" s="36">
        <v>1293</v>
      </c>
      <c r="BI233" s="123">
        <v>45856</v>
      </c>
      <c r="BJ233" s="104">
        <f>1995.2+1667.8+2943+95.5</f>
        <v>6701.5</v>
      </c>
      <c r="BK233" s="123">
        <v>45859</v>
      </c>
      <c r="BL233" s="36">
        <f>3046.3+1921.8</f>
        <v>4968.1000000000004</v>
      </c>
      <c r="BM233" s="123">
        <v>45860</v>
      </c>
      <c r="BN233" s="104">
        <f>4678.1+65.2</f>
        <v>4743.3</v>
      </c>
      <c r="BO233" s="123">
        <v>45862</v>
      </c>
    </row>
    <row r="234" spans="1:67" s="28" customFormat="1" ht="20.25" customHeight="1">
      <c r="A234" s="205">
        <v>45811</v>
      </c>
      <c r="B234" s="206" t="s">
        <v>1244</v>
      </c>
      <c r="C234" s="206" t="s">
        <v>267</v>
      </c>
      <c r="D234" s="206" t="s">
        <v>212</v>
      </c>
      <c r="E234" s="206" t="s">
        <v>25</v>
      </c>
      <c r="F234" s="206" t="s">
        <v>1245</v>
      </c>
      <c r="G234" s="206" t="s">
        <v>71</v>
      </c>
      <c r="H234" s="206" t="s">
        <v>26</v>
      </c>
      <c r="I234" s="206" t="s">
        <v>63</v>
      </c>
      <c r="J234" s="206" t="s">
        <v>27</v>
      </c>
      <c r="K234" s="206" t="s">
        <v>1248</v>
      </c>
      <c r="L234" s="206" t="s">
        <v>75</v>
      </c>
      <c r="M234" s="207">
        <v>680</v>
      </c>
      <c r="N234" s="225">
        <v>1.32</v>
      </c>
      <c r="O234" s="206" t="s">
        <v>67</v>
      </c>
      <c r="P234" s="206" t="s">
        <v>29</v>
      </c>
      <c r="Q234" s="206" t="s">
        <v>29</v>
      </c>
      <c r="R234" s="206" t="s">
        <v>1249</v>
      </c>
      <c r="S234" s="224">
        <v>45825</v>
      </c>
      <c r="T234" s="224">
        <v>45834</v>
      </c>
      <c r="U234" s="19"/>
      <c r="V234" s="55">
        <f>M234-U234-Z234</f>
        <v>-2.8999999999999773</v>
      </c>
      <c r="W234" s="209" t="s">
        <v>1250</v>
      </c>
      <c r="X234" s="1"/>
      <c r="Y234" s="10"/>
      <c r="Z234" s="19">
        <v>682.9</v>
      </c>
      <c r="AA234" s="18">
        <v>45828</v>
      </c>
      <c r="AB234" s="4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29"/>
      <c r="BH234" s="29"/>
      <c r="BI234" s="29"/>
      <c r="BJ234" s="29"/>
      <c r="BK234" s="29"/>
      <c r="BL234" s="29"/>
      <c r="BM234" s="29"/>
      <c r="BN234" s="29"/>
      <c r="BO234" s="29"/>
    </row>
    <row r="235" spans="1:67" s="36" customFormat="1" ht="20.25" customHeight="1">
      <c r="A235" s="48">
        <v>45811</v>
      </c>
      <c r="B235" s="49" t="s">
        <v>1229</v>
      </c>
      <c r="C235" s="49" t="s">
        <v>228</v>
      </c>
      <c r="D235" s="49" t="s">
        <v>212</v>
      </c>
      <c r="E235" s="49" t="s">
        <v>25</v>
      </c>
      <c r="F235" s="49" t="s">
        <v>1230</v>
      </c>
      <c r="G235" s="49" t="s">
        <v>71</v>
      </c>
      <c r="H235" s="49" t="s">
        <v>31</v>
      </c>
      <c r="I235" s="49" t="s">
        <v>63</v>
      </c>
      <c r="J235" s="49" t="s">
        <v>27</v>
      </c>
      <c r="K235" s="49" t="s">
        <v>1048</v>
      </c>
      <c r="L235" s="49" t="s">
        <v>75</v>
      </c>
      <c r="M235" s="50">
        <v>23729.29</v>
      </c>
      <c r="N235" s="215">
        <v>1.32</v>
      </c>
      <c r="O235" s="49" t="s">
        <v>67</v>
      </c>
      <c r="P235" s="49" t="s">
        <v>29</v>
      </c>
      <c r="Q235" s="49" t="s">
        <v>470</v>
      </c>
      <c r="R235" s="49" t="s">
        <v>1231</v>
      </c>
      <c r="S235" s="52">
        <v>45832</v>
      </c>
      <c r="T235" s="52">
        <v>45834</v>
      </c>
      <c r="U235" s="19"/>
      <c r="V235" s="53">
        <f>M235-U235-Z235-AB235-AD235</f>
        <v>-3.8100000000008549</v>
      </c>
      <c r="W235" s="51" t="s">
        <v>1232</v>
      </c>
      <c r="X235" s="1"/>
      <c r="Y235" s="88"/>
      <c r="Z235" s="19">
        <f>807.5+3015.8+525.1+3901+3473.4+74.8+1851.4+1921.1+3495.3</f>
        <v>19065.400000000001</v>
      </c>
      <c r="AA235" s="24">
        <v>45828</v>
      </c>
      <c r="AB235" s="104">
        <f>2057.4+349.4+132.9+732.5</f>
        <v>3272.2000000000003</v>
      </c>
      <c r="AC235" s="85">
        <v>45834</v>
      </c>
      <c r="AD235" s="104">
        <v>1395.5</v>
      </c>
      <c r="AE235" s="222">
        <v>45849</v>
      </c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9"/>
      <c r="BH235" s="29"/>
      <c r="BI235" s="29"/>
      <c r="BJ235" s="29"/>
      <c r="BK235" s="29"/>
      <c r="BL235" s="29"/>
      <c r="BM235" s="29"/>
      <c r="BN235" s="29"/>
      <c r="BO235" s="29"/>
    </row>
    <row r="236" spans="1:67" s="28" customFormat="1" ht="20.25" customHeight="1">
      <c r="A236" s="48">
        <v>45811</v>
      </c>
      <c r="B236" s="49" t="s">
        <v>1261</v>
      </c>
      <c r="C236" s="49" t="s">
        <v>228</v>
      </c>
      <c r="D236" s="49" t="s">
        <v>212</v>
      </c>
      <c r="E236" s="49" t="s">
        <v>25</v>
      </c>
      <c r="F236" s="49" t="s">
        <v>1262</v>
      </c>
      <c r="G236" s="49" t="s">
        <v>71</v>
      </c>
      <c r="H236" s="49" t="s">
        <v>31</v>
      </c>
      <c r="I236" s="49" t="s">
        <v>63</v>
      </c>
      <c r="J236" s="49" t="s">
        <v>27</v>
      </c>
      <c r="K236" s="49" t="s">
        <v>1048</v>
      </c>
      <c r="L236" s="49" t="s">
        <v>75</v>
      </c>
      <c r="M236" s="50">
        <v>787</v>
      </c>
      <c r="N236" s="215">
        <v>0</v>
      </c>
      <c r="O236" s="49" t="s">
        <v>67</v>
      </c>
      <c r="P236" s="49" t="s">
        <v>29</v>
      </c>
      <c r="Q236" s="49" t="s">
        <v>1263</v>
      </c>
      <c r="R236" s="49" t="s">
        <v>1264</v>
      </c>
      <c r="S236" s="52">
        <v>45825</v>
      </c>
      <c r="T236" s="52">
        <v>45834</v>
      </c>
      <c r="U236" s="19"/>
      <c r="V236" s="53">
        <f>M236-Z236-AB236-AD236-AF236-AH236-AJ236-AL236-AN236-AP236-AR236-AT236-AV236-AX236-AZ236-BB236-BD236-BF236-BH236-U236</f>
        <v>-1.1000000000000227</v>
      </c>
      <c r="W236" s="51" t="s">
        <v>1265</v>
      </c>
      <c r="X236" s="1" t="s">
        <v>1745</v>
      </c>
      <c r="Y236" s="35"/>
      <c r="Z236" s="80">
        <v>788.1</v>
      </c>
      <c r="AA236" s="359">
        <v>45861</v>
      </c>
      <c r="BG236" s="288"/>
      <c r="BH236" s="288"/>
      <c r="BI236" s="288"/>
      <c r="BJ236" s="288"/>
      <c r="BK236" s="288"/>
      <c r="BL236" s="288"/>
      <c r="BM236" s="288"/>
      <c r="BN236" s="288"/>
      <c r="BO236" s="288"/>
    </row>
    <row r="237" spans="1:67" s="28" customFormat="1" ht="20.25" customHeight="1">
      <c r="A237" s="205">
        <v>45811</v>
      </c>
      <c r="B237" s="206" t="s">
        <v>1244</v>
      </c>
      <c r="C237" s="206" t="s">
        <v>267</v>
      </c>
      <c r="D237" s="206" t="s">
        <v>212</v>
      </c>
      <c r="E237" s="206" t="s">
        <v>25</v>
      </c>
      <c r="F237" s="206" t="s">
        <v>1245</v>
      </c>
      <c r="G237" s="206" t="s">
        <v>71</v>
      </c>
      <c r="H237" s="206" t="s">
        <v>26</v>
      </c>
      <c r="I237" s="206" t="s">
        <v>63</v>
      </c>
      <c r="J237" s="206" t="s">
        <v>27</v>
      </c>
      <c r="K237" s="206" t="s">
        <v>760</v>
      </c>
      <c r="L237" s="206" t="s">
        <v>75</v>
      </c>
      <c r="M237" s="207">
        <v>530</v>
      </c>
      <c r="N237" s="225">
        <v>1.32</v>
      </c>
      <c r="O237" s="206" t="s">
        <v>67</v>
      </c>
      <c r="P237" s="206" t="s">
        <v>29</v>
      </c>
      <c r="Q237" s="206" t="s">
        <v>29</v>
      </c>
      <c r="R237" s="206" t="s">
        <v>1246</v>
      </c>
      <c r="S237" s="224">
        <v>45825</v>
      </c>
      <c r="T237" s="224">
        <v>45834</v>
      </c>
      <c r="U237" s="19"/>
      <c r="V237" s="55">
        <f>M237-U237-Z237</f>
        <v>-0.89999999999997726</v>
      </c>
      <c r="W237" s="209" t="s">
        <v>1247</v>
      </c>
      <c r="X237" s="1"/>
      <c r="Y237" s="341"/>
      <c r="Z237" s="220">
        <v>530.9</v>
      </c>
      <c r="AA237" s="251">
        <v>45828</v>
      </c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211"/>
      <c r="BH237" s="211"/>
      <c r="BI237" s="211"/>
      <c r="BJ237" s="211"/>
      <c r="BK237" s="211"/>
      <c r="BL237" s="211"/>
      <c r="BM237" s="211"/>
      <c r="BN237" s="211"/>
      <c r="BO237" s="211"/>
    </row>
    <row r="238" spans="1:67" s="36" customFormat="1" ht="20.25" customHeight="1">
      <c r="A238" s="205">
        <v>45811</v>
      </c>
      <c r="B238" s="206" t="s">
        <v>1254</v>
      </c>
      <c r="C238" s="206" t="s">
        <v>267</v>
      </c>
      <c r="D238" s="206" t="s">
        <v>212</v>
      </c>
      <c r="E238" s="206" t="s">
        <v>25</v>
      </c>
      <c r="F238" s="206" t="s">
        <v>1255</v>
      </c>
      <c r="G238" s="206" t="s">
        <v>71</v>
      </c>
      <c r="H238" s="206" t="s">
        <v>31</v>
      </c>
      <c r="I238" s="206" t="s">
        <v>63</v>
      </c>
      <c r="J238" s="206" t="s">
        <v>27</v>
      </c>
      <c r="K238" s="206" t="s">
        <v>760</v>
      </c>
      <c r="L238" s="206" t="s">
        <v>75</v>
      </c>
      <c r="M238" s="207">
        <v>5850</v>
      </c>
      <c r="N238" s="225">
        <v>1.32</v>
      </c>
      <c r="O238" s="206" t="s">
        <v>67</v>
      </c>
      <c r="P238" s="206" t="s">
        <v>29</v>
      </c>
      <c r="Q238" s="206" t="s">
        <v>29</v>
      </c>
      <c r="R238" s="206" t="s">
        <v>1256</v>
      </c>
      <c r="S238" s="224">
        <v>45832</v>
      </c>
      <c r="T238" s="224">
        <v>45834</v>
      </c>
      <c r="U238" s="19"/>
      <c r="V238" s="55">
        <f>M238-U238-Z238</f>
        <v>-1.8999999999996362</v>
      </c>
      <c r="W238" s="209" t="s">
        <v>1257</v>
      </c>
      <c r="X238" s="1"/>
      <c r="Y238" s="10"/>
      <c r="Z238" s="19">
        <f>2741.5+3110.4</f>
        <v>5851.9</v>
      </c>
      <c r="AA238" s="18">
        <v>45828</v>
      </c>
      <c r="BG238" s="28"/>
      <c r="BH238" s="28"/>
      <c r="BI238" s="28"/>
      <c r="BJ238" s="28"/>
      <c r="BK238" s="28"/>
      <c r="BL238" s="28"/>
      <c r="BM238" s="28"/>
      <c r="BN238" s="28"/>
      <c r="BO238" s="28"/>
    </row>
    <row r="239" spans="1:67" s="36" customFormat="1" ht="20.25" customHeight="1">
      <c r="A239" s="205">
        <v>45811</v>
      </c>
      <c r="B239" s="206" t="s">
        <v>1233</v>
      </c>
      <c r="C239" s="206" t="s">
        <v>267</v>
      </c>
      <c r="D239" s="206" t="s">
        <v>212</v>
      </c>
      <c r="E239" s="206" t="s">
        <v>25</v>
      </c>
      <c r="F239" s="206" t="s">
        <v>1234</v>
      </c>
      <c r="G239" s="206" t="s">
        <v>71</v>
      </c>
      <c r="H239" s="206" t="s">
        <v>26</v>
      </c>
      <c r="I239" s="206" t="s">
        <v>63</v>
      </c>
      <c r="J239" s="206" t="s">
        <v>27</v>
      </c>
      <c r="K239" s="206" t="s">
        <v>351</v>
      </c>
      <c r="L239" s="206" t="s">
        <v>75</v>
      </c>
      <c r="M239" s="207">
        <v>150</v>
      </c>
      <c r="N239" s="225">
        <v>1.32</v>
      </c>
      <c r="O239" s="206" t="s">
        <v>67</v>
      </c>
      <c r="P239" s="206" t="s">
        <v>29</v>
      </c>
      <c r="Q239" s="206" t="s">
        <v>29</v>
      </c>
      <c r="R239" s="206" t="s">
        <v>1235</v>
      </c>
      <c r="S239" s="224">
        <v>45825</v>
      </c>
      <c r="T239" s="224">
        <v>45834</v>
      </c>
      <c r="U239" s="19"/>
      <c r="V239" s="55">
        <f>M239-U239-Z239</f>
        <v>-9.9999999999994316E-2</v>
      </c>
      <c r="W239" s="209" t="s">
        <v>1236</v>
      </c>
      <c r="X239" s="10"/>
      <c r="Y239" s="10"/>
      <c r="Z239" s="19">
        <v>150.1</v>
      </c>
      <c r="AA239" s="18">
        <v>45828</v>
      </c>
      <c r="BG239" s="28"/>
      <c r="BH239" s="28"/>
      <c r="BI239" s="28"/>
      <c r="BJ239" s="28"/>
      <c r="BK239" s="28"/>
      <c r="BL239" s="28"/>
      <c r="BM239" s="28"/>
      <c r="BN239" s="28"/>
      <c r="BO239" s="28"/>
    </row>
    <row r="240" spans="1:67" s="36" customFormat="1" ht="20.25" customHeight="1">
      <c r="A240" s="48">
        <v>45811</v>
      </c>
      <c r="B240" s="49" t="s">
        <v>1198</v>
      </c>
      <c r="C240" s="49" t="s">
        <v>304</v>
      </c>
      <c r="D240" s="49" t="s">
        <v>212</v>
      </c>
      <c r="E240" s="49" t="s">
        <v>25</v>
      </c>
      <c r="F240" s="49" t="s">
        <v>1199</v>
      </c>
      <c r="G240" s="49" t="s">
        <v>71</v>
      </c>
      <c r="H240" s="49" t="s">
        <v>31</v>
      </c>
      <c r="I240" s="49" t="s">
        <v>63</v>
      </c>
      <c r="J240" s="49" t="s">
        <v>27</v>
      </c>
      <c r="K240" s="49" t="s">
        <v>306</v>
      </c>
      <c r="L240" s="49" t="s">
        <v>75</v>
      </c>
      <c r="M240" s="50">
        <v>850</v>
      </c>
      <c r="N240" s="215">
        <v>1.32</v>
      </c>
      <c r="O240" s="49" t="s">
        <v>67</v>
      </c>
      <c r="P240" s="49" t="s">
        <v>29</v>
      </c>
      <c r="Q240" s="49" t="s">
        <v>507</v>
      </c>
      <c r="R240" s="49" t="s">
        <v>29</v>
      </c>
      <c r="S240" s="52">
        <v>45824</v>
      </c>
      <c r="T240" s="52">
        <v>45834</v>
      </c>
      <c r="U240" s="19"/>
      <c r="V240" s="53">
        <f>M240-U240-Z240</f>
        <v>-4.3999999999999773</v>
      </c>
      <c r="W240" s="51" t="s">
        <v>1202</v>
      </c>
      <c r="X240" s="9"/>
      <c r="Y240" s="9"/>
      <c r="Z240" s="19">
        <v>854.4</v>
      </c>
      <c r="AA240" s="24">
        <v>45820</v>
      </c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</row>
    <row r="241" spans="1:67" s="36" customFormat="1" ht="20.25" customHeight="1">
      <c r="A241" s="48">
        <v>45811</v>
      </c>
      <c r="B241" s="49" t="s">
        <v>1240</v>
      </c>
      <c r="C241" s="49" t="s">
        <v>267</v>
      </c>
      <c r="D241" s="49" t="s">
        <v>212</v>
      </c>
      <c r="E241" s="49" t="s">
        <v>25</v>
      </c>
      <c r="F241" s="49" t="s">
        <v>1241</v>
      </c>
      <c r="G241" s="49" t="s">
        <v>71</v>
      </c>
      <c r="H241" s="49" t="s">
        <v>31</v>
      </c>
      <c r="I241" s="49" t="s">
        <v>63</v>
      </c>
      <c r="J241" s="49" t="s">
        <v>27</v>
      </c>
      <c r="K241" s="49" t="s">
        <v>306</v>
      </c>
      <c r="L241" s="49" t="s">
        <v>75</v>
      </c>
      <c r="M241" s="50">
        <v>1000</v>
      </c>
      <c r="N241" s="215">
        <v>1.32</v>
      </c>
      <c r="O241" s="49" t="s">
        <v>67</v>
      </c>
      <c r="P241" s="49" t="s">
        <v>29</v>
      </c>
      <c r="Q241" s="49" t="s">
        <v>29</v>
      </c>
      <c r="R241" s="49" t="s">
        <v>1242</v>
      </c>
      <c r="S241" s="52">
        <v>45825</v>
      </c>
      <c r="T241" s="52">
        <v>45834</v>
      </c>
      <c r="U241" s="19"/>
      <c r="V241" s="53">
        <f>M241-U241-Z241</f>
        <v>-0.10000000000002274</v>
      </c>
      <c r="W241" s="51" t="s">
        <v>1243</v>
      </c>
      <c r="X241" s="21" t="s">
        <v>1319</v>
      </c>
      <c r="Y241" s="21"/>
      <c r="Z241" s="19">
        <v>1000.1</v>
      </c>
      <c r="AA241" s="227">
        <v>45820</v>
      </c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</row>
    <row r="242" spans="1:67" s="28" customFormat="1" ht="19.5" customHeight="1">
      <c r="A242" s="48">
        <v>45811</v>
      </c>
      <c r="B242" s="49" t="s">
        <v>1258</v>
      </c>
      <c r="C242" s="49" t="s">
        <v>267</v>
      </c>
      <c r="D242" s="49" t="s">
        <v>212</v>
      </c>
      <c r="E242" s="49" t="s">
        <v>25</v>
      </c>
      <c r="F242" s="49" t="s">
        <v>1259</v>
      </c>
      <c r="G242" s="49" t="s">
        <v>71</v>
      </c>
      <c r="H242" s="49" t="s">
        <v>31</v>
      </c>
      <c r="I242" s="49" t="s">
        <v>63</v>
      </c>
      <c r="J242" s="49" t="s">
        <v>27</v>
      </c>
      <c r="K242" s="49" t="s">
        <v>345</v>
      </c>
      <c r="L242" s="49" t="s">
        <v>75</v>
      </c>
      <c r="M242" s="50">
        <v>13500</v>
      </c>
      <c r="N242" s="215">
        <v>1.29</v>
      </c>
      <c r="O242" s="49" t="s">
        <v>67</v>
      </c>
      <c r="P242" s="49" t="s">
        <v>29</v>
      </c>
      <c r="Q242" s="49" t="s">
        <v>29</v>
      </c>
      <c r="R242" s="49" t="s">
        <v>1242</v>
      </c>
      <c r="S242" s="52">
        <v>45825</v>
      </c>
      <c r="T242" s="52">
        <v>45834</v>
      </c>
      <c r="U242" s="19"/>
      <c r="V242" s="55">
        <f>M242-U242-Z242</f>
        <v>-4.1000000000021828</v>
      </c>
      <c r="W242" s="51" t="s">
        <v>1260</v>
      </c>
      <c r="X242" s="9"/>
      <c r="Y242" s="340"/>
      <c r="Z242" s="356">
        <f>1451.2+1757.1+5573.1+4722.7</f>
        <v>13504.100000000002</v>
      </c>
      <c r="AA242" s="366">
        <v>45828</v>
      </c>
    </row>
    <row r="243" spans="1:67" s="28" customFormat="1" ht="20.25" customHeight="1">
      <c r="A243" s="48">
        <v>45811</v>
      </c>
      <c r="B243" s="49" t="s">
        <v>1237</v>
      </c>
      <c r="C243" s="49" t="s">
        <v>267</v>
      </c>
      <c r="D243" s="49" t="s">
        <v>212</v>
      </c>
      <c r="E243" s="49" t="s">
        <v>25</v>
      </c>
      <c r="F243" s="49" t="s">
        <v>1238</v>
      </c>
      <c r="G243" s="49" t="s">
        <v>71</v>
      </c>
      <c r="H243" s="49" t="s">
        <v>31</v>
      </c>
      <c r="I243" s="49" t="s">
        <v>63</v>
      </c>
      <c r="J243" s="49" t="s">
        <v>27</v>
      </c>
      <c r="K243" s="49" t="s">
        <v>250</v>
      </c>
      <c r="L243" s="49" t="s">
        <v>75</v>
      </c>
      <c r="M243" s="50">
        <v>150</v>
      </c>
      <c r="N243" s="215">
        <v>1.32</v>
      </c>
      <c r="O243" s="49" t="s">
        <v>67</v>
      </c>
      <c r="P243" s="49" t="s">
        <v>29</v>
      </c>
      <c r="Q243" s="49" t="s">
        <v>29</v>
      </c>
      <c r="R243" s="49" t="s">
        <v>1207</v>
      </c>
      <c r="S243" s="52">
        <v>45825</v>
      </c>
      <c r="T243" s="52">
        <v>45834</v>
      </c>
      <c r="U243" s="19"/>
      <c r="V243" s="53">
        <f>M243-U243-Z243</f>
        <v>-4.1999999999999886</v>
      </c>
      <c r="W243" s="51" t="s">
        <v>1239</v>
      </c>
      <c r="X243" s="21" t="s">
        <v>1319</v>
      </c>
      <c r="Y243" s="21"/>
      <c r="Z243" s="19">
        <v>154.19999999999999</v>
      </c>
      <c r="AA243" s="227">
        <v>45820</v>
      </c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</row>
    <row r="244" spans="1:67" s="29" customFormat="1" ht="20.25" customHeight="1">
      <c r="A244" s="48">
        <v>45811</v>
      </c>
      <c r="B244" s="49" t="s">
        <v>1205</v>
      </c>
      <c r="C244" s="49" t="s">
        <v>304</v>
      </c>
      <c r="D244" s="49" t="s">
        <v>212</v>
      </c>
      <c r="E244" s="49" t="s">
        <v>25</v>
      </c>
      <c r="F244" s="49" t="s">
        <v>1206</v>
      </c>
      <c r="G244" s="49" t="s">
        <v>71</v>
      </c>
      <c r="H244" s="49" t="s">
        <v>31</v>
      </c>
      <c r="I244" s="49" t="s">
        <v>63</v>
      </c>
      <c r="J244" s="49" t="s">
        <v>27</v>
      </c>
      <c r="K244" s="49" t="s">
        <v>613</v>
      </c>
      <c r="L244" s="49" t="s">
        <v>75</v>
      </c>
      <c r="M244" s="50">
        <v>2170</v>
      </c>
      <c r="N244" s="215">
        <v>1.32</v>
      </c>
      <c r="O244" s="49" t="s">
        <v>67</v>
      </c>
      <c r="P244" s="49" t="s">
        <v>29</v>
      </c>
      <c r="Q244" s="49" t="s">
        <v>1207</v>
      </c>
      <c r="R244" s="49" t="s">
        <v>29</v>
      </c>
      <c r="S244" s="52">
        <v>45824</v>
      </c>
      <c r="T244" s="52">
        <v>45834</v>
      </c>
      <c r="U244" s="19"/>
      <c r="V244" s="53">
        <f>M244-U244-Z244</f>
        <v>0</v>
      </c>
      <c r="W244" s="51" t="s">
        <v>1208</v>
      </c>
      <c r="X244" s="21" t="s">
        <v>1319</v>
      </c>
      <c r="Y244" s="35"/>
      <c r="Z244" s="80">
        <v>2170</v>
      </c>
      <c r="AA244" s="31">
        <v>45820</v>
      </c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</row>
    <row r="245" spans="1:67" s="29" customFormat="1" ht="20.25" customHeight="1">
      <c r="A245" s="11">
        <v>45812</v>
      </c>
      <c r="B245" s="16" t="s">
        <v>1282</v>
      </c>
      <c r="C245" s="16" t="s">
        <v>243</v>
      </c>
      <c r="D245" s="16" t="s">
        <v>212</v>
      </c>
      <c r="E245" s="16" t="s">
        <v>25</v>
      </c>
      <c r="F245" s="16" t="s">
        <v>1283</v>
      </c>
      <c r="G245" s="16" t="s">
        <v>71</v>
      </c>
      <c r="H245" s="16" t="s">
        <v>31</v>
      </c>
      <c r="I245" s="16" t="s">
        <v>63</v>
      </c>
      <c r="J245" s="16" t="s">
        <v>27</v>
      </c>
      <c r="K245" s="16" t="s">
        <v>919</v>
      </c>
      <c r="L245" s="16" t="s">
        <v>75</v>
      </c>
      <c r="M245" s="17">
        <v>300</v>
      </c>
      <c r="N245" s="23">
        <v>1.31</v>
      </c>
      <c r="O245" s="16" t="s">
        <v>67</v>
      </c>
      <c r="P245" s="16" t="s">
        <v>29</v>
      </c>
      <c r="Q245" s="16" t="s">
        <v>920</v>
      </c>
      <c r="R245" s="16" t="s">
        <v>921</v>
      </c>
      <c r="S245" s="52">
        <v>45826</v>
      </c>
      <c r="T245" s="13">
        <v>45834</v>
      </c>
      <c r="U245" s="19"/>
      <c r="V245" s="53">
        <f>M245-U245-Z245-AB245-AD245-AF245</f>
        <v>-0.89999999999997726</v>
      </c>
      <c r="W245" s="22" t="s">
        <v>1284</v>
      </c>
      <c r="X245" s="210"/>
      <c r="Y245" s="210"/>
      <c r="Z245" s="19">
        <v>300.89999999999998</v>
      </c>
      <c r="AA245" s="24">
        <v>45833</v>
      </c>
      <c r="AB245" s="211"/>
      <c r="AC245" s="211"/>
      <c r="AD245" s="211"/>
      <c r="AE245" s="211"/>
      <c r="AG245" s="211"/>
      <c r="AH245" s="211"/>
      <c r="AI245" s="211"/>
      <c r="AJ245" s="211"/>
      <c r="AK245" s="211"/>
      <c r="AL245" s="211"/>
      <c r="AM245" s="211"/>
      <c r="AN245" s="211"/>
      <c r="AO245" s="211"/>
      <c r="AP245" s="211"/>
      <c r="AQ245" s="211"/>
      <c r="AR245" s="211"/>
      <c r="AS245" s="211"/>
      <c r="AT245" s="211"/>
      <c r="AU245" s="211"/>
      <c r="AV245" s="211"/>
      <c r="AW245" s="211"/>
      <c r="AX245" s="211"/>
      <c r="AY245" s="211"/>
      <c r="AZ245" s="211"/>
      <c r="BA245" s="211"/>
      <c r="BB245" s="211"/>
      <c r="BC245" s="211"/>
      <c r="BD245" s="211"/>
      <c r="BE245" s="211"/>
      <c r="BF245" s="211"/>
    </row>
    <row r="246" spans="1:67" s="211" customFormat="1" ht="20.25" customHeight="1">
      <c r="A246" s="11">
        <v>45812</v>
      </c>
      <c r="B246" s="16" t="s">
        <v>1279</v>
      </c>
      <c r="C246" s="16" t="s">
        <v>315</v>
      </c>
      <c r="D246" s="16" t="s">
        <v>212</v>
      </c>
      <c r="E246" s="16" t="s">
        <v>25</v>
      </c>
      <c r="F246" s="16" t="s">
        <v>1280</v>
      </c>
      <c r="G246" s="16" t="s">
        <v>71</v>
      </c>
      <c r="H246" s="16" t="s">
        <v>26</v>
      </c>
      <c r="I246" s="16" t="s">
        <v>63</v>
      </c>
      <c r="J246" s="16" t="s">
        <v>27</v>
      </c>
      <c r="K246" s="16" t="s">
        <v>683</v>
      </c>
      <c r="L246" s="16" t="s">
        <v>75</v>
      </c>
      <c r="M246" s="17">
        <v>4206</v>
      </c>
      <c r="N246" s="23">
        <v>1.31</v>
      </c>
      <c r="O246" s="16" t="s">
        <v>1063</v>
      </c>
      <c r="P246" s="16" t="s">
        <v>29</v>
      </c>
      <c r="Q246" s="16" t="s">
        <v>29</v>
      </c>
      <c r="R246" s="16" t="s">
        <v>29</v>
      </c>
      <c r="S246" s="52">
        <v>45826</v>
      </c>
      <c r="T246" s="13">
        <v>45833</v>
      </c>
      <c r="U246" s="19"/>
      <c r="V246" s="53">
        <f>M246-U246-Z246</f>
        <v>-1.1000000000003638</v>
      </c>
      <c r="W246" s="22" t="s">
        <v>1281</v>
      </c>
      <c r="X246" s="1"/>
      <c r="Y246" s="263"/>
      <c r="Z246" s="82">
        <f>1572+2635.1</f>
        <v>4207.1000000000004</v>
      </c>
      <c r="AA246" s="257">
        <v>45832</v>
      </c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9"/>
      <c r="BH246" s="29"/>
      <c r="BI246" s="29"/>
      <c r="BJ246" s="29"/>
      <c r="BK246" s="29"/>
      <c r="BL246" s="29"/>
      <c r="BM246" s="29"/>
      <c r="BN246" s="29"/>
      <c r="BO246" s="29"/>
    </row>
    <row r="247" spans="1:67" s="211" customFormat="1" ht="20.25" customHeight="1">
      <c r="A247" s="11">
        <v>45812</v>
      </c>
      <c r="B247" s="16" t="s">
        <v>1285</v>
      </c>
      <c r="C247" s="16" t="s">
        <v>243</v>
      </c>
      <c r="D247" s="16" t="s">
        <v>212</v>
      </c>
      <c r="E247" s="16" t="s">
        <v>25</v>
      </c>
      <c r="F247" s="16" t="s">
        <v>1322</v>
      </c>
      <c r="G247" s="16" t="s">
        <v>71</v>
      </c>
      <c r="H247" s="16" t="s">
        <v>31</v>
      </c>
      <c r="I247" s="16" t="s">
        <v>63</v>
      </c>
      <c r="J247" s="16" t="s">
        <v>27</v>
      </c>
      <c r="K247" s="16" t="s">
        <v>292</v>
      </c>
      <c r="L247" s="16" t="s">
        <v>75</v>
      </c>
      <c r="M247" s="17">
        <v>316.10000000000002</v>
      </c>
      <c r="N247" s="23">
        <v>1.31</v>
      </c>
      <c r="O247" s="16" t="s">
        <v>67</v>
      </c>
      <c r="P247" s="16" t="s">
        <v>29</v>
      </c>
      <c r="Q247" s="16" t="s">
        <v>1286</v>
      </c>
      <c r="R247" s="16" t="s">
        <v>29</v>
      </c>
      <c r="S247" s="52">
        <v>45826</v>
      </c>
      <c r="T247" s="13">
        <v>45834</v>
      </c>
      <c r="U247" s="19"/>
      <c r="V247" s="53">
        <f>M247-U247-Z247</f>
        <v>-1.7999999999999545</v>
      </c>
      <c r="W247" s="22" t="s">
        <v>1287</v>
      </c>
      <c r="X247" s="1"/>
      <c r="Y247" s="88"/>
      <c r="Z247" s="19">
        <v>317.89999999999998</v>
      </c>
      <c r="AA247" s="14">
        <v>45827</v>
      </c>
      <c r="AB247" s="88"/>
      <c r="AC247" s="8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9"/>
      <c r="BH247" s="29"/>
      <c r="BI247" s="29"/>
      <c r="BJ247" s="29"/>
      <c r="BK247" s="29"/>
      <c r="BL247" s="29"/>
      <c r="BM247" s="29"/>
      <c r="BN247" s="29"/>
      <c r="BO247" s="29"/>
    </row>
    <row r="248" spans="1:67" s="28" customFormat="1" ht="20.25" customHeight="1">
      <c r="A248" s="11">
        <v>45812</v>
      </c>
      <c r="B248" s="16" t="s">
        <v>1288</v>
      </c>
      <c r="C248" s="16" t="s">
        <v>243</v>
      </c>
      <c r="D248" s="16" t="s">
        <v>212</v>
      </c>
      <c r="E248" s="16" t="s">
        <v>25</v>
      </c>
      <c r="F248" s="16" t="s">
        <v>1323</v>
      </c>
      <c r="G248" s="16" t="s">
        <v>1714</v>
      </c>
      <c r="H248" s="16" t="s">
        <v>31</v>
      </c>
      <c r="I248" s="16" t="s">
        <v>63</v>
      </c>
      <c r="J248" s="16" t="s">
        <v>27</v>
      </c>
      <c r="K248" s="16" t="s">
        <v>292</v>
      </c>
      <c r="L248" s="16" t="s">
        <v>75</v>
      </c>
      <c r="M248" s="17">
        <v>1600.8</v>
      </c>
      <c r="N248" s="23">
        <v>1.31</v>
      </c>
      <c r="O248" s="16" t="s">
        <v>67</v>
      </c>
      <c r="P248" s="16" t="s">
        <v>29</v>
      </c>
      <c r="Q248" s="16" t="s">
        <v>29</v>
      </c>
      <c r="R248" s="16" t="s">
        <v>1289</v>
      </c>
      <c r="S248" s="52">
        <v>45826</v>
      </c>
      <c r="T248" s="13">
        <v>45834</v>
      </c>
      <c r="U248" s="19"/>
      <c r="V248" s="53">
        <f>M248-U248-Z248</f>
        <v>-1.2999999999999545</v>
      </c>
      <c r="W248" s="22" t="s">
        <v>1290</v>
      </c>
      <c r="X248" s="1"/>
      <c r="Y248" s="223"/>
      <c r="Z248" s="80">
        <f>1337.1+265</f>
        <v>1602.1</v>
      </c>
      <c r="AA248" s="32">
        <v>45827</v>
      </c>
      <c r="BG248" s="29"/>
      <c r="BH248" s="29"/>
      <c r="BI248" s="29"/>
      <c r="BJ248" s="29"/>
      <c r="BK248" s="29"/>
      <c r="BL248" s="29"/>
      <c r="BM248" s="29"/>
      <c r="BN248" s="29"/>
      <c r="BO248" s="29"/>
    </row>
    <row r="249" spans="1:67" s="28" customFormat="1" ht="20.25" customHeight="1">
      <c r="A249" s="7">
        <v>45812</v>
      </c>
      <c r="B249" s="19" t="s">
        <v>1291</v>
      </c>
      <c r="C249" s="19" t="s">
        <v>243</v>
      </c>
      <c r="D249" s="19" t="s">
        <v>212</v>
      </c>
      <c r="E249" s="19" t="s">
        <v>25</v>
      </c>
      <c r="F249" s="19" t="s">
        <v>1324</v>
      </c>
      <c r="G249" s="19" t="s">
        <v>71</v>
      </c>
      <c r="H249" s="19" t="s">
        <v>31</v>
      </c>
      <c r="I249" s="19" t="s">
        <v>63</v>
      </c>
      <c r="J249" s="19" t="s">
        <v>27</v>
      </c>
      <c r="K249" s="19" t="s">
        <v>292</v>
      </c>
      <c r="L249" s="19" t="s">
        <v>35</v>
      </c>
      <c r="M249" s="20">
        <v>4324.7</v>
      </c>
      <c r="N249" s="25">
        <v>1.31</v>
      </c>
      <c r="O249" s="19" t="s">
        <v>67</v>
      </c>
      <c r="P249" s="19" t="s">
        <v>29</v>
      </c>
      <c r="Q249" s="19" t="s">
        <v>29</v>
      </c>
      <c r="R249" s="19" t="s">
        <v>1292</v>
      </c>
      <c r="S249" s="224">
        <v>45826</v>
      </c>
      <c r="T249" s="8">
        <v>45834</v>
      </c>
      <c r="U249" s="19"/>
      <c r="V249" s="53">
        <f>M249-Z249-AB249-AD249-AF249-AH249-AJ249-AL249-AN249-AP249-AR249-AT249-AV249-AX249-AZ249-BB249-BD249-BF249-BH249-U249</f>
        <v>-7.0000000000003695</v>
      </c>
      <c r="W249" s="15" t="s">
        <v>1293</v>
      </c>
      <c r="X249" s="1"/>
      <c r="Y249" s="350"/>
      <c r="Z249" s="220">
        <v>2553.6</v>
      </c>
      <c r="AA249" s="251">
        <v>45827</v>
      </c>
      <c r="AB249" s="104">
        <f>710.2+791.6+179.4</f>
        <v>1681.2000000000003</v>
      </c>
      <c r="AC249" s="86">
        <v>45833</v>
      </c>
      <c r="AD249" s="104">
        <v>96.9</v>
      </c>
      <c r="AE249" s="123">
        <v>45862</v>
      </c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29"/>
      <c r="BH249" s="29"/>
      <c r="BI249" s="29"/>
      <c r="BJ249" s="29"/>
      <c r="BK249" s="29"/>
      <c r="BL249" s="29"/>
      <c r="BM249" s="29"/>
      <c r="BN249" s="29"/>
      <c r="BO249" s="29"/>
    </row>
    <row r="250" spans="1:67" s="36" customFormat="1" ht="20.25" customHeight="1">
      <c r="A250" s="7">
        <v>45812</v>
      </c>
      <c r="B250" s="19" t="s">
        <v>1270</v>
      </c>
      <c r="C250" s="19" t="s">
        <v>228</v>
      </c>
      <c r="D250" s="19" t="s">
        <v>212</v>
      </c>
      <c r="E250" s="19" t="s">
        <v>25</v>
      </c>
      <c r="F250" s="19" t="s">
        <v>1271</v>
      </c>
      <c r="G250" s="19" t="s">
        <v>71</v>
      </c>
      <c r="H250" s="19" t="s">
        <v>31</v>
      </c>
      <c r="I250" s="19" t="s">
        <v>63</v>
      </c>
      <c r="J250" s="19" t="s">
        <v>27</v>
      </c>
      <c r="K250" s="19" t="s">
        <v>1048</v>
      </c>
      <c r="L250" s="19" t="s">
        <v>75</v>
      </c>
      <c r="M250" s="20">
        <v>2869.11</v>
      </c>
      <c r="N250" s="25">
        <v>1.31</v>
      </c>
      <c r="O250" s="19" t="s">
        <v>67</v>
      </c>
      <c r="P250" s="19" t="s">
        <v>29</v>
      </c>
      <c r="Q250" s="19" t="s">
        <v>474</v>
      </c>
      <c r="R250" s="19" t="s">
        <v>475</v>
      </c>
      <c r="S250" s="224">
        <v>45826</v>
      </c>
      <c r="T250" s="8">
        <v>45834</v>
      </c>
      <c r="U250" s="19"/>
      <c r="V250" s="55">
        <f>M250-Z250-AB250-AD250-AF250-AH250-AJ250-AL250-AN250-AP250-AR250-AT250-AV250-AX250-AZ250-BB250-BD250-BF250-BH250-U250</f>
        <v>-0.78999999999973625</v>
      </c>
      <c r="W250" s="15" t="s">
        <v>1273</v>
      </c>
      <c r="X250" s="19" t="s">
        <v>1745</v>
      </c>
      <c r="Y250" s="10"/>
      <c r="Z250" s="19">
        <v>987.6</v>
      </c>
      <c r="AA250" s="18">
        <v>45849</v>
      </c>
      <c r="AB250" s="104">
        <v>559.70000000000005</v>
      </c>
      <c r="AC250" s="86">
        <v>45861</v>
      </c>
      <c r="AD250" s="104">
        <f>443.4+879.2</f>
        <v>1322.6</v>
      </c>
      <c r="AE250" s="86">
        <v>45870</v>
      </c>
    </row>
    <row r="251" spans="1:67" s="36" customFormat="1" ht="20.25" customHeight="1">
      <c r="A251" s="7">
        <v>45812</v>
      </c>
      <c r="B251" s="19" t="s">
        <v>1274</v>
      </c>
      <c r="C251" s="19" t="s">
        <v>267</v>
      </c>
      <c r="D251" s="19" t="s">
        <v>212</v>
      </c>
      <c r="E251" s="19" t="s">
        <v>25</v>
      </c>
      <c r="F251" s="19" t="s">
        <v>1275</v>
      </c>
      <c r="G251" s="19" t="s">
        <v>71</v>
      </c>
      <c r="H251" s="19" t="s">
        <v>31</v>
      </c>
      <c r="I251" s="19" t="s">
        <v>63</v>
      </c>
      <c r="J251" s="19" t="s">
        <v>27</v>
      </c>
      <c r="K251" s="19" t="s">
        <v>1276</v>
      </c>
      <c r="L251" s="19" t="s">
        <v>75</v>
      </c>
      <c r="M251" s="20">
        <v>5000</v>
      </c>
      <c r="N251" s="25">
        <v>1.31</v>
      </c>
      <c r="O251" s="19" t="s">
        <v>67</v>
      </c>
      <c r="P251" s="19" t="s">
        <v>29</v>
      </c>
      <c r="Q251" s="19" t="s">
        <v>29</v>
      </c>
      <c r="R251" s="19" t="s">
        <v>1277</v>
      </c>
      <c r="S251" s="224">
        <v>45826</v>
      </c>
      <c r="T251" s="8">
        <v>45834</v>
      </c>
      <c r="U251" s="19"/>
      <c r="V251" s="55">
        <f>M251-Z251-AB251-AD251-AF251-AH251-AJ251-AL251-AN251-AP251-AR251-AT251-AV251-AX251-AZ251-BB251-BD251-BF251-BH251-U251</f>
        <v>-0.19999999999973284</v>
      </c>
      <c r="W251" s="15" t="s">
        <v>1278</v>
      </c>
      <c r="X251" s="19"/>
      <c r="Y251" s="316" t="s">
        <v>1743</v>
      </c>
      <c r="Z251" s="19">
        <f>2252.2+1771</f>
        <v>4023.2</v>
      </c>
      <c r="AA251" s="18">
        <v>45852</v>
      </c>
      <c r="AB251" s="104">
        <v>295.3</v>
      </c>
      <c r="AC251" s="123">
        <v>45860</v>
      </c>
      <c r="AD251" s="104">
        <v>571.79999999999995</v>
      </c>
      <c r="AE251" s="123">
        <v>45866</v>
      </c>
      <c r="AF251" s="104">
        <v>109.9</v>
      </c>
      <c r="AG251" s="123">
        <v>45870</v>
      </c>
    </row>
    <row r="252" spans="1:67" s="36" customFormat="1" ht="20.25" customHeight="1">
      <c r="A252" s="7">
        <v>45812</v>
      </c>
      <c r="B252" s="19" t="s">
        <v>1298</v>
      </c>
      <c r="C252" s="19" t="s">
        <v>243</v>
      </c>
      <c r="D252" s="19" t="s">
        <v>212</v>
      </c>
      <c r="E252" s="19" t="s">
        <v>25</v>
      </c>
      <c r="F252" s="19" t="s">
        <v>1326</v>
      </c>
      <c r="G252" s="19" t="s">
        <v>71</v>
      </c>
      <c r="H252" s="19" t="s">
        <v>31</v>
      </c>
      <c r="I252" s="19" t="s">
        <v>63</v>
      </c>
      <c r="J252" s="19" t="s">
        <v>27</v>
      </c>
      <c r="K252" s="19" t="s">
        <v>1299</v>
      </c>
      <c r="L252" s="19" t="s">
        <v>75</v>
      </c>
      <c r="M252" s="20">
        <v>814.3</v>
      </c>
      <c r="N252" s="25">
        <v>1.31</v>
      </c>
      <c r="O252" s="19" t="s">
        <v>67</v>
      </c>
      <c r="P252" s="19" t="s">
        <v>29</v>
      </c>
      <c r="Q252" s="19" t="s">
        <v>29</v>
      </c>
      <c r="R252" s="19" t="s">
        <v>1300</v>
      </c>
      <c r="S252" s="224">
        <v>45826</v>
      </c>
      <c r="T252" s="8">
        <v>45834</v>
      </c>
      <c r="U252" s="19"/>
      <c r="V252" s="55">
        <f>M252-U252-Z252</f>
        <v>0</v>
      </c>
      <c r="W252" s="15" t="s">
        <v>1301</v>
      </c>
      <c r="X252" s="143"/>
      <c r="Y252" s="143"/>
      <c r="Z252" s="19">
        <v>814.3</v>
      </c>
      <c r="AA252" s="18">
        <v>45827</v>
      </c>
      <c r="AB252" s="142"/>
      <c r="AC252" s="142"/>
    </row>
    <row r="253" spans="1:67" s="28" customFormat="1" ht="20.25" customHeight="1">
      <c r="A253" s="7">
        <v>45812</v>
      </c>
      <c r="B253" s="19" t="s">
        <v>1296</v>
      </c>
      <c r="C253" s="19" t="s">
        <v>243</v>
      </c>
      <c r="D253" s="19" t="s">
        <v>212</v>
      </c>
      <c r="E253" s="19" t="s">
        <v>25</v>
      </c>
      <c r="F253" s="19" t="s">
        <v>1325</v>
      </c>
      <c r="G253" s="19" t="s">
        <v>1714</v>
      </c>
      <c r="H253" s="19" t="s">
        <v>31</v>
      </c>
      <c r="I253" s="19" t="s">
        <v>63</v>
      </c>
      <c r="J253" s="19" t="s">
        <v>27</v>
      </c>
      <c r="K253" s="19" t="s">
        <v>632</v>
      </c>
      <c r="L253" s="19" t="s">
        <v>75</v>
      </c>
      <c r="M253" s="20">
        <v>1226.8</v>
      </c>
      <c r="N253" s="25">
        <v>1.31</v>
      </c>
      <c r="O253" s="19" t="s">
        <v>67</v>
      </c>
      <c r="P253" s="19" t="s">
        <v>29</v>
      </c>
      <c r="Q253" s="19" t="s">
        <v>29</v>
      </c>
      <c r="R253" s="19" t="s">
        <v>1295</v>
      </c>
      <c r="S253" s="224">
        <v>45826</v>
      </c>
      <c r="T253" s="8">
        <v>45834</v>
      </c>
      <c r="U253" s="19"/>
      <c r="V253" s="55">
        <f>M253-U253-Z253-AB253-AD253</f>
        <v>-0.29999999999999716</v>
      </c>
      <c r="W253" s="15" t="s">
        <v>1297</v>
      </c>
      <c r="X253" s="143"/>
      <c r="Y253" s="347"/>
      <c r="Z253" s="82">
        <v>470.8</v>
      </c>
      <c r="AA253" s="265">
        <v>45827</v>
      </c>
      <c r="AB253" s="104">
        <v>648.5</v>
      </c>
      <c r="AC253" s="317">
        <v>45840</v>
      </c>
      <c r="AD253" s="104">
        <v>107.8</v>
      </c>
      <c r="AE253" s="86">
        <v>45846</v>
      </c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</row>
    <row r="254" spans="1:67" s="28" customFormat="1" ht="20.25" customHeight="1">
      <c r="A254" s="7">
        <v>45812</v>
      </c>
      <c r="B254" s="19" t="s">
        <v>1294</v>
      </c>
      <c r="C254" s="19" t="s">
        <v>243</v>
      </c>
      <c r="D254" s="19" t="s">
        <v>212</v>
      </c>
      <c r="E254" s="19" t="s">
        <v>25</v>
      </c>
      <c r="F254" s="19" t="s">
        <v>1327</v>
      </c>
      <c r="G254" s="19" t="s">
        <v>1714</v>
      </c>
      <c r="H254" s="19" t="s">
        <v>31</v>
      </c>
      <c r="I254" s="19" t="s">
        <v>63</v>
      </c>
      <c r="J254" s="19" t="s">
        <v>27</v>
      </c>
      <c r="K254" s="19" t="s">
        <v>1328</v>
      </c>
      <c r="L254" s="19" t="s">
        <v>75</v>
      </c>
      <c r="M254" s="20">
        <v>919.6</v>
      </c>
      <c r="N254" s="25">
        <v>1.31</v>
      </c>
      <c r="O254" s="19" t="s">
        <v>67</v>
      </c>
      <c r="P254" s="19" t="s">
        <v>29</v>
      </c>
      <c r="Q254" s="19" t="s">
        <v>29</v>
      </c>
      <c r="R254" s="19" t="s">
        <v>1295</v>
      </c>
      <c r="S254" s="224">
        <v>45826</v>
      </c>
      <c r="T254" s="8">
        <v>45834</v>
      </c>
      <c r="U254" s="19"/>
      <c r="V254" s="55">
        <f>M254-U254-Z254-AB254</f>
        <v>-2.1000000000000227</v>
      </c>
      <c r="W254" s="15" t="s">
        <v>1329</v>
      </c>
      <c r="X254" s="46"/>
      <c r="Y254" s="46"/>
      <c r="Z254" s="19">
        <v>921.7</v>
      </c>
      <c r="AA254" s="18">
        <v>45846</v>
      </c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</row>
    <row r="255" spans="1:67" s="28" customFormat="1" ht="20.25" customHeight="1">
      <c r="A255" s="11">
        <v>45813</v>
      </c>
      <c r="B255" s="16" t="s">
        <v>1330</v>
      </c>
      <c r="C255" s="16" t="s">
        <v>267</v>
      </c>
      <c r="D255" s="16" t="s">
        <v>212</v>
      </c>
      <c r="E255" s="16" t="s">
        <v>34</v>
      </c>
      <c r="F255" s="16" t="s">
        <v>1331</v>
      </c>
      <c r="G255" s="16" t="s">
        <v>71</v>
      </c>
      <c r="H255" s="16" t="s">
        <v>26</v>
      </c>
      <c r="I255" s="16" t="s">
        <v>63</v>
      </c>
      <c r="J255" s="16" t="s">
        <v>27</v>
      </c>
      <c r="K255" s="16" t="s">
        <v>239</v>
      </c>
      <c r="L255" s="16" t="s">
        <v>75</v>
      </c>
      <c r="M255" s="17">
        <v>100</v>
      </c>
      <c r="N255" s="23">
        <v>1.31</v>
      </c>
      <c r="O255" s="16" t="s">
        <v>1063</v>
      </c>
      <c r="P255" s="16" t="s">
        <v>29</v>
      </c>
      <c r="Q255" s="16" t="s">
        <v>29</v>
      </c>
      <c r="R255" s="16" t="s">
        <v>713</v>
      </c>
      <c r="S255" s="13">
        <v>45827</v>
      </c>
      <c r="T255" s="13">
        <v>45828</v>
      </c>
      <c r="U255" s="19"/>
      <c r="V255" s="55">
        <f>M255-U255-Z255</f>
        <v>-2.4000000000000057</v>
      </c>
      <c r="W255" s="22" t="s">
        <v>1332</v>
      </c>
      <c r="X255" s="1"/>
      <c r="Y255" s="88"/>
      <c r="Z255" s="19">
        <v>102.4</v>
      </c>
      <c r="AA255" s="18">
        <v>45828</v>
      </c>
      <c r="BG255" s="29"/>
      <c r="BH255" s="29"/>
      <c r="BI255" s="29"/>
      <c r="BJ255" s="29"/>
      <c r="BK255" s="29"/>
      <c r="BL255" s="29"/>
      <c r="BM255" s="29"/>
      <c r="BN255" s="29"/>
      <c r="BO255" s="29"/>
    </row>
    <row r="256" spans="1:67" s="36" customFormat="1" ht="20.25" customHeight="1">
      <c r="A256" s="11">
        <v>45813</v>
      </c>
      <c r="B256" s="16" t="s">
        <v>1330</v>
      </c>
      <c r="C256" s="16" t="s">
        <v>267</v>
      </c>
      <c r="D256" s="16" t="s">
        <v>212</v>
      </c>
      <c r="E256" s="16" t="s">
        <v>34</v>
      </c>
      <c r="F256" s="16" t="s">
        <v>1331</v>
      </c>
      <c r="G256" s="16" t="s">
        <v>71</v>
      </c>
      <c r="H256" s="16" t="s">
        <v>26</v>
      </c>
      <c r="I256" s="16" t="s">
        <v>63</v>
      </c>
      <c r="J256" s="16" t="s">
        <v>27</v>
      </c>
      <c r="K256" s="16" t="s">
        <v>1082</v>
      </c>
      <c r="L256" s="16" t="s">
        <v>75</v>
      </c>
      <c r="M256" s="17">
        <v>150</v>
      </c>
      <c r="N256" s="23">
        <v>1.31</v>
      </c>
      <c r="O256" s="16" t="s">
        <v>67</v>
      </c>
      <c r="P256" s="16" t="s">
        <v>29</v>
      </c>
      <c r="Q256" s="16" t="s">
        <v>29</v>
      </c>
      <c r="R256" s="16" t="s">
        <v>274</v>
      </c>
      <c r="S256" s="13">
        <v>45827</v>
      </c>
      <c r="T256" s="13">
        <v>45828</v>
      </c>
      <c r="U256" s="19"/>
      <c r="V256" s="55">
        <f>M256-U256-Z256</f>
        <v>-1.8000000000000114</v>
      </c>
      <c r="W256" s="22" t="s">
        <v>1334</v>
      </c>
      <c r="X256" s="1"/>
      <c r="Y256" s="88"/>
      <c r="Z256" s="19">
        <v>151.80000000000001</v>
      </c>
      <c r="AA256" s="18">
        <v>45828</v>
      </c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9"/>
      <c r="BH256" s="29"/>
      <c r="BI256" s="29"/>
      <c r="BJ256" s="29"/>
      <c r="BK256" s="29"/>
      <c r="BL256" s="29"/>
      <c r="BM256" s="29"/>
      <c r="BN256" s="29"/>
      <c r="BO256" s="29"/>
    </row>
    <row r="257" spans="1:67" s="28" customFormat="1" ht="20.25" customHeight="1">
      <c r="A257" s="11">
        <v>45813</v>
      </c>
      <c r="B257" s="16" t="s">
        <v>1335</v>
      </c>
      <c r="C257" s="16" t="s">
        <v>400</v>
      </c>
      <c r="D257" s="16" t="s">
        <v>212</v>
      </c>
      <c r="E257" s="16" t="s">
        <v>25</v>
      </c>
      <c r="F257" s="16" t="s">
        <v>1336</v>
      </c>
      <c r="G257" s="16" t="s">
        <v>71</v>
      </c>
      <c r="H257" s="16" t="s">
        <v>31</v>
      </c>
      <c r="I257" s="16" t="s">
        <v>63</v>
      </c>
      <c r="J257" s="16" t="s">
        <v>27</v>
      </c>
      <c r="K257" s="16" t="s">
        <v>1337</v>
      </c>
      <c r="L257" s="16" t="s">
        <v>75</v>
      </c>
      <c r="M257" s="17">
        <v>1637.04</v>
      </c>
      <c r="N257" s="23">
        <v>1.31</v>
      </c>
      <c r="O257" s="16" t="s">
        <v>67</v>
      </c>
      <c r="P257" s="16" t="s">
        <v>29</v>
      </c>
      <c r="Q257" s="16" t="s">
        <v>392</v>
      </c>
      <c r="R257" s="16" t="s">
        <v>1338</v>
      </c>
      <c r="S257" s="13">
        <v>45827</v>
      </c>
      <c r="T257" s="13">
        <v>45839</v>
      </c>
      <c r="U257" s="19"/>
      <c r="V257" s="53">
        <f>M257-U257-Z257</f>
        <v>-4.2599999999999909</v>
      </c>
      <c r="W257" s="22" t="s">
        <v>1339</v>
      </c>
      <c r="X257" s="1"/>
      <c r="Y257" s="88"/>
      <c r="Z257" s="19">
        <v>1641.3</v>
      </c>
      <c r="AA257" s="14">
        <v>45842</v>
      </c>
    </row>
    <row r="258" spans="1:67" s="28" customFormat="1" ht="20.25" customHeight="1">
      <c r="A258" s="11">
        <v>45813</v>
      </c>
      <c r="B258" s="16" t="s">
        <v>1340</v>
      </c>
      <c r="C258" s="16" t="s">
        <v>400</v>
      </c>
      <c r="D258" s="16" t="s">
        <v>212</v>
      </c>
      <c r="E258" s="16" t="s">
        <v>25</v>
      </c>
      <c r="F258" s="16" t="s">
        <v>1341</v>
      </c>
      <c r="G258" s="16" t="s">
        <v>71</v>
      </c>
      <c r="H258" s="16" t="s">
        <v>31</v>
      </c>
      <c r="I258" s="16" t="s">
        <v>63</v>
      </c>
      <c r="J258" s="16" t="s">
        <v>27</v>
      </c>
      <c r="K258" s="16" t="s">
        <v>1342</v>
      </c>
      <c r="L258" s="16" t="s">
        <v>75</v>
      </c>
      <c r="M258" s="17">
        <v>1007.3</v>
      </c>
      <c r="N258" s="23">
        <v>1.31</v>
      </c>
      <c r="O258" s="16" t="s">
        <v>67</v>
      </c>
      <c r="P258" s="16" t="s">
        <v>29</v>
      </c>
      <c r="Q258" s="16" t="s">
        <v>1216</v>
      </c>
      <c r="R258" s="16" t="s">
        <v>475</v>
      </c>
      <c r="S258" s="13">
        <v>45827</v>
      </c>
      <c r="T258" s="13">
        <v>45839</v>
      </c>
      <c r="U258" s="19"/>
      <c r="V258" s="53">
        <f>M258-U258-Z258-AB258</f>
        <v>-4</v>
      </c>
      <c r="W258" s="22" t="s">
        <v>1343</v>
      </c>
      <c r="X258" s="1"/>
      <c r="Y258" s="88"/>
      <c r="Z258" s="19">
        <f>155.4+855.9</f>
        <v>1011.3</v>
      </c>
      <c r="AA258" s="14">
        <v>45827</v>
      </c>
    </row>
    <row r="259" spans="1:67" s="29" customFormat="1" ht="20.25" customHeight="1">
      <c r="A259" s="11">
        <v>45813</v>
      </c>
      <c r="B259" s="16" t="s">
        <v>1330</v>
      </c>
      <c r="C259" s="16" t="s">
        <v>267</v>
      </c>
      <c r="D259" s="16" t="s">
        <v>212</v>
      </c>
      <c r="E259" s="16" t="s">
        <v>34</v>
      </c>
      <c r="F259" s="16" t="s">
        <v>1331</v>
      </c>
      <c r="G259" s="16" t="s">
        <v>71</v>
      </c>
      <c r="H259" s="16" t="s">
        <v>26</v>
      </c>
      <c r="I259" s="16" t="s">
        <v>63</v>
      </c>
      <c r="J259" s="16" t="s">
        <v>27</v>
      </c>
      <c r="K259" s="16" t="s">
        <v>250</v>
      </c>
      <c r="L259" s="16" t="s">
        <v>75</v>
      </c>
      <c r="M259" s="17">
        <v>125</v>
      </c>
      <c r="N259" s="23">
        <v>1.31</v>
      </c>
      <c r="O259" s="16" t="s">
        <v>67</v>
      </c>
      <c r="P259" s="16" t="s">
        <v>29</v>
      </c>
      <c r="Q259" s="16" t="s">
        <v>29</v>
      </c>
      <c r="R259" s="16" t="s">
        <v>964</v>
      </c>
      <c r="S259" s="13">
        <v>45827</v>
      </c>
      <c r="T259" s="13">
        <v>45828</v>
      </c>
      <c r="U259" s="19"/>
      <c r="V259" s="55">
        <f>M259-U259-Z259</f>
        <v>0</v>
      </c>
      <c r="W259" s="22" t="s">
        <v>1333</v>
      </c>
      <c r="X259" s="88"/>
      <c r="Y259" s="88"/>
      <c r="Z259" s="19">
        <v>125</v>
      </c>
      <c r="AA259" s="18">
        <v>45828</v>
      </c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</row>
    <row r="260" spans="1:67" s="29" customFormat="1" ht="20.25" customHeight="1">
      <c r="A260" s="11">
        <v>45817</v>
      </c>
      <c r="B260" s="16" t="s">
        <v>1344</v>
      </c>
      <c r="C260" s="16" t="s">
        <v>267</v>
      </c>
      <c r="D260" s="16" t="s">
        <v>212</v>
      </c>
      <c r="E260" s="16" t="s">
        <v>25</v>
      </c>
      <c r="F260" s="16" t="s">
        <v>1345</v>
      </c>
      <c r="G260" s="16" t="s">
        <v>71</v>
      </c>
      <c r="H260" s="16" t="s">
        <v>26</v>
      </c>
      <c r="I260" s="16" t="s">
        <v>63</v>
      </c>
      <c r="J260" s="16" t="s">
        <v>27</v>
      </c>
      <c r="K260" s="16" t="s">
        <v>1346</v>
      </c>
      <c r="L260" s="16" t="s">
        <v>75</v>
      </c>
      <c r="M260" s="17">
        <v>100</v>
      </c>
      <c r="N260" s="23">
        <v>1.3</v>
      </c>
      <c r="O260" s="16" t="s">
        <v>67</v>
      </c>
      <c r="P260" s="16" t="s">
        <v>29</v>
      </c>
      <c r="Q260" s="16" t="s">
        <v>1347</v>
      </c>
      <c r="R260" s="16" t="s">
        <v>29</v>
      </c>
      <c r="S260" s="13">
        <v>45831</v>
      </c>
      <c r="T260" s="13">
        <v>45839</v>
      </c>
      <c r="U260" s="19"/>
      <c r="V260" s="53">
        <f>M260-U260-Z260-AB260</f>
        <v>-4.699999999999994</v>
      </c>
      <c r="W260" s="22" t="s">
        <v>1348</v>
      </c>
      <c r="X260" s="1" t="s">
        <v>1452</v>
      </c>
      <c r="Y260" s="26"/>
      <c r="Z260" s="19">
        <v>89.1</v>
      </c>
      <c r="AA260" s="18">
        <v>45828</v>
      </c>
      <c r="AB260" s="104">
        <v>15.6</v>
      </c>
      <c r="AC260" s="85">
        <v>45852</v>
      </c>
    </row>
    <row r="261" spans="1:67" s="29" customFormat="1" ht="20.25" customHeight="1">
      <c r="A261" s="11">
        <v>45818</v>
      </c>
      <c r="B261" s="16" t="s">
        <v>1349</v>
      </c>
      <c r="C261" s="16" t="s">
        <v>228</v>
      </c>
      <c r="D261" s="16" t="s">
        <v>212</v>
      </c>
      <c r="E261" s="16" t="s">
        <v>25</v>
      </c>
      <c r="F261" s="16" t="s">
        <v>1350</v>
      </c>
      <c r="G261" s="16" t="s">
        <v>71</v>
      </c>
      <c r="H261" s="16" t="s">
        <v>31</v>
      </c>
      <c r="I261" s="16" t="s">
        <v>63</v>
      </c>
      <c r="J261" s="16" t="s">
        <v>27</v>
      </c>
      <c r="K261" s="16" t="s">
        <v>218</v>
      </c>
      <c r="L261" s="16" t="s">
        <v>75</v>
      </c>
      <c r="M261" s="17">
        <v>1160.82</v>
      </c>
      <c r="N261" s="23">
        <v>1.31</v>
      </c>
      <c r="O261" s="16" t="s">
        <v>1063</v>
      </c>
      <c r="P261" s="16" t="s">
        <v>29</v>
      </c>
      <c r="Q261" s="16" t="s">
        <v>1216</v>
      </c>
      <c r="R261" s="16" t="s">
        <v>1351</v>
      </c>
      <c r="S261" s="13">
        <v>45839</v>
      </c>
      <c r="T261" s="13">
        <v>45839</v>
      </c>
      <c r="U261" s="19"/>
      <c r="V261" s="53">
        <f>M261-U261-Z261-AB261</f>
        <v>-2.0800000000001546</v>
      </c>
      <c r="W261" s="22" t="s">
        <v>1352</v>
      </c>
      <c r="X261" s="1"/>
      <c r="Y261" s="26"/>
      <c r="Z261" s="19">
        <v>612.20000000000005</v>
      </c>
      <c r="AA261" s="24">
        <v>45834</v>
      </c>
      <c r="AB261" s="104">
        <f>36.7+514</f>
        <v>550.70000000000005</v>
      </c>
      <c r="AC261" s="85">
        <v>45839</v>
      </c>
    </row>
    <row r="262" spans="1:67" s="29" customFormat="1" ht="20.25" customHeight="1">
      <c r="A262" s="11">
        <v>45819</v>
      </c>
      <c r="B262" s="16" t="s">
        <v>1354</v>
      </c>
      <c r="C262" s="16" t="s">
        <v>211</v>
      </c>
      <c r="D262" s="16" t="s">
        <v>212</v>
      </c>
      <c r="E262" s="16" t="s">
        <v>25</v>
      </c>
      <c r="F262" s="16" t="s">
        <v>1355</v>
      </c>
      <c r="G262" s="16" t="s">
        <v>71</v>
      </c>
      <c r="H262" s="16" t="s">
        <v>26</v>
      </c>
      <c r="I262" s="16" t="s">
        <v>63</v>
      </c>
      <c r="J262" s="16" t="s">
        <v>27</v>
      </c>
      <c r="K262" s="16" t="s">
        <v>218</v>
      </c>
      <c r="L262" s="16" t="s">
        <v>75</v>
      </c>
      <c r="M262" s="17">
        <v>1008</v>
      </c>
      <c r="N262" s="23">
        <v>1.31</v>
      </c>
      <c r="O262" s="16" t="s">
        <v>1063</v>
      </c>
      <c r="P262" s="16" t="s">
        <v>29</v>
      </c>
      <c r="Q262" s="16" t="s">
        <v>240</v>
      </c>
      <c r="R262" s="16" t="s">
        <v>29</v>
      </c>
      <c r="S262" s="13">
        <v>45839</v>
      </c>
      <c r="T262" s="13">
        <v>45842</v>
      </c>
      <c r="U262" s="26"/>
      <c r="V262" s="53">
        <f>M262-U262-Z262</f>
        <v>-2.6000000000000227</v>
      </c>
      <c r="W262" s="22" t="s">
        <v>1357</v>
      </c>
      <c r="X262" s="1"/>
      <c r="Y262" s="21"/>
      <c r="Z262" s="19">
        <f>420.5+590.1</f>
        <v>1010.6</v>
      </c>
      <c r="AA262" s="78">
        <v>45849</v>
      </c>
    </row>
    <row r="263" spans="1:67" s="29" customFormat="1" ht="20.25" customHeight="1">
      <c r="A263" s="11">
        <v>45819</v>
      </c>
      <c r="B263" s="16" t="s">
        <v>1354</v>
      </c>
      <c r="C263" s="16" t="s">
        <v>211</v>
      </c>
      <c r="D263" s="16" t="s">
        <v>212</v>
      </c>
      <c r="E263" s="16" t="s">
        <v>25</v>
      </c>
      <c r="F263" s="16" t="s">
        <v>1355</v>
      </c>
      <c r="G263" s="16" t="s">
        <v>71</v>
      </c>
      <c r="H263" s="16" t="s">
        <v>26</v>
      </c>
      <c r="I263" s="16" t="s">
        <v>63</v>
      </c>
      <c r="J263" s="16" t="s">
        <v>27</v>
      </c>
      <c r="K263" s="16" t="s">
        <v>588</v>
      </c>
      <c r="L263" s="16" t="s">
        <v>75</v>
      </c>
      <c r="M263" s="17">
        <v>3036</v>
      </c>
      <c r="N263" s="23">
        <v>1.31</v>
      </c>
      <c r="O263" s="16" t="s">
        <v>1063</v>
      </c>
      <c r="P263" s="16" t="s">
        <v>29</v>
      </c>
      <c r="Q263" s="16" t="s">
        <v>539</v>
      </c>
      <c r="R263" s="16" t="s">
        <v>29</v>
      </c>
      <c r="S263" s="13">
        <v>45839</v>
      </c>
      <c r="T263" s="13">
        <v>45842</v>
      </c>
      <c r="U263" s="19"/>
      <c r="V263" s="53">
        <f>M263-Z263-AB263-AD263-AF263-AH263-AJ263-AL263-AN263-AP263-AR263-AT263-AV263-AX263-AZ263-BB263-BD263-BF263-BH263</f>
        <v>-2.7000000000001592</v>
      </c>
      <c r="W263" s="22" t="s">
        <v>1356</v>
      </c>
      <c r="X263" s="1" t="s">
        <v>1744</v>
      </c>
      <c r="Y263" s="21"/>
      <c r="Z263" s="19">
        <f>456.6+2017.2</f>
        <v>2473.8000000000002</v>
      </c>
      <c r="AA263" s="78">
        <v>45846</v>
      </c>
      <c r="AB263" s="29">
        <v>564.9</v>
      </c>
      <c r="AC263" s="105">
        <v>45854</v>
      </c>
    </row>
    <row r="264" spans="1:67" s="29" customFormat="1" ht="20.25" customHeight="1">
      <c r="A264" s="11">
        <v>45820</v>
      </c>
      <c r="B264" s="16" t="s">
        <v>1359</v>
      </c>
      <c r="C264" s="16" t="s">
        <v>267</v>
      </c>
      <c r="D264" s="16" t="s">
        <v>212</v>
      </c>
      <c r="E264" s="16" t="s">
        <v>25</v>
      </c>
      <c r="F264" s="16" t="s">
        <v>1360</v>
      </c>
      <c r="G264" s="16" t="s">
        <v>71</v>
      </c>
      <c r="H264" s="16" t="s">
        <v>26</v>
      </c>
      <c r="I264" s="16" t="s">
        <v>63</v>
      </c>
      <c r="J264" s="16" t="s">
        <v>27</v>
      </c>
      <c r="K264" s="16" t="s">
        <v>683</v>
      </c>
      <c r="L264" s="16" t="s">
        <v>75</v>
      </c>
      <c r="M264" s="17">
        <v>2070</v>
      </c>
      <c r="N264" s="23">
        <v>1.31</v>
      </c>
      <c r="O264" s="16" t="s">
        <v>1063</v>
      </c>
      <c r="P264" s="16" t="s">
        <v>29</v>
      </c>
      <c r="Q264" s="16" t="s">
        <v>29</v>
      </c>
      <c r="R264" s="16" t="s">
        <v>713</v>
      </c>
      <c r="S264" s="13">
        <v>45838</v>
      </c>
      <c r="T264" s="13">
        <v>45845</v>
      </c>
      <c r="U264" s="19"/>
      <c r="V264" s="53">
        <f>M264-U264-Z264-AB264</f>
        <v>-2.5</v>
      </c>
      <c r="W264" s="22" t="s">
        <v>1361</v>
      </c>
      <c r="X264" s="1"/>
      <c r="Y264" s="26"/>
      <c r="Z264" s="19">
        <f>1154.9+575+342.6</f>
        <v>2072.5</v>
      </c>
      <c r="AA264" s="24">
        <v>45852</v>
      </c>
    </row>
    <row r="265" spans="1:67" s="29" customFormat="1" ht="20.25" customHeight="1">
      <c r="A265" s="11">
        <v>45820</v>
      </c>
      <c r="B265" s="16" t="s">
        <v>1363</v>
      </c>
      <c r="C265" s="16" t="s">
        <v>228</v>
      </c>
      <c r="D265" s="16" t="s">
        <v>212</v>
      </c>
      <c r="E265" s="16" t="s">
        <v>25</v>
      </c>
      <c r="F265" s="16" t="s">
        <v>1364</v>
      </c>
      <c r="G265" s="16" t="s">
        <v>71</v>
      </c>
      <c r="H265" s="16" t="s">
        <v>31</v>
      </c>
      <c r="I265" s="16" t="s">
        <v>63</v>
      </c>
      <c r="J265" s="16" t="s">
        <v>27</v>
      </c>
      <c r="K265" s="16" t="s">
        <v>683</v>
      </c>
      <c r="L265" s="16" t="s">
        <v>75</v>
      </c>
      <c r="M265" s="17">
        <v>158.37</v>
      </c>
      <c r="N265" s="23">
        <v>1.31</v>
      </c>
      <c r="O265" s="16" t="s">
        <v>1063</v>
      </c>
      <c r="P265" s="16" t="s">
        <v>29</v>
      </c>
      <c r="Q265" s="16" t="s">
        <v>474</v>
      </c>
      <c r="R265" s="16" t="s">
        <v>1365</v>
      </c>
      <c r="S265" s="13">
        <v>45842</v>
      </c>
      <c r="T265" s="13">
        <v>45842</v>
      </c>
      <c r="U265" s="19"/>
      <c r="V265" s="53">
        <f>M265-U265-Z265-AB265-AD265</f>
        <v>-0.93000000000000682</v>
      </c>
      <c r="W265" s="22" t="s">
        <v>1366</v>
      </c>
      <c r="X265" s="1"/>
      <c r="Y265" s="26"/>
      <c r="Z265" s="19">
        <v>159.30000000000001</v>
      </c>
      <c r="AA265" s="24">
        <v>45839</v>
      </c>
    </row>
    <row r="266" spans="1:67" s="29" customFormat="1" ht="20.25" customHeight="1">
      <c r="A266" s="11">
        <v>45820</v>
      </c>
      <c r="B266" s="16" t="s">
        <v>1367</v>
      </c>
      <c r="C266" s="16" t="s">
        <v>228</v>
      </c>
      <c r="D266" s="16" t="s">
        <v>212</v>
      </c>
      <c r="E266" s="16" t="s">
        <v>25</v>
      </c>
      <c r="F266" s="16" t="s">
        <v>1368</v>
      </c>
      <c r="G266" s="16" t="s">
        <v>71</v>
      </c>
      <c r="H266" s="16" t="s">
        <v>31</v>
      </c>
      <c r="I266" s="16" t="s">
        <v>63</v>
      </c>
      <c r="J266" s="16" t="s">
        <v>27</v>
      </c>
      <c r="K266" s="16" t="s">
        <v>683</v>
      </c>
      <c r="L266" s="16" t="s">
        <v>75</v>
      </c>
      <c r="M266" s="17">
        <v>66.569999999999993</v>
      </c>
      <c r="N266" s="23">
        <v>1.31</v>
      </c>
      <c r="O266" s="16" t="s">
        <v>1063</v>
      </c>
      <c r="P266" s="16" t="s">
        <v>29</v>
      </c>
      <c r="Q266" s="16" t="s">
        <v>474</v>
      </c>
      <c r="R266" s="16" t="s">
        <v>1369</v>
      </c>
      <c r="S266" s="13">
        <v>45842</v>
      </c>
      <c r="T266" s="13">
        <v>45842</v>
      </c>
      <c r="U266" s="19"/>
      <c r="V266" s="53">
        <f>M266-U266-Z266-AB266-AD266</f>
        <v>-2.5300000000000011</v>
      </c>
      <c r="W266" s="22" t="s">
        <v>1370</v>
      </c>
      <c r="X266" s="1"/>
      <c r="Y266" s="26"/>
      <c r="Z266" s="19">
        <v>69.099999999999994</v>
      </c>
      <c r="AA266" s="24">
        <v>45839</v>
      </c>
    </row>
    <row r="267" spans="1:67" s="29" customFormat="1" ht="20.25" customHeight="1">
      <c r="A267" s="11">
        <v>45820</v>
      </c>
      <c r="B267" s="16" t="s">
        <v>1367</v>
      </c>
      <c r="C267" s="16" t="s">
        <v>228</v>
      </c>
      <c r="D267" s="16" t="s">
        <v>212</v>
      </c>
      <c r="E267" s="16" t="s">
        <v>25</v>
      </c>
      <c r="F267" s="16" t="s">
        <v>1368</v>
      </c>
      <c r="G267" s="16" t="s">
        <v>71</v>
      </c>
      <c r="H267" s="16" t="s">
        <v>31</v>
      </c>
      <c r="I267" s="16" t="s">
        <v>63</v>
      </c>
      <c r="J267" s="16" t="s">
        <v>27</v>
      </c>
      <c r="K267" s="16" t="s">
        <v>683</v>
      </c>
      <c r="L267" s="16" t="s">
        <v>75</v>
      </c>
      <c r="M267" s="17">
        <v>40.42</v>
      </c>
      <c r="N267" s="23">
        <v>1.31</v>
      </c>
      <c r="O267" s="16" t="s">
        <v>1063</v>
      </c>
      <c r="P267" s="16" t="s">
        <v>29</v>
      </c>
      <c r="Q267" s="16" t="s">
        <v>474</v>
      </c>
      <c r="R267" s="16" t="s">
        <v>1351</v>
      </c>
      <c r="S267" s="13">
        <v>45842</v>
      </c>
      <c r="T267" s="13">
        <v>45842</v>
      </c>
      <c r="U267" s="19"/>
      <c r="V267" s="53">
        <f>M267-U267-Z267-AB267-AD267</f>
        <v>-6.2800000000000011</v>
      </c>
      <c r="W267" s="22" t="s">
        <v>1371</v>
      </c>
      <c r="X267" s="1"/>
      <c r="Y267" s="26"/>
      <c r="Z267" s="19">
        <v>46.7</v>
      </c>
      <c r="AA267" s="24">
        <v>45839</v>
      </c>
    </row>
    <row r="268" spans="1:67" s="29" customFormat="1" ht="20.25" customHeight="1">
      <c r="A268" s="11">
        <v>45820</v>
      </c>
      <c r="B268" s="16" t="s">
        <v>1372</v>
      </c>
      <c r="C268" s="16" t="s">
        <v>228</v>
      </c>
      <c r="D268" s="16" t="s">
        <v>212</v>
      </c>
      <c r="E268" s="16" t="s">
        <v>25</v>
      </c>
      <c r="F268" s="16" t="s">
        <v>1373</v>
      </c>
      <c r="G268" s="16" t="s">
        <v>71</v>
      </c>
      <c r="H268" s="16" t="s">
        <v>31</v>
      </c>
      <c r="I268" s="16" t="s">
        <v>63</v>
      </c>
      <c r="J268" s="16" t="s">
        <v>27</v>
      </c>
      <c r="K268" s="16" t="s">
        <v>1337</v>
      </c>
      <c r="L268" s="16" t="s">
        <v>75</v>
      </c>
      <c r="M268" s="17">
        <v>3275.76</v>
      </c>
      <c r="N268" s="23">
        <v>1.31</v>
      </c>
      <c r="O268" s="16" t="s">
        <v>67</v>
      </c>
      <c r="P268" s="16" t="s">
        <v>29</v>
      </c>
      <c r="Q268" s="16" t="s">
        <v>470</v>
      </c>
      <c r="R268" s="16" t="s">
        <v>1374</v>
      </c>
      <c r="S268" s="13">
        <v>45839</v>
      </c>
      <c r="T268" s="13">
        <v>45841</v>
      </c>
      <c r="U268" s="19"/>
      <c r="V268" s="53">
        <f>M268-Z268-AB268-AD268-AF268-AH268-AJ268-AL268-AN268-AP268-AR268-AT268-AV268-AX268-AZ268-BB268-BD268-BF268-BH268-U268</f>
        <v>-6.2399999999997817</v>
      </c>
      <c r="W268" s="22" t="s">
        <v>1375</v>
      </c>
      <c r="X268" s="1"/>
      <c r="Y268" s="26"/>
      <c r="Z268" s="19">
        <v>3263.5</v>
      </c>
      <c r="AA268" s="24">
        <v>45849</v>
      </c>
      <c r="AB268" s="104">
        <v>18.5</v>
      </c>
      <c r="AC268" s="85">
        <v>45859</v>
      </c>
      <c r="AD268" s="79"/>
      <c r="AE268" s="79"/>
    </row>
    <row r="269" spans="1:67" s="29" customFormat="1" ht="20.25" customHeight="1">
      <c r="A269" s="11">
        <v>45820</v>
      </c>
      <c r="B269" s="16" t="s">
        <v>1359</v>
      </c>
      <c r="C269" s="16" t="s">
        <v>267</v>
      </c>
      <c r="D269" s="16" t="s">
        <v>212</v>
      </c>
      <c r="E269" s="16" t="s">
        <v>25</v>
      </c>
      <c r="F269" s="16" t="s">
        <v>1360</v>
      </c>
      <c r="G269" s="16" t="s">
        <v>71</v>
      </c>
      <c r="H269" s="16" t="s">
        <v>26</v>
      </c>
      <c r="I269" s="16" t="s">
        <v>63</v>
      </c>
      <c r="J269" s="16" t="s">
        <v>27</v>
      </c>
      <c r="K269" s="16" t="s">
        <v>2035</v>
      </c>
      <c r="L269" s="16" t="s">
        <v>75</v>
      </c>
      <c r="M269" s="17">
        <v>580</v>
      </c>
      <c r="N269" s="23">
        <v>1.31</v>
      </c>
      <c r="O269" s="16" t="s">
        <v>67</v>
      </c>
      <c r="P269" s="16" t="s">
        <v>29</v>
      </c>
      <c r="Q269" s="16" t="s">
        <v>29</v>
      </c>
      <c r="R269" s="16" t="s">
        <v>29</v>
      </c>
      <c r="S269" s="13">
        <v>45838</v>
      </c>
      <c r="T269" s="13">
        <v>45845</v>
      </c>
      <c r="U269" s="19"/>
      <c r="V269" s="53">
        <f>M269-U269-Z269-AB269</f>
        <v>-7.1000000000000441</v>
      </c>
      <c r="W269" s="22" t="s">
        <v>1362</v>
      </c>
      <c r="X269" s="26"/>
      <c r="Y269" s="214"/>
      <c r="Z269" s="82">
        <f>539.2</f>
        <v>539.20000000000005</v>
      </c>
      <c r="AA269" s="265">
        <v>45828</v>
      </c>
      <c r="AB269" s="104">
        <v>47.9</v>
      </c>
      <c r="AC269" s="85">
        <v>45852</v>
      </c>
      <c r="BG269" s="253"/>
      <c r="BH269" s="253"/>
      <c r="BI269" s="253"/>
      <c r="BJ269" s="253"/>
      <c r="BK269" s="253"/>
      <c r="BL269" s="253"/>
      <c r="BM269" s="253"/>
      <c r="BN269" s="253"/>
      <c r="BO269" s="253"/>
    </row>
    <row r="270" spans="1:67" s="29" customFormat="1" ht="20.25" customHeight="1">
      <c r="A270" s="11">
        <v>45821</v>
      </c>
      <c r="B270" s="16" t="s">
        <v>1380</v>
      </c>
      <c r="C270" s="16" t="s">
        <v>228</v>
      </c>
      <c r="D270" s="16" t="s">
        <v>212</v>
      </c>
      <c r="E270" s="16" t="s">
        <v>25</v>
      </c>
      <c r="F270" s="16" t="s">
        <v>1381</v>
      </c>
      <c r="G270" s="16" t="s">
        <v>71</v>
      </c>
      <c r="H270" s="16" t="s">
        <v>31</v>
      </c>
      <c r="I270" s="16" t="s">
        <v>63</v>
      </c>
      <c r="J270" s="16" t="s">
        <v>27</v>
      </c>
      <c r="K270" s="16" t="s">
        <v>1382</v>
      </c>
      <c r="L270" s="16" t="s">
        <v>75</v>
      </c>
      <c r="M270" s="17">
        <v>93.73</v>
      </c>
      <c r="N270" s="23">
        <v>1.31</v>
      </c>
      <c r="O270" s="16" t="s">
        <v>67</v>
      </c>
      <c r="P270" s="16" t="s">
        <v>29</v>
      </c>
      <c r="Q270" s="16" t="s">
        <v>362</v>
      </c>
      <c r="R270" s="16" t="s">
        <v>466</v>
      </c>
      <c r="S270" s="13">
        <v>45835</v>
      </c>
      <c r="T270" s="13">
        <v>45841</v>
      </c>
      <c r="U270" s="19"/>
      <c r="V270" s="53">
        <f>M270-U270-Z270-AB270-AD270</f>
        <v>-1.6700000000000017</v>
      </c>
      <c r="W270" s="22" t="s">
        <v>1383</v>
      </c>
      <c r="X270" s="1"/>
      <c r="Y270" s="26"/>
      <c r="Z270" s="19">
        <v>95.4</v>
      </c>
      <c r="AA270" s="24">
        <v>45849</v>
      </c>
      <c r="AB270" s="79"/>
      <c r="AC270" s="79"/>
      <c r="AD270" s="79"/>
      <c r="AE270" s="79"/>
      <c r="BG270" s="28"/>
      <c r="BH270" s="28"/>
      <c r="BI270" s="28"/>
      <c r="BJ270" s="28"/>
      <c r="BK270" s="28"/>
      <c r="BL270" s="28"/>
      <c r="BM270" s="28"/>
      <c r="BN270" s="28"/>
      <c r="BO270" s="28"/>
    </row>
    <row r="271" spans="1:67" s="29" customFormat="1" ht="20.25" customHeight="1">
      <c r="A271" s="7">
        <v>45821</v>
      </c>
      <c r="B271" s="19" t="s">
        <v>1380</v>
      </c>
      <c r="C271" s="19" t="s">
        <v>228</v>
      </c>
      <c r="D271" s="19" t="s">
        <v>212</v>
      </c>
      <c r="E271" s="19" t="s">
        <v>25</v>
      </c>
      <c r="F271" s="19" t="s">
        <v>1381</v>
      </c>
      <c r="G271" s="19" t="s">
        <v>71</v>
      </c>
      <c r="H271" s="19" t="s">
        <v>31</v>
      </c>
      <c r="I271" s="19" t="s">
        <v>63</v>
      </c>
      <c r="J271" s="19" t="s">
        <v>27</v>
      </c>
      <c r="K271" s="19" t="s">
        <v>483</v>
      </c>
      <c r="L271" s="19" t="s">
        <v>75</v>
      </c>
      <c r="M271" s="20">
        <v>244.98</v>
      </c>
      <c r="N271" s="25">
        <v>1.31</v>
      </c>
      <c r="O271" s="19" t="s">
        <v>67</v>
      </c>
      <c r="P271" s="19" t="s">
        <v>29</v>
      </c>
      <c r="Q271" s="19" t="s">
        <v>362</v>
      </c>
      <c r="R271" s="19" t="s">
        <v>235</v>
      </c>
      <c r="S271" s="8">
        <v>45835</v>
      </c>
      <c r="T271" s="8">
        <v>45841</v>
      </c>
      <c r="U271" s="19"/>
      <c r="V271" s="55">
        <f>M271-Z271-AB271-AD271-AF271-AH271-AJ271-AL271-AN271-AP271-AR271-AT271-AV271-AX271-AZ271-BB271-BD271-BF271-BH271-U271</f>
        <v>-1.0200000000000102</v>
      </c>
      <c r="W271" s="15" t="s">
        <v>1384</v>
      </c>
      <c r="X271" s="19"/>
      <c r="Y271" s="10" t="s">
        <v>1912</v>
      </c>
      <c r="Z271" s="19">
        <v>246</v>
      </c>
      <c r="AA271" s="138">
        <v>45870</v>
      </c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</row>
    <row r="272" spans="1:67" s="29" customFormat="1" ht="20.25" customHeight="1">
      <c r="A272" s="7">
        <v>45821</v>
      </c>
      <c r="B272" s="19" t="s">
        <v>1385</v>
      </c>
      <c r="C272" s="19" t="s">
        <v>228</v>
      </c>
      <c r="D272" s="19" t="s">
        <v>212</v>
      </c>
      <c r="E272" s="19" t="s">
        <v>25</v>
      </c>
      <c r="F272" s="19" t="s">
        <v>1386</v>
      </c>
      <c r="G272" s="19" t="s">
        <v>71</v>
      </c>
      <c r="H272" s="19" t="s">
        <v>31</v>
      </c>
      <c r="I272" s="19" t="s">
        <v>63</v>
      </c>
      <c r="J272" s="19" t="s">
        <v>27</v>
      </c>
      <c r="K272" s="19" t="s">
        <v>1106</v>
      </c>
      <c r="L272" s="19" t="s">
        <v>75</v>
      </c>
      <c r="M272" s="20">
        <v>112.68</v>
      </c>
      <c r="N272" s="25">
        <v>1.31</v>
      </c>
      <c r="O272" s="19" t="s">
        <v>67</v>
      </c>
      <c r="P272" s="19" t="s">
        <v>29</v>
      </c>
      <c r="Q272" s="19" t="s">
        <v>474</v>
      </c>
      <c r="R272" s="19" t="s">
        <v>1387</v>
      </c>
      <c r="S272" s="8">
        <v>45835</v>
      </c>
      <c r="T272" s="8">
        <v>45841</v>
      </c>
      <c r="U272" s="19"/>
      <c r="V272" s="55">
        <f>M272-Z272-AB272-AD272-AF272-AH272-AJ272-AL272-AN272-AP272-AR272-AT272-AV272-AX272-AZ272-BB272-BD272-BF272-BH272-U272</f>
        <v>-0.61999999999999034</v>
      </c>
      <c r="W272" s="15" t="s">
        <v>1388</v>
      </c>
      <c r="X272" s="19"/>
      <c r="Y272" s="341" t="s">
        <v>1912</v>
      </c>
      <c r="Z272" s="259">
        <v>113.3</v>
      </c>
      <c r="AA272" s="368">
        <v>45870</v>
      </c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</row>
    <row r="273" spans="1:67" s="29" customFormat="1" ht="20.25" customHeight="1">
      <c r="A273" s="11">
        <v>45824</v>
      </c>
      <c r="B273" s="16" t="s">
        <v>1389</v>
      </c>
      <c r="C273" s="16" t="s">
        <v>267</v>
      </c>
      <c r="D273" s="16" t="s">
        <v>212</v>
      </c>
      <c r="E273" s="16" t="s">
        <v>25</v>
      </c>
      <c r="F273" s="16" t="s">
        <v>1390</v>
      </c>
      <c r="G273" s="16" t="s">
        <v>71</v>
      </c>
      <c r="H273" s="16" t="s">
        <v>26</v>
      </c>
      <c r="I273" s="16" t="s">
        <v>63</v>
      </c>
      <c r="J273" s="16" t="s">
        <v>27</v>
      </c>
      <c r="K273" s="16" t="s">
        <v>782</v>
      </c>
      <c r="L273" s="16" t="s">
        <v>35</v>
      </c>
      <c r="M273" s="17">
        <v>75</v>
      </c>
      <c r="N273" s="23">
        <v>1.23</v>
      </c>
      <c r="O273" s="16" t="s">
        <v>67</v>
      </c>
      <c r="P273" s="16" t="s">
        <v>29</v>
      </c>
      <c r="Q273" s="16" t="s">
        <v>29</v>
      </c>
      <c r="R273" s="16" t="s">
        <v>1391</v>
      </c>
      <c r="S273" s="13">
        <v>45839</v>
      </c>
      <c r="T273" s="13">
        <v>45839</v>
      </c>
      <c r="U273" s="19"/>
      <c r="V273" s="53">
        <f>M273-U273-Z273-AB273</f>
        <v>-3.5</v>
      </c>
      <c r="W273" s="22" t="s">
        <v>1393</v>
      </c>
      <c r="X273" s="26"/>
      <c r="Y273" s="26"/>
      <c r="Z273" s="19">
        <v>78.5</v>
      </c>
      <c r="AA273" s="24">
        <v>45852</v>
      </c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G273" s="28"/>
      <c r="BH273" s="28"/>
      <c r="BI273" s="28"/>
      <c r="BJ273" s="28"/>
      <c r="BK273" s="28"/>
      <c r="BL273" s="28"/>
      <c r="BM273" s="28"/>
      <c r="BN273" s="28"/>
      <c r="BO273" s="28"/>
    </row>
    <row r="274" spans="1:67" s="282" customFormat="1" ht="20.25" customHeight="1">
      <c r="A274" s="11">
        <v>45825</v>
      </c>
      <c r="B274" s="16" t="s">
        <v>1398</v>
      </c>
      <c r="C274" s="16" t="s">
        <v>267</v>
      </c>
      <c r="D274" s="16" t="s">
        <v>212</v>
      </c>
      <c r="E274" s="16" t="s">
        <v>25</v>
      </c>
      <c r="F274" s="16" t="s">
        <v>1399</v>
      </c>
      <c r="G274" s="16" t="s">
        <v>71</v>
      </c>
      <c r="H274" s="16" t="s">
        <v>31</v>
      </c>
      <c r="I274" s="16" t="s">
        <v>63</v>
      </c>
      <c r="J274" s="16" t="s">
        <v>27</v>
      </c>
      <c r="K274" s="16" t="s">
        <v>913</v>
      </c>
      <c r="L274" s="16" t="s">
        <v>75</v>
      </c>
      <c r="M274" s="17">
        <v>750</v>
      </c>
      <c r="N274" s="23">
        <v>1.31</v>
      </c>
      <c r="O274" s="16" t="s">
        <v>1063</v>
      </c>
      <c r="P274" s="16" t="s">
        <v>29</v>
      </c>
      <c r="Q274" s="16" t="s">
        <v>29</v>
      </c>
      <c r="R274" s="16" t="s">
        <v>1400</v>
      </c>
      <c r="S274" s="13">
        <v>45839</v>
      </c>
      <c r="T274" s="13">
        <v>45849</v>
      </c>
      <c r="U274" s="19"/>
      <c r="V274" s="53">
        <f>M274-U274-Z274-AB274</f>
        <v>-1</v>
      </c>
      <c r="W274" s="22" t="s">
        <v>1401</v>
      </c>
      <c r="X274" s="1"/>
      <c r="Y274" s="263"/>
      <c r="Z274" s="82">
        <v>751</v>
      </c>
      <c r="AA274" s="30">
        <v>45852</v>
      </c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9"/>
      <c r="BH274" s="29"/>
      <c r="BI274" s="29"/>
      <c r="BJ274" s="29"/>
      <c r="BK274" s="29"/>
      <c r="BL274" s="29"/>
      <c r="BM274" s="29"/>
      <c r="BN274" s="29"/>
      <c r="BO274" s="29"/>
    </row>
    <row r="275" spans="1:67" s="28" customFormat="1" ht="20.25" customHeight="1">
      <c r="A275" s="11">
        <v>45825</v>
      </c>
      <c r="B275" s="16" t="s">
        <v>1394</v>
      </c>
      <c r="C275" s="16" t="s">
        <v>267</v>
      </c>
      <c r="D275" s="16" t="s">
        <v>212</v>
      </c>
      <c r="E275" s="16" t="s">
        <v>25</v>
      </c>
      <c r="F275" s="16" t="s">
        <v>1395</v>
      </c>
      <c r="G275" s="16" t="s">
        <v>71</v>
      </c>
      <c r="H275" s="16" t="s">
        <v>26</v>
      </c>
      <c r="I275" s="16" t="s">
        <v>63</v>
      </c>
      <c r="J275" s="16" t="s">
        <v>27</v>
      </c>
      <c r="K275" s="16" t="s">
        <v>351</v>
      </c>
      <c r="L275" s="16" t="s">
        <v>75</v>
      </c>
      <c r="M275" s="17">
        <v>1500</v>
      </c>
      <c r="N275" s="23">
        <v>1.31</v>
      </c>
      <c r="O275" s="16" t="s">
        <v>67</v>
      </c>
      <c r="P275" s="16" t="s">
        <v>29</v>
      </c>
      <c r="Q275" s="16" t="s">
        <v>29</v>
      </c>
      <c r="R275" s="16" t="s">
        <v>1396</v>
      </c>
      <c r="S275" s="13">
        <v>45839</v>
      </c>
      <c r="T275" s="13">
        <v>45849</v>
      </c>
      <c r="U275" s="19"/>
      <c r="V275" s="53">
        <f>M275-U275-Z275-AB275</f>
        <v>-0.8000000000001819</v>
      </c>
      <c r="W275" s="22" t="s">
        <v>1397</v>
      </c>
      <c r="X275" s="88"/>
      <c r="Y275" s="263"/>
      <c r="Z275" s="82">
        <f>1281.4+219.4</f>
        <v>1500.8000000000002</v>
      </c>
      <c r="AA275" s="30">
        <v>45852</v>
      </c>
    </row>
    <row r="276" spans="1:67" s="29" customFormat="1" ht="20.25" customHeight="1">
      <c r="A276" s="7">
        <v>45826</v>
      </c>
      <c r="B276" s="19" t="s">
        <v>1406</v>
      </c>
      <c r="C276" s="19" t="s">
        <v>211</v>
      </c>
      <c r="D276" s="19" t="s">
        <v>212</v>
      </c>
      <c r="E276" s="19" t="s">
        <v>25</v>
      </c>
      <c r="F276" s="19" t="s">
        <v>1407</v>
      </c>
      <c r="G276" s="19" t="s">
        <v>71</v>
      </c>
      <c r="H276" s="19" t="s">
        <v>31</v>
      </c>
      <c r="I276" s="19" t="s">
        <v>63</v>
      </c>
      <c r="J276" s="19" t="s">
        <v>27</v>
      </c>
      <c r="K276" s="19" t="s">
        <v>1342</v>
      </c>
      <c r="L276" s="19" t="s">
        <v>75</v>
      </c>
      <c r="M276" s="20">
        <v>1811</v>
      </c>
      <c r="N276" s="25">
        <v>1.31</v>
      </c>
      <c r="O276" s="19" t="s">
        <v>67</v>
      </c>
      <c r="P276" s="19" t="s">
        <v>29</v>
      </c>
      <c r="Q276" s="19" t="s">
        <v>29</v>
      </c>
      <c r="R276" s="19" t="s">
        <v>775</v>
      </c>
      <c r="S276" s="8">
        <v>45846</v>
      </c>
      <c r="T276" s="8">
        <v>45846</v>
      </c>
      <c r="U276" s="19"/>
      <c r="V276" s="55">
        <f>M276-Z276-AB276-AD276-AF276-AH276-AJ276-AL276-AN276-AP276-AR276-AT276-AV276-AX276-AZ276-BB276-BD276-BF276-BH276-U276</f>
        <v>0</v>
      </c>
      <c r="W276" s="15" t="s">
        <v>1408</v>
      </c>
      <c r="X276" s="19"/>
      <c r="Y276" s="341" t="s">
        <v>1912</v>
      </c>
      <c r="Z276" s="230">
        <v>1222.2</v>
      </c>
      <c r="AA276" s="364">
        <v>45861</v>
      </c>
      <c r="AB276" s="104">
        <v>588.79999999999995</v>
      </c>
      <c r="AC276" s="123">
        <v>45868</v>
      </c>
      <c r="AD276" s="4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</row>
    <row r="277" spans="1:67" s="29" customFormat="1" ht="20.25" customHeight="1">
      <c r="A277" s="11">
        <v>45828</v>
      </c>
      <c r="B277" s="16" t="s">
        <v>1431</v>
      </c>
      <c r="C277" s="16" t="s">
        <v>438</v>
      </c>
      <c r="D277" s="16" t="s">
        <v>212</v>
      </c>
      <c r="E277" s="16" t="s">
        <v>25</v>
      </c>
      <c r="F277" s="16">
        <v>4003535587</v>
      </c>
      <c r="G277" s="16" t="s">
        <v>71</v>
      </c>
      <c r="H277" s="16" t="s">
        <v>31</v>
      </c>
      <c r="I277" s="16" t="s">
        <v>63</v>
      </c>
      <c r="J277" s="16" t="s">
        <v>27</v>
      </c>
      <c r="K277" s="16" t="s">
        <v>218</v>
      </c>
      <c r="L277" s="16" t="s">
        <v>75</v>
      </c>
      <c r="M277" s="17">
        <v>3033</v>
      </c>
      <c r="N277" s="23">
        <v>1.31</v>
      </c>
      <c r="O277" s="16" t="s">
        <v>1063</v>
      </c>
      <c r="P277" s="16" t="s">
        <v>29</v>
      </c>
      <c r="Q277" s="16" t="s">
        <v>29</v>
      </c>
      <c r="R277" s="16" t="s">
        <v>29</v>
      </c>
      <c r="S277" s="13">
        <v>45853</v>
      </c>
      <c r="T277" s="13">
        <v>45853</v>
      </c>
      <c r="U277" s="19"/>
      <c r="V277" s="53">
        <f>M277-U277-Z277</f>
        <v>-0.59999999999990905</v>
      </c>
      <c r="W277" s="22" t="s">
        <v>1433</v>
      </c>
      <c r="X277" s="1"/>
      <c r="Y277" s="263"/>
      <c r="Z277" s="82">
        <f>2752.6+281</f>
        <v>3033.6</v>
      </c>
      <c r="AA277" s="257">
        <v>45852</v>
      </c>
      <c r="AB277" s="263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</row>
    <row r="278" spans="1:67" s="288" customFormat="1" ht="20.25" customHeight="1">
      <c r="A278" s="11">
        <v>45828</v>
      </c>
      <c r="B278" s="16" t="s">
        <v>1431</v>
      </c>
      <c r="C278" s="16" t="s">
        <v>438</v>
      </c>
      <c r="D278" s="16" t="s">
        <v>212</v>
      </c>
      <c r="E278" s="16" t="s">
        <v>25</v>
      </c>
      <c r="F278" s="16" t="s">
        <v>1432</v>
      </c>
      <c r="G278" s="16" t="s">
        <v>71</v>
      </c>
      <c r="H278" s="16" t="s">
        <v>31</v>
      </c>
      <c r="I278" s="16" t="s">
        <v>63</v>
      </c>
      <c r="J278" s="16" t="s">
        <v>27</v>
      </c>
      <c r="K278" s="16" t="s">
        <v>218</v>
      </c>
      <c r="L278" s="16" t="s">
        <v>75</v>
      </c>
      <c r="M278" s="17">
        <v>1120</v>
      </c>
      <c r="N278" s="23">
        <v>1.31</v>
      </c>
      <c r="O278" s="16" t="s">
        <v>1063</v>
      </c>
      <c r="P278" s="16" t="s">
        <v>29</v>
      </c>
      <c r="Q278" s="16" t="s">
        <v>29</v>
      </c>
      <c r="R278" s="16" t="s">
        <v>29</v>
      </c>
      <c r="S278" s="13">
        <v>45853</v>
      </c>
      <c r="T278" s="13">
        <v>45853</v>
      </c>
      <c r="U278" s="19"/>
      <c r="V278" s="53">
        <f>M278-U278-Z278</f>
        <v>-1.5999999999999091</v>
      </c>
      <c r="W278" s="22" t="s">
        <v>1434</v>
      </c>
      <c r="X278" s="1"/>
      <c r="Y278" s="88"/>
      <c r="Z278" s="19">
        <v>1121.5999999999999</v>
      </c>
      <c r="AA278" s="14">
        <v>45852</v>
      </c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</row>
    <row r="279" spans="1:67" s="36" customFormat="1" ht="20.25" customHeight="1">
      <c r="A279" s="11">
        <v>45828</v>
      </c>
      <c r="B279" s="16" t="s">
        <v>1431</v>
      </c>
      <c r="C279" s="16" t="s">
        <v>438</v>
      </c>
      <c r="D279" s="16" t="s">
        <v>212</v>
      </c>
      <c r="E279" s="16" t="s">
        <v>25</v>
      </c>
      <c r="F279" s="16" t="s">
        <v>1432</v>
      </c>
      <c r="G279" s="16" t="s">
        <v>71</v>
      </c>
      <c r="H279" s="16" t="s">
        <v>26</v>
      </c>
      <c r="I279" s="16" t="s">
        <v>63</v>
      </c>
      <c r="J279" s="16" t="s">
        <v>27</v>
      </c>
      <c r="K279" s="16" t="s">
        <v>218</v>
      </c>
      <c r="L279" s="16" t="s">
        <v>75</v>
      </c>
      <c r="M279" s="17">
        <v>114</v>
      </c>
      <c r="N279" s="23">
        <v>1.31</v>
      </c>
      <c r="O279" s="16" t="s">
        <v>1063</v>
      </c>
      <c r="P279" s="16" t="s">
        <v>29</v>
      </c>
      <c r="Q279" s="16" t="s">
        <v>29</v>
      </c>
      <c r="R279" s="16" t="s">
        <v>29</v>
      </c>
      <c r="S279" s="13">
        <v>45853</v>
      </c>
      <c r="T279" s="13">
        <v>45853</v>
      </c>
      <c r="U279" s="19"/>
      <c r="V279" s="53">
        <f>M279-U279-Z279</f>
        <v>-1.2999999999999972</v>
      </c>
      <c r="W279" s="22" t="s">
        <v>1435</v>
      </c>
      <c r="X279" s="1"/>
      <c r="Y279" s="88"/>
      <c r="Z279" s="19">
        <v>115.3</v>
      </c>
      <c r="AA279" s="14">
        <v>45833</v>
      </c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</row>
    <row r="280" spans="1:67" s="28" customFormat="1" ht="20.25" customHeight="1">
      <c r="A280" s="11">
        <v>45828</v>
      </c>
      <c r="B280" s="16" t="s">
        <v>1431</v>
      </c>
      <c r="C280" s="16" t="s">
        <v>438</v>
      </c>
      <c r="D280" s="16" t="s">
        <v>212</v>
      </c>
      <c r="E280" s="16" t="s">
        <v>25</v>
      </c>
      <c r="F280" s="16" t="s">
        <v>1432</v>
      </c>
      <c r="G280" s="16" t="s">
        <v>71</v>
      </c>
      <c r="H280" s="16" t="s">
        <v>26</v>
      </c>
      <c r="I280" s="16" t="s">
        <v>63</v>
      </c>
      <c r="J280" s="16" t="s">
        <v>27</v>
      </c>
      <c r="K280" s="16" t="s">
        <v>218</v>
      </c>
      <c r="L280" s="16" t="s">
        <v>75</v>
      </c>
      <c r="M280" s="17">
        <v>312</v>
      </c>
      <c r="N280" s="23">
        <v>1.31</v>
      </c>
      <c r="O280" s="16" t="s">
        <v>1063</v>
      </c>
      <c r="P280" s="16" t="s">
        <v>29</v>
      </c>
      <c r="Q280" s="16" t="s">
        <v>29</v>
      </c>
      <c r="R280" s="16" t="s">
        <v>29</v>
      </c>
      <c r="S280" s="12" t="s">
        <v>1418</v>
      </c>
      <c r="T280" s="13">
        <v>45853</v>
      </c>
      <c r="U280" s="19"/>
      <c r="V280" s="53">
        <f>M280-U280-Z280</f>
        <v>-0.30000000000001137</v>
      </c>
      <c r="W280" s="22" t="s">
        <v>1436</v>
      </c>
      <c r="X280" s="1"/>
      <c r="Y280" s="263"/>
      <c r="Z280" s="82">
        <v>312.3</v>
      </c>
      <c r="AA280" s="257">
        <v>45833</v>
      </c>
      <c r="AB280" s="263"/>
      <c r="BG280" s="29"/>
      <c r="BH280" s="29"/>
      <c r="BI280" s="29"/>
      <c r="BJ280" s="29"/>
      <c r="BK280" s="29"/>
      <c r="BL280" s="29"/>
      <c r="BM280" s="29"/>
      <c r="BN280" s="29"/>
      <c r="BO280" s="29"/>
    </row>
    <row r="281" spans="1:67" s="36" customFormat="1" ht="20.25" customHeight="1">
      <c r="A281" s="11">
        <v>45828</v>
      </c>
      <c r="B281" s="16" t="s">
        <v>1431</v>
      </c>
      <c r="C281" s="16" t="s">
        <v>438</v>
      </c>
      <c r="D281" s="16" t="s">
        <v>212</v>
      </c>
      <c r="E281" s="16" t="s">
        <v>25</v>
      </c>
      <c r="F281" s="16" t="s">
        <v>1432</v>
      </c>
      <c r="G281" s="16" t="s">
        <v>71</v>
      </c>
      <c r="H281" s="16" t="s">
        <v>26</v>
      </c>
      <c r="I281" s="16" t="s">
        <v>63</v>
      </c>
      <c r="J281" s="16" t="s">
        <v>27</v>
      </c>
      <c r="K281" s="16" t="s">
        <v>218</v>
      </c>
      <c r="L281" s="16" t="s">
        <v>75</v>
      </c>
      <c r="M281" s="17">
        <v>51</v>
      </c>
      <c r="N281" s="23">
        <v>1.31</v>
      </c>
      <c r="O281" s="16" t="s">
        <v>1063</v>
      </c>
      <c r="P281" s="16" t="s">
        <v>29</v>
      </c>
      <c r="Q281" s="16" t="s">
        <v>29</v>
      </c>
      <c r="R281" s="16" t="s">
        <v>29</v>
      </c>
      <c r="S281" s="12" t="s">
        <v>1418</v>
      </c>
      <c r="T281" s="13">
        <v>45853</v>
      </c>
      <c r="U281" s="19"/>
      <c r="V281" s="53">
        <f>M281-U281-Z281</f>
        <v>-0.70000000000000284</v>
      </c>
      <c r="W281" s="22" t="s">
        <v>1455</v>
      </c>
      <c r="X281" s="1"/>
      <c r="Y281" s="88"/>
      <c r="Z281" s="19">
        <v>51.7</v>
      </c>
      <c r="AA281" s="14">
        <v>45833</v>
      </c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28"/>
      <c r="BG281" s="29"/>
      <c r="BH281" s="29"/>
      <c r="BI281" s="29"/>
      <c r="BJ281" s="29"/>
      <c r="BK281" s="29"/>
      <c r="BL281" s="29"/>
      <c r="BM281" s="29"/>
      <c r="BN281" s="29"/>
      <c r="BO281" s="29"/>
    </row>
    <row r="282" spans="1:67" s="36" customFormat="1" ht="20.25" customHeight="1">
      <c r="A282" s="11">
        <v>45828</v>
      </c>
      <c r="B282" s="16" t="s">
        <v>1431</v>
      </c>
      <c r="C282" s="16" t="s">
        <v>438</v>
      </c>
      <c r="D282" s="16" t="s">
        <v>212</v>
      </c>
      <c r="E282" s="16" t="s">
        <v>25</v>
      </c>
      <c r="F282" s="16" t="s">
        <v>1432</v>
      </c>
      <c r="G282" s="16" t="s">
        <v>71</v>
      </c>
      <c r="H282" s="16" t="s">
        <v>26</v>
      </c>
      <c r="I282" s="16" t="s">
        <v>63</v>
      </c>
      <c r="J282" s="16" t="s">
        <v>27</v>
      </c>
      <c r="K282" s="16" t="s">
        <v>218</v>
      </c>
      <c r="L282" s="16" t="s">
        <v>75</v>
      </c>
      <c r="M282" s="17">
        <v>161</v>
      </c>
      <c r="N282" s="23">
        <v>1.31</v>
      </c>
      <c r="O282" s="16" t="s">
        <v>1063</v>
      </c>
      <c r="P282" s="16" t="s">
        <v>29</v>
      </c>
      <c r="Q282" s="16" t="s">
        <v>29</v>
      </c>
      <c r="R282" s="16" t="s">
        <v>29</v>
      </c>
      <c r="S282" s="12" t="s">
        <v>1418</v>
      </c>
      <c r="T282" s="13">
        <v>45853</v>
      </c>
      <c r="U282" s="19"/>
      <c r="V282" s="53">
        <f>M282-U282-Z282</f>
        <v>-0.30000000000001137</v>
      </c>
      <c r="W282" s="22" t="s">
        <v>1437</v>
      </c>
      <c r="X282" s="1"/>
      <c r="Y282" s="88"/>
      <c r="Z282" s="19">
        <v>161.30000000000001</v>
      </c>
      <c r="AA282" s="14">
        <v>45833</v>
      </c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</row>
    <row r="283" spans="1:67" s="36" customFormat="1" ht="20.25" customHeight="1">
      <c r="A283" s="11">
        <v>45828</v>
      </c>
      <c r="B283" s="16" t="s">
        <v>1422</v>
      </c>
      <c r="C283" s="16" t="s">
        <v>400</v>
      </c>
      <c r="D283" s="16" t="s">
        <v>212</v>
      </c>
      <c r="E283" s="16" t="s">
        <v>25</v>
      </c>
      <c r="F283" s="16" t="s">
        <v>1423</v>
      </c>
      <c r="G283" s="16" t="s">
        <v>71</v>
      </c>
      <c r="H283" s="16" t="s">
        <v>26</v>
      </c>
      <c r="I283" s="16" t="s">
        <v>63</v>
      </c>
      <c r="J283" s="16" t="s">
        <v>27</v>
      </c>
      <c r="K283" s="16" t="s">
        <v>239</v>
      </c>
      <c r="L283" s="16" t="s">
        <v>75</v>
      </c>
      <c r="M283" s="17">
        <v>538.11</v>
      </c>
      <c r="N283" s="23">
        <v>1.31</v>
      </c>
      <c r="O283" s="16" t="s">
        <v>1063</v>
      </c>
      <c r="P283" s="16" t="s">
        <v>29</v>
      </c>
      <c r="Q283" s="16" t="s">
        <v>1424</v>
      </c>
      <c r="R283" s="16" t="s">
        <v>1425</v>
      </c>
      <c r="S283" s="13">
        <v>45853</v>
      </c>
      <c r="T283" s="13">
        <v>45853</v>
      </c>
      <c r="U283" s="19"/>
      <c r="V283" s="53">
        <f>M283-U283-Z283</f>
        <v>-1.0900000000000318</v>
      </c>
      <c r="W283" s="22" t="s">
        <v>1426</v>
      </c>
      <c r="X283" s="1"/>
      <c r="Y283" s="88"/>
      <c r="Z283" s="19">
        <v>539.20000000000005</v>
      </c>
      <c r="AA283" s="14">
        <v>45849</v>
      </c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28"/>
      <c r="BG283" s="29"/>
      <c r="BH283" s="29"/>
      <c r="BI283" s="29"/>
      <c r="BJ283" s="29"/>
      <c r="BK283" s="29"/>
      <c r="BL283" s="29"/>
      <c r="BM283" s="29"/>
      <c r="BN283" s="29"/>
      <c r="BO283" s="29"/>
    </row>
    <row r="284" spans="1:67" s="28" customFormat="1" ht="20.25" customHeight="1">
      <c r="A284" s="272">
        <v>45828</v>
      </c>
      <c r="B284" s="273" t="s">
        <v>1427</v>
      </c>
      <c r="C284" s="273" t="s">
        <v>400</v>
      </c>
      <c r="D284" s="273" t="s">
        <v>212</v>
      </c>
      <c r="E284" s="273" t="s">
        <v>25</v>
      </c>
      <c r="F284" s="273" t="s">
        <v>1428</v>
      </c>
      <c r="G284" s="273" t="s">
        <v>71</v>
      </c>
      <c r="H284" s="273" t="s">
        <v>31</v>
      </c>
      <c r="I284" s="273" t="s">
        <v>63</v>
      </c>
      <c r="J284" s="273" t="s">
        <v>27</v>
      </c>
      <c r="K284" s="273" t="s">
        <v>483</v>
      </c>
      <c r="L284" s="273" t="s">
        <v>75</v>
      </c>
      <c r="M284" s="274"/>
      <c r="N284" s="275">
        <v>1.31</v>
      </c>
      <c r="O284" s="273" t="s">
        <v>67</v>
      </c>
      <c r="P284" s="273" t="s">
        <v>29</v>
      </c>
      <c r="Q284" s="273" t="s">
        <v>470</v>
      </c>
      <c r="R284" s="273" t="s">
        <v>1429</v>
      </c>
      <c r="S284" s="277">
        <v>45853</v>
      </c>
      <c r="T284" s="277">
        <v>45853</v>
      </c>
      <c r="U284" s="278"/>
      <c r="V284" s="279"/>
      <c r="W284" s="280" t="s">
        <v>1430</v>
      </c>
      <c r="X284" s="1"/>
      <c r="Y284" s="281"/>
      <c r="Z284" s="281"/>
      <c r="AA284" s="281"/>
      <c r="AB284" s="281"/>
      <c r="AC284" s="281"/>
      <c r="AD284" s="281"/>
      <c r="AE284" s="281"/>
      <c r="AF284" s="281"/>
      <c r="AG284" s="281"/>
      <c r="AH284" s="281"/>
      <c r="AI284" s="281"/>
      <c r="AJ284" s="281"/>
      <c r="AK284" s="281"/>
      <c r="AL284" s="281"/>
      <c r="AM284" s="281"/>
      <c r="AN284" s="281"/>
      <c r="AO284" s="281"/>
      <c r="AP284" s="281"/>
      <c r="AQ284" s="281"/>
      <c r="AR284" s="281"/>
      <c r="AS284" s="281"/>
      <c r="AT284" s="281"/>
      <c r="AU284" s="281"/>
      <c r="AV284" s="281"/>
      <c r="AW284" s="281"/>
      <c r="AX284" s="281"/>
      <c r="AY284" s="281"/>
      <c r="AZ284" s="281"/>
      <c r="BA284" s="281"/>
      <c r="BB284" s="281"/>
      <c r="BC284" s="281"/>
      <c r="BD284" s="281"/>
      <c r="BE284" s="281"/>
      <c r="BF284" s="282"/>
      <c r="BG284" s="282"/>
      <c r="BH284" s="282"/>
      <c r="BI284" s="282"/>
      <c r="BJ284" s="282"/>
      <c r="BK284" s="282"/>
      <c r="BL284" s="282"/>
      <c r="BM284" s="282"/>
      <c r="BN284" s="282"/>
      <c r="BO284" s="282"/>
    </row>
    <row r="285" spans="1:67" s="28" customFormat="1" ht="20.25" customHeight="1">
      <c r="A285" s="7">
        <v>45828</v>
      </c>
      <c r="B285" s="19" t="s">
        <v>1416</v>
      </c>
      <c r="C285" s="19" t="s">
        <v>267</v>
      </c>
      <c r="D285" s="19" t="s">
        <v>212</v>
      </c>
      <c r="E285" s="19" t="s">
        <v>25</v>
      </c>
      <c r="F285" s="19" t="s">
        <v>1417</v>
      </c>
      <c r="G285" s="19" t="s">
        <v>71</v>
      </c>
      <c r="H285" s="19" t="s">
        <v>31</v>
      </c>
      <c r="I285" s="19" t="s">
        <v>63</v>
      </c>
      <c r="J285" s="19" t="s">
        <v>27</v>
      </c>
      <c r="K285" s="19" t="s">
        <v>351</v>
      </c>
      <c r="L285" s="19" t="s">
        <v>75</v>
      </c>
      <c r="M285" s="20">
        <v>4625</v>
      </c>
      <c r="N285" s="25">
        <v>1.29</v>
      </c>
      <c r="O285" s="19" t="s">
        <v>67</v>
      </c>
      <c r="P285" s="19" t="s">
        <v>29</v>
      </c>
      <c r="Q285" s="104" t="s">
        <v>29</v>
      </c>
      <c r="R285" s="19" t="s">
        <v>1419</v>
      </c>
      <c r="S285" s="8">
        <v>45853</v>
      </c>
      <c r="T285" s="8">
        <v>45853</v>
      </c>
      <c r="U285" s="19"/>
      <c r="V285" s="55">
        <f>M285-Z285-AB285-AD285-AF285-AH285-AJ285-AL285-AN285-AP285-AR285-AT285-AV285-AX285-AZ285-BB285-BD285-BF285-BH285-U285</f>
        <v>-1.4999999999997726</v>
      </c>
      <c r="W285" s="15" t="s">
        <v>1421</v>
      </c>
      <c r="X285" s="19" t="s">
        <v>1420</v>
      </c>
      <c r="Y285" s="46"/>
      <c r="Z285" s="19">
        <f>445.1+3200.5+463.1</f>
        <v>4108.7</v>
      </c>
      <c r="AA285" s="138">
        <v>45860</v>
      </c>
      <c r="AB285" s="19">
        <v>517.79999999999995</v>
      </c>
      <c r="AC285" s="138">
        <v>45866</v>
      </c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</row>
    <row r="286" spans="1:67" s="282" customFormat="1" ht="20.25" customHeight="1">
      <c r="A286" s="7">
        <v>45831</v>
      </c>
      <c r="B286" s="19" t="s">
        <v>1443</v>
      </c>
      <c r="C286" s="19" t="s">
        <v>228</v>
      </c>
      <c r="D286" s="19" t="s">
        <v>212</v>
      </c>
      <c r="E286" s="19" t="s">
        <v>25</v>
      </c>
      <c r="F286" s="19" t="s">
        <v>1444</v>
      </c>
      <c r="G286" s="19" t="s">
        <v>71</v>
      </c>
      <c r="H286" s="19" t="s">
        <v>31</v>
      </c>
      <c r="I286" s="19" t="s">
        <v>63</v>
      </c>
      <c r="J286" s="19" t="s">
        <v>27</v>
      </c>
      <c r="K286" s="19" t="s">
        <v>483</v>
      </c>
      <c r="L286" s="19" t="s">
        <v>75</v>
      </c>
      <c r="M286" s="20">
        <v>50.22</v>
      </c>
      <c r="N286" s="25">
        <v>1.31</v>
      </c>
      <c r="O286" s="19" t="s">
        <v>67</v>
      </c>
      <c r="P286" s="19" t="s">
        <v>29</v>
      </c>
      <c r="Q286" s="19" t="s">
        <v>470</v>
      </c>
      <c r="R286" s="19" t="s">
        <v>1231</v>
      </c>
      <c r="S286" s="8">
        <v>45852</v>
      </c>
      <c r="T286" s="8">
        <v>45852</v>
      </c>
      <c r="U286" s="19"/>
      <c r="V286" s="55">
        <f>M286-Z286-AB286-AD286-AF286-AH286-AJ286-AL286-AN286-AP286-AR286-AT286-AV286-AX286-AZ286-BB286-BD286-BF286-BH286-U286</f>
        <v>-0.88000000000000256</v>
      </c>
      <c r="W286" s="15" t="s">
        <v>1445</v>
      </c>
      <c r="X286" s="19"/>
      <c r="Y286" s="10" t="s">
        <v>1912</v>
      </c>
      <c r="Z286" s="19">
        <v>51.1</v>
      </c>
      <c r="AA286" s="138">
        <v>45870</v>
      </c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</row>
    <row r="287" spans="1:67" s="28" customFormat="1" ht="20.25" customHeight="1">
      <c r="A287" s="11">
        <v>45832</v>
      </c>
      <c r="B287" s="16" t="s">
        <v>1456</v>
      </c>
      <c r="C287" s="16" t="s">
        <v>211</v>
      </c>
      <c r="D287" s="16" t="s">
        <v>212</v>
      </c>
      <c r="E287" s="16" t="s">
        <v>34</v>
      </c>
      <c r="F287" s="16" t="s">
        <v>1457</v>
      </c>
      <c r="G287" s="16" t="s">
        <v>71</v>
      </c>
      <c r="H287" s="16" t="s">
        <v>31</v>
      </c>
      <c r="I287" s="16" t="s">
        <v>63</v>
      </c>
      <c r="J287" s="16" t="s">
        <v>27</v>
      </c>
      <c r="K287" s="16" t="s">
        <v>1458</v>
      </c>
      <c r="L287" s="16" t="s">
        <v>75</v>
      </c>
      <c r="M287" s="17">
        <v>3700</v>
      </c>
      <c r="N287" s="23">
        <v>1.31</v>
      </c>
      <c r="O287" s="16" t="s">
        <v>67</v>
      </c>
      <c r="P287" s="16" t="s">
        <v>29</v>
      </c>
      <c r="Q287" s="16" t="s">
        <v>29</v>
      </c>
      <c r="R287" s="16" t="s">
        <v>1459</v>
      </c>
      <c r="S287" s="12" t="s">
        <v>1418</v>
      </c>
      <c r="T287" s="13">
        <v>45856</v>
      </c>
      <c r="U287" s="19"/>
      <c r="V287" s="53">
        <f>M287-Z287-AB287-AD287-AF287-AH287-AJ287-AL287-AN287-AP287-AR287-AT287-AV287-AX287-AZ287-BB287-BD287-BF287-BH287-U287</f>
        <v>-0.89999999999999858</v>
      </c>
      <c r="W287" s="22" t="s">
        <v>1460</v>
      </c>
      <c r="X287" s="9"/>
      <c r="Y287" s="79" t="s">
        <v>1913</v>
      </c>
      <c r="Z287" s="104">
        <v>3638</v>
      </c>
      <c r="AA287" s="252">
        <v>45861</v>
      </c>
      <c r="AB287" s="104">
        <v>62.9</v>
      </c>
      <c r="AC287" s="252">
        <v>45867</v>
      </c>
    </row>
    <row r="288" spans="1:67" s="29" customFormat="1" ht="20.25" customHeight="1">
      <c r="A288" s="289">
        <v>45833</v>
      </c>
      <c r="B288" s="278" t="s">
        <v>1468</v>
      </c>
      <c r="C288" s="278" t="s">
        <v>77</v>
      </c>
      <c r="D288" s="278" t="s">
        <v>212</v>
      </c>
      <c r="E288" s="278" t="s">
        <v>25</v>
      </c>
      <c r="F288" s="278" t="s">
        <v>1469</v>
      </c>
      <c r="G288" s="278" t="s">
        <v>71</v>
      </c>
      <c r="H288" s="278" t="s">
        <v>31</v>
      </c>
      <c r="I288" s="278" t="s">
        <v>63</v>
      </c>
      <c r="J288" s="278" t="s">
        <v>27</v>
      </c>
      <c r="K288" s="278" t="s">
        <v>1470</v>
      </c>
      <c r="L288" s="278" t="s">
        <v>75</v>
      </c>
      <c r="M288" s="290"/>
      <c r="N288" s="291">
        <v>1.31</v>
      </c>
      <c r="O288" s="278" t="s">
        <v>67</v>
      </c>
      <c r="P288" s="278" t="s">
        <v>29</v>
      </c>
      <c r="Q288" s="278" t="s">
        <v>1471</v>
      </c>
      <c r="R288" s="278" t="s">
        <v>1472</v>
      </c>
      <c r="S288" s="297" t="s">
        <v>1467</v>
      </c>
      <c r="T288" s="292">
        <v>45856</v>
      </c>
      <c r="U288" s="278"/>
      <c r="V288" s="293">
        <f>M288-U288-X288-AA288</f>
        <v>0</v>
      </c>
      <c r="W288" s="294" t="s">
        <v>1473</v>
      </c>
      <c r="X288" s="1"/>
      <c r="Y288" s="287"/>
      <c r="Z288" s="287"/>
      <c r="AA288" s="287"/>
      <c r="AB288" s="287"/>
      <c r="AC288" s="287"/>
      <c r="AD288" s="287"/>
      <c r="AE288" s="287"/>
      <c r="AF288" s="287"/>
      <c r="AG288" s="287"/>
      <c r="AH288" s="287"/>
      <c r="AI288" s="287"/>
      <c r="AJ288" s="287"/>
      <c r="AK288" s="287"/>
      <c r="AL288" s="287"/>
      <c r="AM288" s="287"/>
      <c r="AN288" s="287"/>
      <c r="AO288" s="287"/>
      <c r="AP288" s="287"/>
      <c r="AQ288" s="287"/>
      <c r="AR288" s="287"/>
      <c r="AS288" s="287"/>
      <c r="AT288" s="287"/>
      <c r="AU288" s="287"/>
      <c r="AV288" s="287"/>
      <c r="AW288" s="287"/>
      <c r="AX288" s="287"/>
      <c r="AY288" s="287"/>
      <c r="AZ288" s="287"/>
      <c r="BA288" s="287"/>
      <c r="BB288" s="287"/>
      <c r="BC288" s="287"/>
      <c r="BD288" s="287"/>
      <c r="BE288" s="287"/>
      <c r="BF288" s="287"/>
      <c r="BG288" s="286"/>
      <c r="BH288" s="286"/>
      <c r="BI288" s="286"/>
      <c r="BJ288" s="286"/>
      <c r="BK288" s="286"/>
      <c r="BL288" s="286"/>
      <c r="BM288" s="286"/>
      <c r="BN288" s="286"/>
      <c r="BO288" s="286"/>
    </row>
    <row r="289" spans="1:67" s="28" customFormat="1" ht="20.25" customHeight="1">
      <c r="A289" s="11">
        <v>45834</v>
      </c>
      <c r="B289" s="16" t="s">
        <v>1495</v>
      </c>
      <c r="C289" s="16" t="s">
        <v>267</v>
      </c>
      <c r="D289" s="16" t="s">
        <v>212</v>
      </c>
      <c r="E289" s="16" t="s">
        <v>25</v>
      </c>
      <c r="F289" s="16" t="s">
        <v>1496</v>
      </c>
      <c r="G289" s="16" t="s">
        <v>71</v>
      </c>
      <c r="H289" s="16" t="s">
        <v>26</v>
      </c>
      <c r="I289" s="16" t="s">
        <v>63</v>
      </c>
      <c r="J289" s="16" t="s">
        <v>27</v>
      </c>
      <c r="K289" s="16" t="s">
        <v>214</v>
      </c>
      <c r="L289" s="16" t="s">
        <v>75</v>
      </c>
      <c r="M289" s="17">
        <v>9350</v>
      </c>
      <c r="N289" s="23">
        <v>1.29</v>
      </c>
      <c r="O289" s="16" t="s">
        <v>1063</v>
      </c>
      <c r="P289" s="16" t="s">
        <v>29</v>
      </c>
      <c r="Q289" s="16" t="s">
        <v>29</v>
      </c>
      <c r="R289" s="16" t="s">
        <v>1498</v>
      </c>
      <c r="S289" s="12" t="s">
        <v>1497</v>
      </c>
      <c r="T289" s="13">
        <v>45859</v>
      </c>
      <c r="U289" s="19"/>
      <c r="V289" s="53">
        <f>M289-Z289-AB289-AD289-AF289-AH289-AJ289-AL289-AN289-AP289-AR289-AT289-AV289-AX289-AZ289-BB289-BD289-BF289-BH289-U289</f>
        <v>-0.59999999999854481</v>
      </c>
      <c r="W289" s="22" t="s">
        <v>1499</v>
      </c>
      <c r="X289" s="26"/>
      <c r="Y289" s="29"/>
      <c r="Z289" s="104">
        <v>1080</v>
      </c>
      <c r="AA289" s="85">
        <v>45852</v>
      </c>
      <c r="AB289" s="104">
        <f>949.3+305+801.3+1931+3375.7+908.3</f>
        <v>8270.5999999999985</v>
      </c>
      <c r="AC289" s="105">
        <v>45860</v>
      </c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</row>
    <row r="290" spans="1:67" s="29" customFormat="1" ht="20.25" customHeight="1">
      <c r="A290" s="11">
        <v>45834</v>
      </c>
      <c r="B290" s="16" t="s">
        <v>1491</v>
      </c>
      <c r="C290" s="16" t="s">
        <v>267</v>
      </c>
      <c r="D290" s="16" t="s">
        <v>212</v>
      </c>
      <c r="E290" s="16" t="s">
        <v>25</v>
      </c>
      <c r="F290" s="16" t="s">
        <v>1492</v>
      </c>
      <c r="G290" s="16" t="s">
        <v>71</v>
      </c>
      <c r="H290" s="16" t="s">
        <v>31</v>
      </c>
      <c r="I290" s="16" t="s">
        <v>63</v>
      </c>
      <c r="J290" s="16" t="s">
        <v>27</v>
      </c>
      <c r="K290" s="16" t="s">
        <v>218</v>
      </c>
      <c r="L290" s="16" t="s">
        <v>75</v>
      </c>
      <c r="M290" s="17">
        <v>4475</v>
      </c>
      <c r="N290" s="23">
        <v>1.29</v>
      </c>
      <c r="O290" s="16" t="s">
        <v>1063</v>
      </c>
      <c r="P290" s="16" t="s">
        <v>29</v>
      </c>
      <c r="Q290" s="16" t="s">
        <v>29</v>
      </c>
      <c r="R290" s="16" t="s">
        <v>1493</v>
      </c>
      <c r="S290" s="12" t="s">
        <v>1490</v>
      </c>
      <c r="T290" s="13">
        <v>45859</v>
      </c>
      <c r="U290" s="19"/>
      <c r="V290" s="53">
        <f>M290-Z290-AB290-AD290-AF290-AH290-AJ290-AL290-AN290-AP290-AR290-AT290-AV290-AX290-AZ290-BB290-BD290-BF290-BH290-U290</f>
        <v>-0.5</v>
      </c>
      <c r="W290" s="22" t="s">
        <v>1494</v>
      </c>
      <c r="X290" s="1"/>
      <c r="Z290" s="104">
        <f>1389.3+1904.9+1181.3</f>
        <v>4475.5</v>
      </c>
      <c r="AA290" s="105">
        <v>45860</v>
      </c>
      <c r="BG290" s="28"/>
      <c r="BH290" s="28"/>
      <c r="BI290" s="28"/>
      <c r="BJ290" s="28"/>
      <c r="BK290" s="28"/>
      <c r="BL290" s="28"/>
      <c r="BM290" s="28"/>
      <c r="BN290" s="28"/>
      <c r="BO290" s="28"/>
    </row>
    <row r="291" spans="1:67" s="211" customFormat="1" ht="20.25" customHeight="1">
      <c r="A291" s="11">
        <v>45834</v>
      </c>
      <c r="B291" s="16" t="s">
        <v>1516</v>
      </c>
      <c r="C291" s="16" t="s">
        <v>1568</v>
      </c>
      <c r="D291" s="16" t="s">
        <v>212</v>
      </c>
      <c r="E291" s="16" t="s">
        <v>25</v>
      </c>
      <c r="F291" s="16" t="s">
        <v>1517</v>
      </c>
      <c r="G291" s="16" t="s">
        <v>71</v>
      </c>
      <c r="H291" s="16" t="s">
        <v>26</v>
      </c>
      <c r="I291" s="16" t="s">
        <v>63</v>
      </c>
      <c r="J291" s="16" t="s">
        <v>27</v>
      </c>
      <c r="K291" s="16" t="s">
        <v>239</v>
      </c>
      <c r="L291" s="16" t="s">
        <v>75</v>
      </c>
      <c r="M291" s="17">
        <v>41137</v>
      </c>
      <c r="N291" s="23">
        <v>1.31</v>
      </c>
      <c r="O291" s="16" t="s">
        <v>1063</v>
      </c>
      <c r="P291" s="16" t="s">
        <v>29</v>
      </c>
      <c r="Q291" s="16" t="s">
        <v>29</v>
      </c>
      <c r="R291" s="16" t="s">
        <v>1520</v>
      </c>
      <c r="S291" s="12" t="s">
        <v>1518</v>
      </c>
      <c r="T291" s="13">
        <v>45863</v>
      </c>
      <c r="U291" s="19"/>
      <c r="V291" s="53">
        <f>M291-Z291-AB291-AD291-AF291-AH291-AJ291-AL291-AN291-AP291-AR291-AT291-AV291-AX291-AZ291-BB291-BD291-BF291-BH291-U291</f>
        <v>-3.6999999999996476</v>
      </c>
      <c r="W291" s="22" t="s">
        <v>1522</v>
      </c>
      <c r="X291" s="16"/>
      <c r="Y291" s="9"/>
      <c r="Z291" s="19">
        <v>3203</v>
      </c>
      <c r="AA291" s="227">
        <v>45854</v>
      </c>
      <c r="AB291" s="19">
        <f>2654.7+309.3+2032.9+418.3</f>
        <v>5415.2</v>
      </c>
      <c r="AC291" s="227">
        <v>45860</v>
      </c>
      <c r="AD291" s="104">
        <f>2543.6+655.4+1642.8</f>
        <v>4841.8</v>
      </c>
      <c r="AE291" s="252">
        <v>45867</v>
      </c>
      <c r="AF291" s="104">
        <v>885.9</v>
      </c>
      <c r="AG291" s="252">
        <v>45868</v>
      </c>
      <c r="AH291" s="104">
        <v>2666.2</v>
      </c>
      <c r="AI291" s="252">
        <v>45870</v>
      </c>
      <c r="AJ291" s="104">
        <v>384.6</v>
      </c>
      <c r="AK291" s="252">
        <v>45874</v>
      </c>
      <c r="AL291" s="104">
        <f>664+1353.4+3699.9</f>
        <v>5717.3</v>
      </c>
      <c r="AM291" s="252">
        <v>45882</v>
      </c>
      <c r="AN291" s="104">
        <f>4672.5+2175+2064+3350</f>
        <v>12261.5</v>
      </c>
      <c r="AO291" s="252">
        <v>45884</v>
      </c>
      <c r="AP291" s="104">
        <f>4905.9+434</f>
        <v>5339.9</v>
      </c>
      <c r="AQ291" s="252">
        <v>45888</v>
      </c>
      <c r="AR291" s="104">
        <v>21.8</v>
      </c>
      <c r="AS291" s="252">
        <v>45889</v>
      </c>
      <c r="AT291" s="104">
        <v>403.5</v>
      </c>
      <c r="AU291" s="252">
        <v>45895</v>
      </c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9"/>
      <c r="BH291" s="29"/>
      <c r="BI291" s="29"/>
      <c r="BJ291" s="29"/>
      <c r="BK291" s="29"/>
      <c r="BL291" s="29"/>
      <c r="BM291" s="29"/>
      <c r="BN291" s="29"/>
      <c r="BO291" s="29"/>
    </row>
    <row r="292" spans="1:67" s="211" customFormat="1" ht="20.25" customHeight="1">
      <c r="A292" s="7">
        <v>45834</v>
      </c>
      <c r="B292" s="19" t="s">
        <v>1516</v>
      </c>
      <c r="C292" s="19" t="s">
        <v>211</v>
      </c>
      <c r="D292" s="19" t="s">
        <v>212</v>
      </c>
      <c r="E292" s="19" t="s">
        <v>25</v>
      </c>
      <c r="F292" s="19" t="s">
        <v>1517</v>
      </c>
      <c r="G292" s="19" t="s">
        <v>71</v>
      </c>
      <c r="H292" s="19" t="s">
        <v>26</v>
      </c>
      <c r="I292" s="270" t="s">
        <v>63</v>
      </c>
      <c r="J292" s="270" t="s">
        <v>27</v>
      </c>
      <c r="K292" s="19" t="s">
        <v>1346</v>
      </c>
      <c r="L292" s="19" t="s">
        <v>75</v>
      </c>
      <c r="M292" s="20">
        <v>10000</v>
      </c>
      <c r="N292" s="25">
        <v>1.31</v>
      </c>
      <c r="O292" s="19" t="s">
        <v>1063</v>
      </c>
      <c r="P292" s="19" t="s">
        <v>29</v>
      </c>
      <c r="Q292" s="19" t="s">
        <v>29</v>
      </c>
      <c r="R292" s="19" t="s">
        <v>539</v>
      </c>
      <c r="S292" s="45" t="s">
        <v>1518</v>
      </c>
      <c r="T292" s="8">
        <v>45863</v>
      </c>
      <c r="U292" s="19"/>
      <c r="V292" s="55">
        <f>M292-Z292-AB292-AD292-AF292-AH292-AJ292-AL292-AN292-AP292-AR292-AT292-AV292-AX292-AZ292-BB292-BD292-BF292-BH292-U292</f>
        <v>-0.89999999999986358</v>
      </c>
      <c r="W292" s="15" t="s">
        <v>1519</v>
      </c>
      <c r="X292" s="19"/>
      <c r="Y292" s="141" t="s">
        <v>2062</v>
      </c>
      <c r="Z292" s="104">
        <f>2631.3</f>
        <v>2631.3</v>
      </c>
      <c r="AA292" s="123">
        <v>45854</v>
      </c>
      <c r="AB292" s="104">
        <v>149.69999999999999</v>
      </c>
      <c r="AC292" s="123">
        <v>45860</v>
      </c>
      <c r="AD292" s="104">
        <v>1348.3</v>
      </c>
      <c r="AE292" s="123">
        <v>45868</v>
      </c>
      <c r="AF292" s="104">
        <v>1241.5</v>
      </c>
      <c r="AG292" s="123">
        <v>45874</v>
      </c>
      <c r="AH292" s="104">
        <f>487.6+677.5+388.8+895.7+1469.8</f>
        <v>3919.3999999999996</v>
      </c>
      <c r="AI292" s="123">
        <v>45876</v>
      </c>
      <c r="AJ292" s="104">
        <f>36.7+674</f>
        <v>710.7</v>
      </c>
      <c r="AK292" s="123">
        <v>45880</v>
      </c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</row>
    <row r="293" spans="1:67" s="28" customFormat="1" ht="20.25" customHeight="1">
      <c r="A293" s="11">
        <v>45834</v>
      </c>
      <c r="B293" s="16" t="s">
        <v>1512</v>
      </c>
      <c r="C293" s="16" t="s">
        <v>267</v>
      </c>
      <c r="D293" s="16" t="s">
        <v>212</v>
      </c>
      <c r="E293" s="16" t="s">
        <v>25</v>
      </c>
      <c r="F293" s="16" t="s">
        <v>1513</v>
      </c>
      <c r="G293" s="16" t="s">
        <v>71</v>
      </c>
      <c r="H293" s="16" t="s">
        <v>26</v>
      </c>
      <c r="I293" s="16" t="s">
        <v>63</v>
      </c>
      <c r="J293" s="16" t="s">
        <v>27</v>
      </c>
      <c r="K293" s="16" t="s">
        <v>351</v>
      </c>
      <c r="L293" s="16" t="s">
        <v>75</v>
      </c>
      <c r="M293" s="17">
        <v>325</v>
      </c>
      <c r="N293" s="23">
        <v>1.29</v>
      </c>
      <c r="O293" s="16" t="s">
        <v>67</v>
      </c>
      <c r="P293" s="16" t="s">
        <v>29</v>
      </c>
      <c r="Q293" s="16" t="s">
        <v>29</v>
      </c>
      <c r="R293" s="16" t="s">
        <v>1514</v>
      </c>
      <c r="S293" s="12" t="s">
        <v>1192</v>
      </c>
      <c r="T293" s="13">
        <v>45859</v>
      </c>
      <c r="U293" s="19"/>
      <c r="V293" s="53">
        <f>M293-U293-Z293-AB293</f>
        <v>-1.6000000000000227</v>
      </c>
      <c r="W293" s="22" t="s">
        <v>1515</v>
      </c>
      <c r="X293" s="88"/>
      <c r="Z293" s="104">
        <v>326.60000000000002</v>
      </c>
      <c r="AA293" s="85">
        <v>45852</v>
      </c>
    </row>
    <row r="294" spans="1:67" s="36" customFormat="1" ht="20.25" customHeight="1">
      <c r="A294" s="11">
        <v>45834</v>
      </c>
      <c r="B294" s="16" t="s">
        <v>1495</v>
      </c>
      <c r="C294" s="16" t="s">
        <v>267</v>
      </c>
      <c r="D294" s="16" t="s">
        <v>212</v>
      </c>
      <c r="E294" s="16" t="s">
        <v>25</v>
      </c>
      <c r="F294" s="16" t="s">
        <v>1496</v>
      </c>
      <c r="G294" s="16" t="s">
        <v>71</v>
      </c>
      <c r="H294" s="16" t="s">
        <v>26</v>
      </c>
      <c r="I294" s="16" t="s">
        <v>63</v>
      </c>
      <c r="J294" s="16" t="s">
        <v>27</v>
      </c>
      <c r="K294" s="16" t="s">
        <v>337</v>
      </c>
      <c r="L294" s="16" t="s">
        <v>75</v>
      </c>
      <c r="M294" s="17">
        <v>1200</v>
      </c>
      <c r="N294" s="23">
        <v>1.29</v>
      </c>
      <c r="O294" s="16" t="s">
        <v>67</v>
      </c>
      <c r="P294" s="16" t="s">
        <v>29</v>
      </c>
      <c r="Q294" s="16" t="s">
        <v>29</v>
      </c>
      <c r="R294" s="16" t="s">
        <v>1500</v>
      </c>
      <c r="S294" s="12" t="s">
        <v>1497</v>
      </c>
      <c r="T294" s="13">
        <v>45859</v>
      </c>
      <c r="U294" s="19"/>
      <c r="V294" s="53">
        <f>M294-Z294-AB294-AD294-AF294-AH294-AJ294-AL294-AN294-AP294-AR294-AT294-AV294-AX294-AZ294-BB294-BD294-BF294-BH294-U294</f>
        <v>-1</v>
      </c>
      <c r="W294" s="22" t="s">
        <v>1501</v>
      </c>
      <c r="X294" s="210"/>
      <c r="Y294" s="210"/>
      <c r="Z294" s="19">
        <v>189.3</v>
      </c>
      <c r="AA294" s="24">
        <v>45852</v>
      </c>
      <c r="AB294" s="19">
        <v>1011.7</v>
      </c>
      <c r="AC294" s="283">
        <v>45860</v>
      </c>
      <c r="AD294" s="210"/>
      <c r="AE294" s="210"/>
      <c r="AF294" s="210"/>
      <c r="AG294" s="210"/>
      <c r="AH294" s="210"/>
      <c r="AI294" s="210"/>
      <c r="AJ294" s="210"/>
      <c r="AK294" s="210"/>
      <c r="AL294" s="210"/>
      <c r="AM294" s="210"/>
      <c r="AN294" s="210"/>
      <c r="AO294" s="210"/>
      <c r="AP294" s="210"/>
      <c r="AQ294" s="210"/>
      <c r="AR294" s="210"/>
      <c r="AS294" s="210"/>
      <c r="AT294" s="210"/>
      <c r="AU294" s="210"/>
      <c r="AV294" s="210"/>
      <c r="AW294" s="210"/>
      <c r="AX294" s="210"/>
      <c r="AY294" s="210"/>
      <c r="AZ294" s="210"/>
      <c r="BA294" s="210"/>
      <c r="BB294" s="210"/>
      <c r="BC294" s="210"/>
      <c r="BD294" s="210"/>
      <c r="BE294" s="210"/>
      <c r="BF294" s="211"/>
      <c r="BG294" s="254"/>
      <c r="BH294" s="254"/>
      <c r="BI294" s="254"/>
      <c r="BJ294" s="254"/>
      <c r="BK294" s="254"/>
      <c r="BL294" s="254"/>
      <c r="BM294" s="254"/>
      <c r="BN294" s="254"/>
      <c r="BO294" s="254"/>
    </row>
    <row r="295" spans="1:67" s="28" customFormat="1" ht="20.25" customHeight="1">
      <c r="A295" s="11">
        <v>45834</v>
      </c>
      <c r="B295" s="16" t="s">
        <v>1502</v>
      </c>
      <c r="C295" s="16" t="s">
        <v>267</v>
      </c>
      <c r="D295" s="16" t="s">
        <v>212</v>
      </c>
      <c r="E295" s="16" t="s">
        <v>25</v>
      </c>
      <c r="F295" s="16" t="s">
        <v>1503</v>
      </c>
      <c r="G295" s="16" t="s">
        <v>71</v>
      </c>
      <c r="H295" s="16" t="s">
        <v>26</v>
      </c>
      <c r="I295" s="16" t="s">
        <v>63</v>
      </c>
      <c r="J295" s="16" t="s">
        <v>27</v>
      </c>
      <c r="K295" s="16" t="s">
        <v>372</v>
      </c>
      <c r="L295" s="16" t="s">
        <v>75</v>
      </c>
      <c r="M295" s="17">
        <v>2000</v>
      </c>
      <c r="N295" s="23">
        <v>1.29</v>
      </c>
      <c r="O295" s="16" t="s">
        <v>67</v>
      </c>
      <c r="P295" s="16" t="s">
        <v>29</v>
      </c>
      <c r="Q295" s="16" t="s">
        <v>29</v>
      </c>
      <c r="R295" s="16" t="s">
        <v>1504</v>
      </c>
      <c r="S295" s="12" t="s">
        <v>1497</v>
      </c>
      <c r="T295" s="13">
        <v>45859</v>
      </c>
      <c r="U295" s="19"/>
      <c r="V295" s="53">
        <f>M295-Z295-AB295-AD295-AF295-AH295-AJ295-AL295-AN295-AP295-AR295-AT295-AV295-AX295-AZ295-BB295-BD295-BF295-BH295-U295</f>
        <v>-0.30000000000009663</v>
      </c>
      <c r="W295" s="22" t="s">
        <v>1506</v>
      </c>
      <c r="X295" s="84" t="s">
        <v>1505</v>
      </c>
      <c r="Y295" s="211"/>
      <c r="Z295" s="104">
        <v>1644.4</v>
      </c>
      <c r="AA295" s="85">
        <v>45852</v>
      </c>
      <c r="AB295" s="82">
        <v>162.9</v>
      </c>
      <c r="AC295" s="362">
        <v>45866</v>
      </c>
      <c r="AD295" s="104">
        <v>193</v>
      </c>
      <c r="AE295" s="362">
        <v>45870</v>
      </c>
      <c r="AF295" s="211"/>
      <c r="AG295" s="211"/>
      <c r="AH295" s="211"/>
      <c r="AI295" s="211"/>
      <c r="AJ295" s="211"/>
      <c r="AK295" s="211"/>
      <c r="AL295" s="211"/>
      <c r="AM295" s="211"/>
      <c r="AN295" s="211"/>
      <c r="AO295" s="211"/>
      <c r="AP295" s="211"/>
      <c r="AQ295" s="211"/>
      <c r="AR295" s="211"/>
      <c r="AS295" s="211"/>
      <c r="AT295" s="211"/>
      <c r="AU295" s="211"/>
      <c r="AV295" s="211"/>
      <c r="AW295" s="211"/>
      <c r="AX295" s="211"/>
      <c r="AY295" s="211"/>
      <c r="AZ295" s="211"/>
      <c r="BA295" s="211"/>
      <c r="BB295" s="211"/>
      <c r="BC295" s="211"/>
      <c r="BD295" s="211"/>
      <c r="BE295" s="211"/>
      <c r="BF295" s="211"/>
    </row>
    <row r="296" spans="1:67" s="28" customFormat="1" ht="20.25" customHeight="1">
      <c r="A296" s="11">
        <v>45834</v>
      </c>
      <c r="B296" s="16" t="s">
        <v>1516</v>
      </c>
      <c r="C296" s="16" t="s">
        <v>211</v>
      </c>
      <c r="D296" s="16" t="s">
        <v>212</v>
      </c>
      <c r="E296" s="16" t="s">
        <v>25</v>
      </c>
      <c r="F296" s="16" t="s">
        <v>1517</v>
      </c>
      <c r="G296" s="16" t="s">
        <v>71</v>
      </c>
      <c r="H296" s="16" t="s">
        <v>26</v>
      </c>
      <c r="I296" s="16" t="s">
        <v>63</v>
      </c>
      <c r="J296" s="16" t="s">
        <v>27</v>
      </c>
      <c r="K296" s="16" t="s">
        <v>337</v>
      </c>
      <c r="L296" s="16" t="s">
        <v>75</v>
      </c>
      <c r="M296" s="17">
        <v>10000</v>
      </c>
      <c r="N296" s="23">
        <v>1.31</v>
      </c>
      <c r="O296" s="16" t="s">
        <v>67</v>
      </c>
      <c r="P296" s="16" t="s">
        <v>29</v>
      </c>
      <c r="Q296" s="16" t="s">
        <v>29</v>
      </c>
      <c r="R296" s="16" t="s">
        <v>1520</v>
      </c>
      <c r="S296" s="12" t="s">
        <v>1518</v>
      </c>
      <c r="T296" s="13">
        <v>45863</v>
      </c>
      <c r="U296" s="315"/>
      <c r="V296" s="55">
        <f>M296-Z296-AB296-AD296-AF296-AH296-AJ296-AL296-AN296-AP296-AR296-AT296-AV296-AX296-AZ296-BB296-BD296-BF296-BH296-U296</f>
        <v>-6.8999999999996362</v>
      </c>
      <c r="W296" s="22" t="s">
        <v>1521</v>
      </c>
      <c r="X296" s="338"/>
      <c r="Y296" s="340"/>
      <c r="Z296" s="240">
        <v>1273.4000000000001</v>
      </c>
      <c r="AA296" s="370">
        <v>45860</v>
      </c>
      <c r="AB296" s="240">
        <f>208.5+1050</f>
        <v>1258.5</v>
      </c>
      <c r="AC296" s="370">
        <v>45867</v>
      </c>
      <c r="AD296" s="104">
        <f>93.4+618+3107.3</f>
        <v>3818.7000000000003</v>
      </c>
      <c r="AE296" s="252">
        <v>45874</v>
      </c>
      <c r="AF296" s="104">
        <v>275.10000000000002</v>
      </c>
      <c r="AG296" s="252">
        <v>45876</v>
      </c>
      <c r="AH296" s="104">
        <v>3381.2</v>
      </c>
      <c r="AI296" s="252">
        <v>45863</v>
      </c>
      <c r="BG296" s="254"/>
      <c r="BH296" s="254"/>
      <c r="BI296" s="254"/>
      <c r="BJ296" s="254"/>
      <c r="BK296" s="254"/>
      <c r="BL296" s="254"/>
      <c r="BM296" s="254"/>
      <c r="BN296" s="254"/>
      <c r="BO296" s="254"/>
    </row>
    <row r="297" spans="1:67" s="28" customFormat="1" ht="20.25" customHeight="1">
      <c r="A297" s="11">
        <v>45834</v>
      </c>
      <c r="B297" s="16" t="s">
        <v>1507</v>
      </c>
      <c r="C297" s="16" t="s">
        <v>267</v>
      </c>
      <c r="D297" s="16" t="s">
        <v>212</v>
      </c>
      <c r="E297" s="16" t="s">
        <v>25</v>
      </c>
      <c r="F297" s="16" t="s">
        <v>1508</v>
      </c>
      <c r="G297" s="16" t="s">
        <v>71</v>
      </c>
      <c r="H297" s="16" t="s">
        <v>31</v>
      </c>
      <c r="I297" s="16" t="s">
        <v>63</v>
      </c>
      <c r="J297" s="16" t="s">
        <v>27</v>
      </c>
      <c r="K297" s="16" t="s">
        <v>372</v>
      </c>
      <c r="L297" s="16" t="s">
        <v>75</v>
      </c>
      <c r="M297" s="17">
        <v>925</v>
      </c>
      <c r="N297" s="23">
        <v>1.29</v>
      </c>
      <c r="O297" s="16" t="s">
        <v>67</v>
      </c>
      <c r="P297" s="16" t="s">
        <v>29</v>
      </c>
      <c r="Q297" s="16" t="s">
        <v>29</v>
      </c>
      <c r="R297" s="16" t="s">
        <v>1509</v>
      </c>
      <c r="S297" s="12" t="s">
        <v>1192</v>
      </c>
      <c r="T297" s="13">
        <v>45859</v>
      </c>
      <c r="U297" s="19"/>
      <c r="V297" s="53">
        <f>M297-Z297-AB297-AD297-AF297-AH297-AJ297-AL297-AN297-AP297-AR297-AT297-AV297-AX297-AZ297-BB297-BD297-BF297-BH297-U297</f>
        <v>-0.89999999999997726</v>
      </c>
      <c r="W297" s="22" t="s">
        <v>1511</v>
      </c>
      <c r="X297" s="16" t="s">
        <v>1510</v>
      </c>
      <c r="Y297" s="88"/>
      <c r="Z297" s="19">
        <v>18.899999999999999</v>
      </c>
      <c r="AA297" s="227">
        <v>45866</v>
      </c>
      <c r="AB297" s="19">
        <v>907</v>
      </c>
      <c r="AC297" s="227">
        <v>45876</v>
      </c>
    </row>
    <row r="298" spans="1:67" s="253" customFormat="1" ht="20.25" customHeight="1">
      <c r="A298" s="11">
        <v>45838</v>
      </c>
      <c r="B298" s="16" t="s">
        <v>1528</v>
      </c>
      <c r="C298" s="16" t="s">
        <v>228</v>
      </c>
      <c r="D298" s="16" t="s">
        <v>212</v>
      </c>
      <c r="E298" s="16" t="s">
        <v>25</v>
      </c>
      <c r="F298" s="16" t="s">
        <v>1529</v>
      </c>
      <c r="G298" s="16" t="s">
        <v>71</v>
      </c>
      <c r="H298" s="16" t="s">
        <v>31</v>
      </c>
      <c r="I298" s="16" t="s">
        <v>63</v>
      </c>
      <c r="J298" s="16" t="s">
        <v>27</v>
      </c>
      <c r="K298" s="16" t="s">
        <v>214</v>
      </c>
      <c r="L298" s="16" t="s">
        <v>75</v>
      </c>
      <c r="M298" s="17">
        <v>2897.34</v>
      </c>
      <c r="N298" s="23">
        <v>1.31</v>
      </c>
      <c r="O298" s="16" t="s">
        <v>1063</v>
      </c>
      <c r="P298" s="16" t="s">
        <v>29</v>
      </c>
      <c r="Q298" s="16" t="s">
        <v>1217</v>
      </c>
      <c r="R298" s="16" t="s">
        <v>1216</v>
      </c>
      <c r="S298" s="12" t="s">
        <v>1530</v>
      </c>
      <c r="T298" s="13">
        <v>45863</v>
      </c>
      <c r="U298" s="19"/>
      <c r="V298" s="53">
        <f>M298-Z298-AB298-AD298-AF298-AH298-AJ298-AL298-AN298-AP298-AR298-AT298-AV298-AX298-AZ298-BB298-BD298-BF298-BH298-U298</f>
        <v>-6.3600000000001273</v>
      </c>
      <c r="W298" s="22" t="s">
        <v>1531</v>
      </c>
      <c r="X298" s="88"/>
      <c r="Y298" s="88"/>
      <c r="Z298" s="19">
        <v>512</v>
      </c>
      <c r="AA298" s="14">
        <v>45849</v>
      </c>
      <c r="AB298" s="19">
        <f>242.8+2148.9</f>
        <v>2391.7000000000003</v>
      </c>
      <c r="AC298" s="14">
        <v>45855</v>
      </c>
      <c r="AD298" s="34"/>
      <c r="AE298" s="34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36"/>
      <c r="BH298" s="36"/>
      <c r="BI298" s="36"/>
      <c r="BJ298" s="36"/>
      <c r="BK298" s="36"/>
      <c r="BL298" s="36"/>
      <c r="BM298" s="36"/>
      <c r="BN298" s="36"/>
      <c r="BO298" s="36"/>
    </row>
    <row r="299" spans="1:67" s="28" customFormat="1" ht="20.25" customHeight="1">
      <c r="A299" s="11">
        <v>45838</v>
      </c>
      <c r="B299" s="16" t="s">
        <v>1550</v>
      </c>
      <c r="C299" s="16" t="s">
        <v>267</v>
      </c>
      <c r="D299" s="16" t="s">
        <v>212</v>
      </c>
      <c r="E299" s="16" t="s">
        <v>25</v>
      </c>
      <c r="F299" s="16" t="s">
        <v>1551</v>
      </c>
      <c r="G299" s="16" t="s">
        <v>71</v>
      </c>
      <c r="H299" s="16" t="s">
        <v>31</v>
      </c>
      <c r="I299" s="16" t="s">
        <v>63</v>
      </c>
      <c r="J299" s="16" t="s">
        <v>27</v>
      </c>
      <c r="K299" s="16" t="s">
        <v>673</v>
      </c>
      <c r="L299" s="16" t="s">
        <v>75</v>
      </c>
      <c r="M299" s="17">
        <v>1300</v>
      </c>
      <c r="N299" s="23">
        <v>1.31</v>
      </c>
      <c r="O299" s="16" t="s">
        <v>1063</v>
      </c>
      <c r="P299" s="16" t="s">
        <v>29</v>
      </c>
      <c r="Q299" s="16" t="s">
        <v>29</v>
      </c>
      <c r="R299" s="16" t="s">
        <v>1552</v>
      </c>
      <c r="S299" s="12" t="s">
        <v>1530</v>
      </c>
      <c r="T299" s="13">
        <v>45863</v>
      </c>
      <c r="U299" s="19"/>
      <c r="V299" s="53">
        <f>M299-Z299-AB299-AD299-AF299-AH299-AJ299-AL299-AN299-AP299-AR299-AT299-AV299-AX299-AZ299-BB299-BD299-BF299-BH299-U299</f>
        <v>-1.9000000000000909</v>
      </c>
      <c r="W299" s="22" t="s">
        <v>1553</v>
      </c>
      <c r="X299" s="65"/>
      <c r="Z299" s="19">
        <v>1301.9000000000001</v>
      </c>
      <c r="AA299" s="227">
        <v>45860</v>
      </c>
      <c r="BG299" s="29"/>
      <c r="BH299" s="29"/>
      <c r="BI299" s="29"/>
      <c r="BJ299" s="29"/>
      <c r="BK299" s="29"/>
      <c r="BL299" s="29"/>
      <c r="BM299" s="29"/>
      <c r="BN299" s="29"/>
      <c r="BO299" s="29"/>
    </row>
    <row r="300" spans="1:67" s="28" customFormat="1" ht="20.25" customHeight="1">
      <c r="A300" s="11">
        <v>45838</v>
      </c>
      <c r="B300" s="16" t="s">
        <v>1532</v>
      </c>
      <c r="C300" s="16" t="s">
        <v>228</v>
      </c>
      <c r="D300" s="16" t="s">
        <v>212</v>
      </c>
      <c r="E300" s="16" t="s">
        <v>25</v>
      </c>
      <c r="F300" s="16" t="s">
        <v>1533</v>
      </c>
      <c r="G300" s="16" t="s">
        <v>71</v>
      </c>
      <c r="H300" s="16" t="s">
        <v>31</v>
      </c>
      <c r="I300" s="16" t="s">
        <v>63</v>
      </c>
      <c r="J300" s="16" t="s">
        <v>27</v>
      </c>
      <c r="K300" s="16" t="s">
        <v>239</v>
      </c>
      <c r="L300" s="16" t="s">
        <v>75</v>
      </c>
      <c r="M300" s="17">
        <v>1875.8</v>
      </c>
      <c r="N300" s="23">
        <v>1.31</v>
      </c>
      <c r="O300" s="16" t="s">
        <v>1063</v>
      </c>
      <c r="P300" s="16" t="s">
        <v>29</v>
      </c>
      <c r="Q300" s="16" t="s">
        <v>1217</v>
      </c>
      <c r="R300" s="16" t="s">
        <v>1216</v>
      </c>
      <c r="S300" s="12" t="s">
        <v>1530</v>
      </c>
      <c r="T300" s="13">
        <v>45863</v>
      </c>
      <c r="U300" s="315"/>
      <c r="V300" s="53">
        <f>M300-Z300-AB300-AD300-AF300-AH300-AJ300-AL300-AN300-AP300-AR300-AT300-AV300-AX300-AZ300-BB300-BD300-BF300-BH300-U300</f>
        <v>-4.0000000000001137</v>
      </c>
      <c r="W300" s="22" t="s">
        <v>1534</v>
      </c>
      <c r="X300" s="84"/>
      <c r="Z300" s="104">
        <v>971.6</v>
      </c>
      <c r="AA300" s="252">
        <v>45861</v>
      </c>
      <c r="AB300" s="28">
        <v>908.2</v>
      </c>
      <c r="AC300" s="252">
        <v>45855</v>
      </c>
      <c r="BG300" s="29"/>
      <c r="BH300" s="29"/>
      <c r="BI300" s="29"/>
      <c r="BJ300" s="29"/>
      <c r="BK300" s="29"/>
      <c r="BL300" s="29"/>
      <c r="BM300" s="29"/>
      <c r="BN300" s="29"/>
      <c r="BO300" s="29"/>
    </row>
    <row r="301" spans="1:67" s="28" customFormat="1" ht="20.25" customHeight="1">
      <c r="A301" s="7">
        <v>45838</v>
      </c>
      <c r="B301" s="19" t="s">
        <v>1535</v>
      </c>
      <c r="C301" s="19" t="s">
        <v>438</v>
      </c>
      <c r="D301" s="19" t="s">
        <v>212</v>
      </c>
      <c r="E301" s="19" t="s">
        <v>25</v>
      </c>
      <c r="F301" s="19">
        <v>4003563154</v>
      </c>
      <c r="G301" s="19" t="s">
        <v>71</v>
      </c>
      <c r="H301" s="19" t="s">
        <v>31</v>
      </c>
      <c r="I301" s="19" t="s">
        <v>63</v>
      </c>
      <c r="J301" s="19" t="s">
        <v>27</v>
      </c>
      <c r="K301" s="19" t="s">
        <v>239</v>
      </c>
      <c r="L301" s="19" t="s">
        <v>75</v>
      </c>
      <c r="M301" s="20">
        <v>736</v>
      </c>
      <c r="N301" s="25">
        <v>1.31</v>
      </c>
      <c r="O301" s="19" t="s">
        <v>1063</v>
      </c>
      <c r="P301" s="19" t="s">
        <v>29</v>
      </c>
      <c r="Q301" s="19" t="s">
        <v>29</v>
      </c>
      <c r="R301" s="19" t="s">
        <v>29</v>
      </c>
      <c r="S301" s="45" t="s">
        <v>1530</v>
      </c>
      <c r="T301" s="8">
        <v>45863</v>
      </c>
      <c r="U301" s="19"/>
      <c r="V301" s="55">
        <f>M301-Z301-AB301-AD301-AF301-AH301-AJ301-AL301-AN301-AP301-AR301-AT301-AV301-AX301-AZ301-BB301-BD301-BF301-BH301-U301</f>
        <v>0</v>
      </c>
      <c r="W301" s="15" t="s">
        <v>1538</v>
      </c>
      <c r="X301" s="65"/>
      <c r="Y301" s="36" t="s">
        <v>1773</v>
      </c>
      <c r="Z301" s="104">
        <f>724.9+11.1</f>
        <v>736</v>
      </c>
      <c r="AA301" s="123">
        <v>45859</v>
      </c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</row>
    <row r="302" spans="1:67" s="28" customFormat="1" ht="20.25" customHeight="1">
      <c r="A302" s="7">
        <v>45838</v>
      </c>
      <c r="B302" s="19" t="s">
        <v>1535</v>
      </c>
      <c r="C302" s="19" t="s">
        <v>438</v>
      </c>
      <c r="D302" s="19" t="s">
        <v>212</v>
      </c>
      <c r="E302" s="19" t="s">
        <v>25</v>
      </c>
      <c r="F302" s="19" t="s">
        <v>1536</v>
      </c>
      <c r="G302" s="19" t="s">
        <v>71</v>
      </c>
      <c r="H302" s="19" t="s">
        <v>31</v>
      </c>
      <c r="I302" s="19" t="s">
        <v>63</v>
      </c>
      <c r="J302" s="19" t="s">
        <v>27</v>
      </c>
      <c r="K302" s="19" t="s">
        <v>239</v>
      </c>
      <c r="L302" s="19" t="s">
        <v>75</v>
      </c>
      <c r="M302" s="20">
        <v>293</v>
      </c>
      <c r="N302" s="25">
        <v>1.31</v>
      </c>
      <c r="O302" s="19" t="s">
        <v>1063</v>
      </c>
      <c r="P302" s="19" t="s">
        <v>29</v>
      </c>
      <c r="Q302" s="19" t="s">
        <v>29</v>
      </c>
      <c r="R302" s="19" t="s">
        <v>29</v>
      </c>
      <c r="S302" s="45" t="s">
        <v>1530</v>
      </c>
      <c r="T302" s="8">
        <v>45863</v>
      </c>
      <c r="U302" s="19"/>
      <c r="V302" s="55">
        <f>M302-Z302-AB302-AD302-AF302-AH302-AJ302-AL302-AN302-AP302-AR302-AT302-AV302-AX302-AZ302-BB302-BD302-BF302-BH302-U302</f>
        <v>-0.10000000000002274</v>
      </c>
      <c r="W302" s="15" t="s">
        <v>1539</v>
      </c>
      <c r="X302" s="65"/>
      <c r="Y302" s="36" t="s">
        <v>1773</v>
      </c>
      <c r="Z302" s="104">
        <v>293.10000000000002</v>
      </c>
      <c r="AA302" s="123">
        <v>45859</v>
      </c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</row>
    <row r="303" spans="1:67" s="28" customFormat="1" ht="20.25" customHeight="1">
      <c r="A303" s="7">
        <v>45838</v>
      </c>
      <c r="B303" s="19" t="s">
        <v>1540</v>
      </c>
      <c r="C303" s="19" t="s">
        <v>438</v>
      </c>
      <c r="D303" s="19" t="s">
        <v>212</v>
      </c>
      <c r="E303" s="19" t="s">
        <v>25</v>
      </c>
      <c r="F303" s="19" t="s">
        <v>1541</v>
      </c>
      <c r="G303" s="19" t="s">
        <v>71</v>
      </c>
      <c r="H303" s="19" t="s">
        <v>31</v>
      </c>
      <c r="I303" s="19" t="s">
        <v>63</v>
      </c>
      <c r="J303" s="19" t="s">
        <v>27</v>
      </c>
      <c r="K303" s="19" t="s">
        <v>239</v>
      </c>
      <c r="L303" s="19" t="s">
        <v>75</v>
      </c>
      <c r="M303" s="20">
        <v>775</v>
      </c>
      <c r="N303" s="25">
        <v>1.31</v>
      </c>
      <c r="O303" s="19" t="s">
        <v>1063</v>
      </c>
      <c r="P303" s="19" t="s">
        <v>29</v>
      </c>
      <c r="Q303" s="19" t="s">
        <v>29</v>
      </c>
      <c r="R303" s="19" t="s">
        <v>29</v>
      </c>
      <c r="S303" s="45" t="s">
        <v>1530</v>
      </c>
      <c r="T303" s="8">
        <v>45863</v>
      </c>
      <c r="U303" s="19"/>
      <c r="V303" s="55">
        <f>M303-Z303-AB303-AD303-AF303-AH303-AJ303-AL303-AN303-AP303-AR303-AT303-AV303-AX303-AZ303-BB303-BD303-BF303-BH303-U303</f>
        <v>-0.29999999999995453</v>
      </c>
      <c r="W303" s="15" t="s">
        <v>1542</v>
      </c>
      <c r="X303" s="1"/>
      <c r="Y303" s="46" t="s">
        <v>1773</v>
      </c>
      <c r="Z303" s="19">
        <v>775.3</v>
      </c>
      <c r="AA303" s="138">
        <v>45859</v>
      </c>
      <c r="AB303" s="46"/>
      <c r="AC303" s="4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</row>
    <row r="304" spans="1:67" s="28" customFormat="1" ht="20.25" customHeight="1">
      <c r="A304" s="7">
        <v>45838</v>
      </c>
      <c r="B304" s="19" t="s">
        <v>1540</v>
      </c>
      <c r="C304" s="19" t="s">
        <v>438</v>
      </c>
      <c r="D304" s="19" t="s">
        <v>212</v>
      </c>
      <c r="E304" s="19" t="s">
        <v>25</v>
      </c>
      <c r="F304" s="19" t="s">
        <v>1541</v>
      </c>
      <c r="G304" s="19" t="s">
        <v>71</v>
      </c>
      <c r="H304" s="19" t="s">
        <v>31</v>
      </c>
      <c r="I304" s="19" t="s">
        <v>63</v>
      </c>
      <c r="J304" s="19" t="s">
        <v>27</v>
      </c>
      <c r="K304" s="19" t="s">
        <v>239</v>
      </c>
      <c r="L304" s="19" t="s">
        <v>75</v>
      </c>
      <c r="M304" s="20">
        <v>286</v>
      </c>
      <c r="N304" s="25">
        <v>1.31</v>
      </c>
      <c r="O304" s="19" t="s">
        <v>1063</v>
      </c>
      <c r="P304" s="19" t="s">
        <v>29</v>
      </c>
      <c r="Q304" s="19" t="s">
        <v>29</v>
      </c>
      <c r="R304" s="19" t="s">
        <v>29</v>
      </c>
      <c r="S304" s="45" t="s">
        <v>1530</v>
      </c>
      <c r="T304" s="8">
        <v>45863</v>
      </c>
      <c r="U304" s="19"/>
      <c r="V304" s="55">
        <f>M304-Z304-AB304-AD304-AF304-AH304-AJ304-AL304-AN304-AP304-AR304-AT304-AV304-AX304-AZ304-BB304-BD304-BF304-BH304-U304</f>
        <v>-0.10000000000002274</v>
      </c>
      <c r="W304" s="15" t="s">
        <v>1543</v>
      </c>
      <c r="X304" s="65"/>
      <c r="Y304" s="36" t="s">
        <v>1773</v>
      </c>
      <c r="Z304" s="104">
        <v>286.10000000000002</v>
      </c>
      <c r="AA304" s="123">
        <v>45859</v>
      </c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</row>
    <row r="305" spans="1:67" s="28" customFormat="1" ht="20.25" customHeight="1">
      <c r="A305" s="7">
        <v>45838</v>
      </c>
      <c r="B305" s="19" t="s">
        <v>1540</v>
      </c>
      <c r="C305" s="19" t="s">
        <v>438</v>
      </c>
      <c r="D305" s="19" t="s">
        <v>212</v>
      </c>
      <c r="E305" s="19" t="s">
        <v>25</v>
      </c>
      <c r="F305" s="19" t="s">
        <v>1541</v>
      </c>
      <c r="G305" s="19" t="s">
        <v>71</v>
      </c>
      <c r="H305" s="19" t="s">
        <v>31</v>
      </c>
      <c r="I305" s="19" t="s">
        <v>63</v>
      </c>
      <c r="J305" s="19" t="s">
        <v>27</v>
      </c>
      <c r="K305" s="19" t="s">
        <v>239</v>
      </c>
      <c r="L305" s="19" t="s">
        <v>75</v>
      </c>
      <c r="M305" s="20">
        <v>2203</v>
      </c>
      <c r="N305" s="25">
        <v>1.31</v>
      </c>
      <c r="O305" s="19" t="s">
        <v>1063</v>
      </c>
      <c r="P305" s="19" t="s">
        <v>29</v>
      </c>
      <c r="Q305" s="19" t="s">
        <v>29</v>
      </c>
      <c r="R305" s="19" t="s">
        <v>29</v>
      </c>
      <c r="S305" s="45" t="s">
        <v>1530</v>
      </c>
      <c r="T305" s="8">
        <v>45863</v>
      </c>
      <c r="U305" s="19"/>
      <c r="V305" s="55">
        <f>M305-Z305-AB305-AD305-AF305-AH305-AJ305-AL305-AN305-AP305-AR305-AT305-AV305-AX305-AZ305-BB305-BD305-BF305-BH305-U305</f>
        <v>-9.9999999999909051E-2</v>
      </c>
      <c r="W305" s="15" t="s">
        <v>1544</v>
      </c>
      <c r="X305" s="65"/>
      <c r="Y305" s="36" t="s">
        <v>1773</v>
      </c>
      <c r="Z305" s="104">
        <f>709.5+1493.6</f>
        <v>2203.1</v>
      </c>
      <c r="AA305" s="123">
        <v>45859</v>
      </c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</row>
    <row r="306" spans="1:67" s="28" customFormat="1" ht="20.25" customHeight="1">
      <c r="A306" s="7">
        <v>45838</v>
      </c>
      <c r="B306" s="19" t="s">
        <v>1540</v>
      </c>
      <c r="C306" s="19" t="s">
        <v>438</v>
      </c>
      <c r="D306" s="19" t="s">
        <v>212</v>
      </c>
      <c r="E306" s="19" t="s">
        <v>25</v>
      </c>
      <c r="F306" s="19" t="s">
        <v>1541</v>
      </c>
      <c r="G306" s="19" t="s">
        <v>71</v>
      </c>
      <c r="H306" s="19" t="s">
        <v>31</v>
      </c>
      <c r="I306" s="19" t="s">
        <v>63</v>
      </c>
      <c r="J306" s="19" t="s">
        <v>27</v>
      </c>
      <c r="K306" s="19" t="s">
        <v>239</v>
      </c>
      <c r="L306" s="19" t="s">
        <v>75</v>
      </c>
      <c r="M306" s="20">
        <v>1588</v>
      </c>
      <c r="N306" s="25">
        <v>1.31</v>
      </c>
      <c r="O306" s="19" t="s">
        <v>1063</v>
      </c>
      <c r="P306" s="19" t="s">
        <v>29</v>
      </c>
      <c r="Q306" s="19" t="s">
        <v>29</v>
      </c>
      <c r="R306" s="19" t="s">
        <v>29</v>
      </c>
      <c r="S306" s="45" t="s">
        <v>1530</v>
      </c>
      <c r="T306" s="8">
        <v>45863</v>
      </c>
      <c r="U306" s="19"/>
      <c r="V306" s="55">
        <f>M306-Z306-AB306-AD306-AF306-AH306-AJ306-AL306-AN306-AP306-AR306-AT306-AV306-AX306-AZ306-BB306-BD306-BF306-BH306-U306</f>
        <v>-0.10000000000013642</v>
      </c>
      <c r="W306" s="15" t="s">
        <v>1545</v>
      </c>
      <c r="X306" s="65"/>
      <c r="Y306" s="36" t="s">
        <v>1773</v>
      </c>
      <c r="Z306" s="104">
        <f>1240.9+347.2</f>
        <v>1588.1000000000001</v>
      </c>
      <c r="AA306" s="123">
        <v>45859</v>
      </c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</row>
    <row r="307" spans="1:67" s="28" customFormat="1" ht="20.25" customHeight="1">
      <c r="A307" s="7">
        <v>45838</v>
      </c>
      <c r="B307" s="19" t="s">
        <v>1540</v>
      </c>
      <c r="C307" s="19" t="s">
        <v>438</v>
      </c>
      <c r="D307" s="19" t="s">
        <v>212</v>
      </c>
      <c r="E307" s="19" t="s">
        <v>25</v>
      </c>
      <c r="F307" s="19" t="s">
        <v>1541</v>
      </c>
      <c r="G307" s="19" t="s">
        <v>71</v>
      </c>
      <c r="H307" s="19" t="s">
        <v>31</v>
      </c>
      <c r="I307" s="19" t="s">
        <v>63</v>
      </c>
      <c r="J307" s="19" t="s">
        <v>27</v>
      </c>
      <c r="K307" s="19" t="s">
        <v>239</v>
      </c>
      <c r="L307" s="19" t="s">
        <v>75</v>
      </c>
      <c r="M307" s="20">
        <v>286</v>
      </c>
      <c r="N307" s="25">
        <v>1.31</v>
      </c>
      <c r="O307" s="19" t="s">
        <v>1063</v>
      </c>
      <c r="P307" s="19" t="s">
        <v>29</v>
      </c>
      <c r="Q307" s="19" t="s">
        <v>29</v>
      </c>
      <c r="R307" s="19" t="s">
        <v>29</v>
      </c>
      <c r="S307" s="45" t="s">
        <v>1530</v>
      </c>
      <c r="T307" s="8">
        <v>45863</v>
      </c>
      <c r="U307" s="19"/>
      <c r="V307" s="55">
        <f>M307-Z307-AB307-AD307-AF307-AH307-AJ307-AL307-AN307-AP307-AR307-AT307-AV307-AX307-AZ307-BB307-BD307-BF307-BH307-U307</f>
        <v>-0.39999999999997726</v>
      </c>
      <c r="W307" s="15" t="s">
        <v>1546</v>
      </c>
      <c r="X307" s="65"/>
      <c r="Y307" s="36" t="s">
        <v>1773</v>
      </c>
      <c r="Z307" s="259">
        <v>286.39999999999998</v>
      </c>
      <c r="AA307" s="368">
        <v>45859</v>
      </c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</row>
    <row r="308" spans="1:67" s="36" customFormat="1" ht="20.25" customHeight="1">
      <c r="A308" s="11">
        <v>45838</v>
      </c>
      <c r="B308" s="16" t="s">
        <v>1547</v>
      </c>
      <c r="C308" s="16" t="s">
        <v>267</v>
      </c>
      <c r="D308" s="16" t="s">
        <v>212</v>
      </c>
      <c r="E308" s="16" t="s">
        <v>25</v>
      </c>
      <c r="F308" s="16" t="s">
        <v>1548</v>
      </c>
      <c r="G308" s="16" t="s">
        <v>71</v>
      </c>
      <c r="H308" s="16" t="s">
        <v>31</v>
      </c>
      <c r="I308" s="16" t="s">
        <v>63</v>
      </c>
      <c r="J308" s="16" t="s">
        <v>27</v>
      </c>
      <c r="K308" s="16" t="s">
        <v>913</v>
      </c>
      <c r="L308" s="16" t="s">
        <v>75</v>
      </c>
      <c r="M308" s="17">
        <v>5225</v>
      </c>
      <c r="N308" s="23">
        <v>1.31</v>
      </c>
      <c r="O308" s="16" t="s">
        <v>1063</v>
      </c>
      <c r="P308" s="16" t="s">
        <v>29</v>
      </c>
      <c r="Q308" s="16" t="s">
        <v>29</v>
      </c>
      <c r="R308" s="16" t="s">
        <v>1400</v>
      </c>
      <c r="S308" s="12" t="s">
        <v>1530</v>
      </c>
      <c r="T308" s="13">
        <v>45863</v>
      </c>
      <c r="U308" s="19"/>
      <c r="V308" s="53">
        <f>M308-Z308-AB308-AD308-AF308-AH308-AJ308-AL308-AN308-AP308-AR308-AT308-AV308-AX308-AZ308-BB308-BD308-BF308-BH308-U308</f>
        <v>-3.9000000000005457</v>
      </c>
      <c r="W308" s="22" t="s">
        <v>1549</v>
      </c>
      <c r="X308" s="1"/>
      <c r="Y308" s="88"/>
      <c r="Z308" s="19">
        <f>3717.6+1187.7+323.6</f>
        <v>5228.9000000000005</v>
      </c>
      <c r="AA308" s="227">
        <v>45860</v>
      </c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28"/>
      <c r="BG308" s="29"/>
      <c r="BH308" s="29"/>
      <c r="BI308" s="29"/>
      <c r="BJ308" s="29"/>
      <c r="BK308" s="29"/>
      <c r="BL308" s="29"/>
      <c r="BM308" s="29"/>
      <c r="BN308" s="29"/>
      <c r="BO308" s="29"/>
    </row>
    <row r="309" spans="1:67" s="254" customFormat="1" ht="20.25" customHeight="1">
      <c r="A309" s="11">
        <v>45838</v>
      </c>
      <c r="B309" s="16" t="s">
        <v>1666</v>
      </c>
      <c r="C309" s="16" t="s">
        <v>400</v>
      </c>
      <c r="D309" s="16" t="s">
        <v>212</v>
      </c>
      <c r="E309" s="19" t="s">
        <v>25</v>
      </c>
      <c r="F309" s="16" t="s">
        <v>1469</v>
      </c>
      <c r="G309" s="16" t="s">
        <v>71</v>
      </c>
      <c r="H309" s="16" t="s">
        <v>31</v>
      </c>
      <c r="I309" s="16" t="s">
        <v>63</v>
      </c>
      <c r="J309" s="16" t="s">
        <v>27</v>
      </c>
      <c r="K309" s="16" t="s">
        <v>1667</v>
      </c>
      <c r="L309" s="16" t="s">
        <v>75</v>
      </c>
      <c r="M309" s="17">
        <v>1000</v>
      </c>
      <c r="N309" s="23">
        <v>1.31</v>
      </c>
      <c r="O309" s="16" t="s">
        <v>67</v>
      </c>
      <c r="P309" s="16" t="s">
        <v>29</v>
      </c>
      <c r="Q309" s="16" t="s">
        <v>1668</v>
      </c>
      <c r="R309" s="16" t="s">
        <v>1472</v>
      </c>
      <c r="S309" s="12" t="s">
        <v>1525</v>
      </c>
      <c r="T309" s="13">
        <v>45856</v>
      </c>
      <c r="U309" s="19"/>
      <c r="V309" s="53">
        <f>M309-U309-Z309</f>
        <v>-1.3999999999999773</v>
      </c>
      <c r="W309" s="22" t="s">
        <v>1669</v>
      </c>
      <c r="X309" s="65"/>
      <c r="Y309" s="28"/>
      <c r="Z309" s="104">
        <v>1001.4</v>
      </c>
      <c r="AA309" s="222">
        <v>45842</v>
      </c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9"/>
      <c r="BH309" s="29"/>
      <c r="BI309" s="29"/>
      <c r="BJ309" s="29"/>
      <c r="BK309" s="29"/>
      <c r="BL309" s="29"/>
      <c r="BM309" s="29"/>
      <c r="BN309" s="29"/>
      <c r="BO309" s="29"/>
    </row>
    <row r="310" spans="1:67" s="254" customFormat="1" ht="20.25" customHeight="1">
      <c r="A310" s="11">
        <v>45838</v>
      </c>
      <c r="B310" s="16" t="s">
        <v>1523</v>
      </c>
      <c r="C310" s="16" t="s">
        <v>304</v>
      </c>
      <c r="D310" s="16" t="s">
        <v>212</v>
      </c>
      <c r="E310" s="16" t="s">
        <v>25</v>
      </c>
      <c r="F310" s="16" t="s">
        <v>1524</v>
      </c>
      <c r="G310" s="16" t="s">
        <v>71</v>
      </c>
      <c r="H310" s="16" t="s">
        <v>26</v>
      </c>
      <c r="I310" s="16" t="s">
        <v>63</v>
      </c>
      <c r="J310" s="16" t="s">
        <v>27</v>
      </c>
      <c r="K310" s="16" t="s">
        <v>1070</v>
      </c>
      <c r="L310" s="16" t="s">
        <v>75</v>
      </c>
      <c r="M310" s="17">
        <v>830</v>
      </c>
      <c r="N310" s="23">
        <v>1.29</v>
      </c>
      <c r="O310" s="16" t="s">
        <v>67</v>
      </c>
      <c r="P310" s="16" t="s">
        <v>29</v>
      </c>
      <c r="Q310" s="16" t="s">
        <v>29</v>
      </c>
      <c r="R310" s="16" t="s">
        <v>1526</v>
      </c>
      <c r="S310" s="12" t="s">
        <v>1525</v>
      </c>
      <c r="T310" s="13">
        <v>45863</v>
      </c>
      <c r="U310" s="19"/>
      <c r="V310" s="53">
        <f>M310-U310-Z310</f>
        <v>0</v>
      </c>
      <c r="W310" s="22" t="s">
        <v>1527</v>
      </c>
      <c r="X310" s="29"/>
      <c r="Y310" s="29"/>
      <c r="Z310" s="104">
        <v>830</v>
      </c>
      <c r="AA310" s="222">
        <v>45852</v>
      </c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8"/>
      <c r="BH310" s="28"/>
      <c r="BI310" s="28"/>
      <c r="BJ310" s="28"/>
      <c r="BK310" s="28"/>
      <c r="BL310" s="28"/>
      <c r="BM310" s="28"/>
      <c r="BN310" s="28"/>
      <c r="BO310" s="28"/>
    </row>
    <row r="311" spans="1:67" s="254" customFormat="1" ht="20.25" customHeight="1">
      <c r="A311" s="7">
        <v>45838</v>
      </c>
      <c r="B311" s="19" t="s">
        <v>1554</v>
      </c>
      <c r="C311" s="19" t="s">
        <v>267</v>
      </c>
      <c r="D311" s="19" t="s">
        <v>212</v>
      </c>
      <c r="E311" s="19" t="s">
        <v>25</v>
      </c>
      <c r="F311" s="19" t="s">
        <v>1555</v>
      </c>
      <c r="G311" s="19" t="s">
        <v>71</v>
      </c>
      <c r="H311" s="19" t="s">
        <v>31</v>
      </c>
      <c r="I311" s="19" t="s">
        <v>63</v>
      </c>
      <c r="J311" s="19" t="s">
        <v>27</v>
      </c>
      <c r="K311" s="19" t="s">
        <v>223</v>
      </c>
      <c r="L311" s="19" t="s">
        <v>75</v>
      </c>
      <c r="M311" s="20">
        <v>2720</v>
      </c>
      <c r="N311" s="25">
        <v>1.31</v>
      </c>
      <c r="O311" s="19" t="s">
        <v>67</v>
      </c>
      <c r="P311" s="19" t="s">
        <v>29</v>
      </c>
      <c r="Q311" s="19" t="s">
        <v>29</v>
      </c>
      <c r="R311" s="19" t="s">
        <v>1556</v>
      </c>
      <c r="S311" s="45" t="s">
        <v>1530</v>
      </c>
      <c r="T311" s="8">
        <v>45863</v>
      </c>
      <c r="U311" s="19"/>
      <c r="V311" s="55">
        <f>M311-Z311-AB311-AD311-AF311-AH311-AJ311-AL311-AN311-AP311-AR311-AT311-AV311-AX311-AZ311-BB311-BD311-BF311-BH311-U311</f>
        <v>0</v>
      </c>
      <c r="W311" s="15" t="s">
        <v>1557</v>
      </c>
      <c r="X311" s="104" t="s">
        <v>1420</v>
      </c>
      <c r="Y311" s="36"/>
      <c r="Z311" s="104">
        <v>388.9</v>
      </c>
      <c r="AA311" s="123">
        <v>45866</v>
      </c>
      <c r="AB311" s="104">
        <f>1834.5+496.6</f>
        <v>2331.1</v>
      </c>
      <c r="AC311" s="123">
        <v>45882</v>
      </c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21"/>
      <c r="BH311" s="321"/>
      <c r="BI311" s="321"/>
      <c r="BJ311" s="321"/>
      <c r="BK311" s="321"/>
      <c r="BL311" s="321"/>
      <c r="BM311" s="321"/>
      <c r="BN311" s="321"/>
      <c r="BO311" s="321"/>
    </row>
    <row r="312" spans="1:67" s="29" customFormat="1" ht="20.25" customHeight="1">
      <c r="A312" s="7">
        <v>45839</v>
      </c>
      <c r="B312" s="19" t="s">
        <v>1571</v>
      </c>
      <c r="C312" s="19" t="s">
        <v>304</v>
      </c>
      <c r="D312" s="19" t="s">
        <v>212</v>
      </c>
      <c r="E312" s="19" t="s">
        <v>25</v>
      </c>
      <c r="F312" s="19" t="s">
        <v>1572</v>
      </c>
      <c r="G312" s="19" t="s">
        <v>71</v>
      </c>
      <c r="H312" s="19" t="s">
        <v>31</v>
      </c>
      <c r="I312" s="19" t="s">
        <v>63</v>
      </c>
      <c r="J312" s="19" t="s">
        <v>27</v>
      </c>
      <c r="K312" s="19" t="s">
        <v>214</v>
      </c>
      <c r="L312" s="19" t="s">
        <v>35</v>
      </c>
      <c r="M312" s="20">
        <v>5060</v>
      </c>
      <c r="N312" s="25">
        <v>1.29</v>
      </c>
      <c r="O312" s="19" t="s">
        <v>1063</v>
      </c>
      <c r="P312" s="19" t="s">
        <v>29</v>
      </c>
      <c r="Q312" s="19" t="s">
        <v>1576</v>
      </c>
      <c r="R312" s="19" t="s">
        <v>29</v>
      </c>
      <c r="S312" s="45" t="s">
        <v>1561</v>
      </c>
      <c r="T312" s="8">
        <v>45863</v>
      </c>
      <c r="U312" s="19"/>
      <c r="V312" s="55">
        <f>M312-Z312-AB312-AD312-AF312-AH312-AJ312-AL312-AN312-AP312-AR312-AT312-AV312-AX312-AZ312-BB312-BD312-BF312-BH312-U312</f>
        <v>-1.8000000000001819</v>
      </c>
      <c r="W312" s="15" t="s">
        <v>1577</v>
      </c>
      <c r="X312" s="104" t="s">
        <v>594</v>
      </c>
      <c r="Y312" s="36" t="s">
        <v>1934</v>
      </c>
      <c r="Z312" s="104">
        <f>1950.4+1063.2</f>
        <v>3013.6000000000004</v>
      </c>
      <c r="AA312" s="123">
        <v>45867</v>
      </c>
      <c r="AB312" s="104">
        <v>2048.1999999999998</v>
      </c>
      <c r="AC312" s="123">
        <v>45870</v>
      </c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</row>
    <row r="313" spans="1:67" s="29" customFormat="1" ht="20.25" customHeight="1">
      <c r="A313" s="289">
        <v>45839</v>
      </c>
      <c r="B313" s="278" t="s">
        <v>1584</v>
      </c>
      <c r="C313" s="278" t="s">
        <v>304</v>
      </c>
      <c r="D313" s="278" t="s">
        <v>212</v>
      </c>
      <c r="E313" s="278" t="s">
        <v>25</v>
      </c>
      <c r="F313" s="278" t="s">
        <v>1585</v>
      </c>
      <c r="G313" s="278" t="s">
        <v>71</v>
      </c>
      <c r="H313" s="278" t="s">
        <v>31</v>
      </c>
      <c r="I313" s="278" t="s">
        <v>63</v>
      </c>
      <c r="J313" s="278" t="s">
        <v>27</v>
      </c>
      <c r="K313" s="278" t="s">
        <v>214</v>
      </c>
      <c r="L313" s="278" t="s">
        <v>35</v>
      </c>
      <c r="M313" s="290"/>
      <c r="N313" s="291">
        <v>1.29</v>
      </c>
      <c r="O313" s="278" t="s">
        <v>1063</v>
      </c>
      <c r="P313" s="278" t="s">
        <v>29</v>
      </c>
      <c r="Q313" s="278" t="s">
        <v>1576</v>
      </c>
      <c r="R313" s="278" t="s">
        <v>29</v>
      </c>
      <c r="S313" s="297" t="s">
        <v>1561</v>
      </c>
      <c r="T313" s="314">
        <v>45863</v>
      </c>
      <c r="U313" s="278"/>
      <c r="V313" s="293">
        <f>M313-Z313-AB313-AD313-AF313-AH313-AJ313-AL313-AN313-AP313-AR313-AT313-AV313-AX313-AZ313-BB313-BD313-BF313-BH313-U313</f>
        <v>0</v>
      </c>
      <c r="W313" s="294" t="s">
        <v>1586</v>
      </c>
      <c r="X313" s="1"/>
      <c r="Y313" s="299"/>
      <c r="Z313" s="299"/>
      <c r="AA313" s="299"/>
      <c r="AB313" s="287"/>
      <c r="AC313" s="287"/>
      <c r="AD313" s="287"/>
      <c r="AE313" s="287"/>
      <c r="AF313" s="287"/>
      <c r="AG313" s="287"/>
      <c r="AH313" s="287"/>
      <c r="AI313" s="287"/>
      <c r="AJ313" s="287"/>
      <c r="AK313" s="287"/>
      <c r="AL313" s="287"/>
      <c r="AM313" s="287"/>
      <c r="AN313" s="287"/>
      <c r="AO313" s="287"/>
      <c r="AP313" s="287"/>
      <c r="AQ313" s="287"/>
      <c r="AR313" s="287"/>
      <c r="AS313" s="287"/>
      <c r="AT313" s="287"/>
      <c r="AU313" s="287"/>
      <c r="AV313" s="287"/>
      <c r="AW313" s="287"/>
      <c r="AX313" s="287"/>
      <c r="AY313" s="287"/>
      <c r="AZ313" s="287"/>
      <c r="BA313" s="287"/>
      <c r="BB313" s="287"/>
      <c r="BC313" s="287"/>
      <c r="BD313" s="287"/>
      <c r="BE313" s="287"/>
      <c r="BF313" s="287"/>
      <c r="BG313" s="287"/>
      <c r="BH313" s="287"/>
      <c r="BI313" s="287"/>
      <c r="BJ313" s="287"/>
      <c r="BK313" s="287"/>
      <c r="BL313" s="287"/>
      <c r="BM313" s="287"/>
      <c r="BN313" s="287"/>
      <c r="BO313" s="287"/>
    </row>
    <row r="314" spans="1:67" s="211" customFormat="1" ht="20.25" customHeight="1">
      <c r="A314" s="7">
        <v>45839</v>
      </c>
      <c r="B314" s="19" t="s">
        <v>1584</v>
      </c>
      <c r="C314" s="19" t="s">
        <v>304</v>
      </c>
      <c r="D314" s="19" t="s">
        <v>212</v>
      </c>
      <c r="E314" s="19" t="s">
        <v>25</v>
      </c>
      <c r="F314" s="19" t="s">
        <v>1585</v>
      </c>
      <c r="G314" s="19" t="s">
        <v>71</v>
      </c>
      <c r="H314" s="19" t="s">
        <v>31</v>
      </c>
      <c r="I314" s="19" t="s">
        <v>63</v>
      </c>
      <c r="J314" s="19" t="s">
        <v>27</v>
      </c>
      <c r="K314" s="19" t="s">
        <v>214</v>
      </c>
      <c r="L314" s="19" t="s">
        <v>35</v>
      </c>
      <c r="M314" s="20">
        <v>2090</v>
      </c>
      <c r="N314" s="25">
        <v>1.29</v>
      </c>
      <c r="O314" s="19" t="s">
        <v>1063</v>
      </c>
      <c r="P314" s="19" t="s">
        <v>29</v>
      </c>
      <c r="Q314" s="19" t="s">
        <v>1200</v>
      </c>
      <c r="R314" s="19" t="s">
        <v>29</v>
      </c>
      <c r="S314" s="45" t="s">
        <v>1561</v>
      </c>
      <c r="T314" s="313">
        <v>45863</v>
      </c>
      <c r="U314" s="19"/>
      <c r="V314" s="55">
        <f>M314-Z314-AB314-AD314-AF314-AH314-AJ314-AL314-AN314-AP314-AR314-AT314-AV314-AX314-AZ314-BB314-BD314-BF314-BH314-U314</f>
        <v>-4.0999999999999091</v>
      </c>
      <c r="W314" s="15" t="s">
        <v>1587</v>
      </c>
      <c r="X314" s="104" t="s">
        <v>506</v>
      </c>
      <c r="Y314" s="36" t="s">
        <v>1939</v>
      </c>
      <c r="Z314" s="104">
        <v>300</v>
      </c>
      <c r="AA314" s="123">
        <v>45867</v>
      </c>
      <c r="AB314" s="104">
        <v>1794.1</v>
      </c>
      <c r="AC314" s="123">
        <v>45870</v>
      </c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</row>
    <row r="315" spans="1:67" s="211" customFormat="1" ht="20.25" customHeight="1">
      <c r="A315" s="272">
        <v>45839</v>
      </c>
      <c r="B315" s="273" t="s">
        <v>1596</v>
      </c>
      <c r="C315" s="273" t="s">
        <v>228</v>
      </c>
      <c r="D315" s="273" t="s">
        <v>212</v>
      </c>
      <c r="E315" s="273" t="s">
        <v>25</v>
      </c>
      <c r="F315" s="273" t="s">
        <v>1597</v>
      </c>
      <c r="G315" s="273" t="s">
        <v>71</v>
      </c>
      <c r="H315" s="273" t="s">
        <v>31</v>
      </c>
      <c r="I315" s="273" t="s">
        <v>63</v>
      </c>
      <c r="J315" s="273" t="s">
        <v>27</v>
      </c>
      <c r="K315" s="273" t="s">
        <v>218</v>
      </c>
      <c r="L315" s="273" t="s">
        <v>75</v>
      </c>
      <c r="M315" s="274"/>
      <c r="N315" s="275">
        <v>1.31</v>
      </c>
      <c r="O315" s="273" t="s">
        <v>1063</v>
      </c>
      <c r="P315" s="273" t="s">
        <v>29</v>
      </c>
      <c r="Q315" s="273" t="s">
        <v>470</v>
      </c>
      <c r="R315" s="273" t="s">
        <v>1231</v>
      </c>
      <c r="S315" s="276" t="s">
        <v>1561</v>
      </c>
      <c r="T315" s="298">
        <v>45863</v>
      </c>
      <c r="U315" s="278"/>
      <c r="V315" s="279">
        <f>M315-U315-X315-AA315</f>
        <v>0</v>
      </c>
      <c r="W315" s="280" t="s">
        <v>1598</v>
      </c>
      <c r="X315" s="1"/>
      <c r="Y315" s="281"/>
      <c r="Z315" s="281"/>
      <c r="AA315" s="281"/>
      <c r="AB315" s="281"/>
      <c r="AC315" s="281"/>
      <c r="AD315" s="282"/>
      <c r="AE315" s="282"/>
      <c r="AF315" s="282"/>
      <c r="AG315" s="282"/>
      <c r="AH315" s="282"/>
      <c r="AI315" s="282"/>
      <c r="AJ315" s="282"/>
      <c r="AK315" s="282"/>
      <c r="AL315" s="282"/>
      <c r="AM315" s="282"/>
      <c r="AN315" s="282"/>
      <c r="AO315" s="282"/>
      <c r="AP315" s="282"/>
      <c r="AQ315" s="282"/>
      <c r="AR315" s="282"/>
      <c r="AS315" s="282"/>
      <c r="AT315" s="282"/>
      <c r="AU315" s="282"/>
      <c r="AV315" s="282"/>
      <c r="AW315" s="282"/>
      <c r="AX315" s="282"/>
      <c r="AY315" s="282"/>
      <c r="AZ315" s="282"/>
      <c r="BA315" s="282"/>
      <c r="BB315" s="282"/>
      <c r="BC315" s="282"/>
      <c r="BD315" s="282"/>
      <c r="BE315" s="282"/>
      <c r="BF315" s="282"/>
      <c r="BG315" s="282"/>
      <c r="BH315" s="282"/>
      <c r="BI315" s="282"/>
      <c r="BJ315" s="282"/>
      <c r="BK315" s="282"/>
      <c r="BL315" s="282"/>
      <c r="BM315" s="282"/>
      <c r="BN315" s="282"/>
      <c r="BO315" s="282"/>
    </row>
    <row r="316" spans="1:67" s="28" customFormat="1" ht="20.25" customHeight="1">
      <c r="A316" s="272">
        <v>45839</v>
      </c>
      <c r="B316" s="273" t="s">
        <v>1584</v>
      </c>
      <c r="C316" s="273" t="s">
        <v>304</v>
      </c>
      <c r="D316" s="273" t="s">
        <v>212</v>
      </c>
      <c r="E316" s="273" t="s">
        <v>25</v>
      </c>
      <c r="F316" s="273" t="s">
        <v>1585</v>
      </c>
      <c r="G316" s="273" t="s">
        <v>71</v>
      </c>
      <c r="H316" s="273" t="s">
        <v>31</v>
      </c>
      <c r="I316" s="273" t="s">
        <v>63</v>
      </c>
      <c r="J316" s="273" t="s">
        <v>27</v>
      </c>
      <c r="K316" s="273" t="s">
        <v>1590</v>
      </c>
      <c r="L316" s="273" t="s">
        <v>35</v>
      </c>
      <c r="M316" s="274"/>
      <c r="N316" s="275">
        <v>1.29</v>
      </c>
      <c r="O316" s="273" t="s">
        <v>67</v>
      </c>
      <c r="P316" s="273" t="s">
        <v>29</v>
      </c>
      <c r="Q316" s="273" t="s">
        <v>1591</v>
      </c>
      <c r="R316" s="273" t="s">
        <v>29</v>
      </c>
      <c r="S316" s="276" t="s">
        <v>1561</v>
      </c>
      <c r="T316" s="298">
        <v>45863</v>
      </c>
      <c r="U316" s="278"/>
      <c r="V316" s="279">
        <f>M316-U316-X316-AA316</f>
        <v>0</v>
      </c>
      <c r="W316" s="280" t="s">
        <v>1592</v>
      </c>
      <c r="X316" s="1"/>
      <c r="Y316" s="281"/>
      <c r="Z316" s="281"/>
      <c r="AA316" s="281"/>
      <c r="AB316" s="281"/>
      <c r="AC316" s="281"/>
      <c r="AD316" s="282"/>
      <c r="AE316" s="282"/>
      <c r="AF316" s="282"/>
      <c r="AG316" s="282"/>
      <c r="AH316" s="282"/>
      <c r="AI316" s="282"/>
      <c r="AJ316" s="282"/>
      <c r="AK316" s="282"/>
      <c r="AL316" s="282"/>
      <c r="AM316" s="282"/>
      <c r="AN316" s="282"/>
      <c r="AO316" s="282"/>
      <c r="AP316" s="282"/>
      <c r="AQ316" s="282"/>
      <c r="AR316" s="282"/>
      <c r="AS316" s="282"/>
      <c r="AT316" s="282"/>
      <c r="AU316" s="282"/>
      <c r="AV316" s="282"/>
      <c r="AW316" s="282"/>
      <c r="AX316" s="282"/>
      <c r="AY316" s="282"/>
      <c r="AZ316" s="282"/>
      <c r="BA316" s="282"/>
      <c r="BB316" s="282"/>
      <c r="BC316" s="282"/>
      <c r="BD316" s="282"/>
      <c r="BE316" s="282"/>
      <c r="BF316" s="282"/>
      <c r="BG316" s="286"/>
      <c r="BH316" s="286"/>
      <c r="BI316" s="286"/>
      <c r="BJ316" s="286"/>
      <c r="BK316" s="286"/>
      <c r="BL316" s="286"/>
      <c r="BM316" s="286"/>
      <c r="BN316" s="286"/>
      <c r="BO316" s="286"/>
    </row>
    <row r="317" spans="1:67" s="28" customFormat="1" ht="20.25" customHeight="1">
      <c r="A317" s="11">
        <v>45839</v>
      </c>
      <c r="B317" s="16" t="s">
        <v>1559</v>
      </c>
      <c r="C317" s="16" t="s">
        <v>400</v>
      </c>
      <c r="D317" s="16" t="s">
        <v>212</v>
      </c>
      <c r="E317" s="16" t="s">
        <v>25</v>
      </c>
      <c r="F317" s="16" t="s">
        <v>1560</v>
      </c>
      <c r="G317" s="16" t="s">
        <v>71</v>
      </c>
      <c r="H317" s="16" t="s">
        <v>31</v>
      </c>
      <c r="I317" s="16" t="s">
        <v>63</v>
      </c>
      <c r="J317" s="16" t="s">
        <v>27</v>
      </c>
      <c r="K317" s="16" t="s">
        <v>239</v>
      </c>
      <c r="L317" s="16" t="s">
        <v>75</v>
      </c>
      <c r="M317" s="325">
        <v>32367.65</v>
      </c>
      <c r="N317" s="23">
        <v>1.31</v>
      </c>
      <c r="O317" s="16" t="s">
        <v>1063</v>
      </c>
      <c r="P317" s="16" t="s">
        <v>29</v>
      </c>
      <c r="Q317" s="16" t="s">
        <v>1562</v>
      </c>
      <c r="R317" s="16" t="s">
        <v>1563</v>
      </c>
      <c r="S317" s="12" t="s">
        <v>1561</v>
      </c>
      <c r="T317" s="13">
        <v>45863</v>
      </c>
      <c r="U317" s="19"/>
      <c r="V317" s="333">
        <f>M317-Z317-AB317-AD317-AF317-AH317-AJ317-AL317-AN317-AP317-AR317-AT317-AV317-AX317-AZ317-BB317-BD317-BF317-BH317-U317</f>
        <v>-0.549999999999363</v>
      </c>
      <c r="W317" s="22" t="s">
        <v>1564</v>
      </c>
      <c r="X317" s="16"/>
      <c r="Y317" s="26"/>
      <c r="Z317" s="19">
        <v>610.1</v>
      </c>
      <c r="AA317" s="24">
        <v>45852</v>
      </c>
      <c r="AB317" s="19">
        <v>2739.9</v>
      </c>
      <c r="AC317" s="78">
        <v>45859</v>
      </c>
      <c r="AD317" s="19">
        <f>3011.4+2652.1+68.4</f>
        <v>5731.9</v>
      </c>
      <c r="AE317" s="78">
        <v>45862</v>
      </c>
      <c r="AF317" s="19">
        <v>2470.1999999999998</v>
      </c>
      <c r="AG317" s="78">
        <v>45873</v>
      </c>
      <c r="AH317" s="19">
        <v>2430.1</v>
      </c>
      <c r="AI317" s="78">
        <v>45875</v>
      </c>
      <c r="AJ317" s="19">
        <v>7687.4</v>
      </c>
      <c r="AK317" s="78">
        <v>45882</v>
      </c>
      <c r="AL317" s="19">
        <f>1533.2+1842.5+3572.4</f>
        <v>6948.1</v>
      </c>
      <c r="AM317" s="78">
        <v>45884</v>
      </c>
      <c r="AN317" s="19">
        <v>3743.9</v>
      </c>
      <c r="AO317" s="78">
        <v>45888</v>
      </c>
      <c r="AP317" s="19">
        <v>6.6</v>
      </c>
      <c r="AQ317" s="78">
        <v>45922</v>
      </c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</row>
    <row r="318" spans="1:67" s="28" customFormat="1" ht="20.25" customHeight="1">
      <c r="A318" s="11">
        <v>45839</v>
      </c>
      <c r="B318" s="16" t="s">
        <v>1567</v>
      </c>
      <c r="C318" s="16" t="s">
        <v>1568</v>
      </c>
      <c r="D318" s="16" t="s">
        <v>212</v>
      </c>
      <c r="E318" s="16" t="s">
        <v>25</v>
      </c>
      <c r="F318" s="16" t="s">
        <v>1569</v>
      </c>
      <c r="G318" s="16" t="s">
        <v>71</v>
      </c>
      <c r="H318" s="16" t="s">
        <v>26</v>
      </c>
      <c r="I318" s="16" t="s">
        <v>63</v>
      </c>
      <c r="J318" s="16" t="s">
        <v>27</v>
      </c>
      <c r="K318" s="16" t="s">
        <v>239</v>
      </c>
      <c r="L318" s="16" t="s">
        <v>75</v>
      </c>
      <c r="M318" s="17">
        <v>28295</v>
      </c>
      <c r="N318" s="23">
        <v>1.31</v>
      </c>
      <c r="O318" s="16" t="s">
        <v>1063</v>
      </c>
      <c r="P318" s="16" t="s">
        <v>29</v>
      </c>
      <c r="Q318" s="16" t="s">
        <v>29</v>
      </c>
      <c r="R318" s="16" t="s">
        <v>1520</v>
      </c>
      <c r="S318" s="12" t="s">
        <v>1561</v>
      </c>
      <c r="T318" s="13">
        <v>45863</v>
      </c>
      <c r="U318" s="19"/>
      <c r="V318" s="53">
        <f>M318-Z318-AB318-AD318-AF318-AH318-AJ318-AL318-AN318-AP318-AR318-AT318-AV318-AX318-AZ318-BB318-BD318-BF318-BH318-U318</f>
        <v>-1.1999999999989086</v>
      </c>
      <c r="W318" s="22" t="s">
        <v>1570</v>
      </c>
      <c r="X318" s="16"/>
      <c r="Y318" s="210"/>
      <c r="Z318" s="19">
        <v>1502.6</v>
      </c>
      <c r="AA318" s="283">
        <v>45876</v>
      </c>
      <c r="AB318" s="19">
        <f>1893.9+1484.7+980.8+1407.8+3591+3045.5</f>
        <v>12403.7</v>
      </c>
      <c r="AC318" s="283">
        <v>45880</v>
      </c>
      <c r="AD318" s="19">
        <f>1692.4+1004.2</f>
        <v>2696.6000000000004</v>
      </c>
      <c r="AE318" s="283">
        <v>45882</v>
      </c>
      <c r="AF318" s="19">
        <v>2025.7</v>
      </c>
      <c r="AG318" s="283">
        <v>45884</v>
      </c>
      <c r="AH318" s="19">
        <f>3569+2731.4+3367.2</f>
        <v>9667.5999999999985</v>
      </c>
      <c r="AI318" s="283">
        <v>45888</v>
      </c>
      <c r="AJ318" s="210"/>
      <c r="AK318" s="210"/>
      <c r="AL318" s="210"/>
      <c r="AM318" s="210"/>
      <c r="AN318" s="210"/>
      <c r="AO318" s="210"/>
      <c r="AP318" s="210"/>
      <c r="AQ318" s="210"/>
      <c r="AR318" s="210"/>
      <c r="AS318" s="210"/>
      <c r="AT318" s="210"/>
      <c r="AU318" s="210"/>
      <c r="AV318" s="210"/>
      <c r="AW318" s="210"/>
      <c r="AX318" s="210"/>
      <c r="AY318" s="210"/>
      <c r="AZ318" s="210"/>
      <c r="BA318" s="210"/>
      <c r="BB318" s="210"/>
      <c r="BC318" s="210"/>
      <c r="BD318" s="210"/>
      <c r="BE318" s="210"/>
      <c r="BF318" s="211"/>
      <c r="BG318" s="29"/>
      <c r="BH318" s="29"/>
      <c r="BI318" s="29"/>
      <c r="BJ318" s="29"/>
      <c r="BK318" s="29"/>
      <c r="BL318" s="29"/>
      <c r="BM318" s="29"/>
      <c r="BN318" s="29"/>
      <c r="BO318" s="29"/>
    </row>
    <row r="319" spans="1:67" s="28" customFormat="1" ht="20.25" customHeight="1">
      <c r="A319" s="272">
        <v>45839</v>
      </c>
      <c r="B319" s="273" t="s">
        <v>1578</v>
      </c>
      <c r="C319" s="273" t="s">
        <v>304</v>
      </c>
      <c r="D319" s="273" t="s">
        <v>212</v>
      </c>
      <c r="E319" s="273" t="s">
        <v>25</v>
      </c>
      <c r="F319" s="273" t="s">
        <v>1579</v>
      </c>
      <c r="G319" s="273" t="s">
        <v>71</v>
      </c>
      <c r="H319" s="273" t="s">
        <v>31</v>
      </c>
      <c r="I319" s="273" t="s">
        <v>63</v>
      </c>
      <c r="J319" s="273" t="s">
        <v>27</v>
      </c>
      <c r="K319" s="273" t="s">
        <v>1573</v>
      </c>
      <c r="L319" s="273" t="s">
        <v>35</v>
      </c>
      <c r="M319" s="274"/>
      <c r="N319" s="275">
        <v>1.29</v>
      </c>
      <c r="O319" s="273" t="s">
        <v>67</v>
      </c>
      <c r="P319" s="273" t="s">
        <v>29</v>
      </c>
      <c r="Q319" s="273" t="s">
        <v>1580</v>
      </c>
      <c r="R319" s="273" t="s">
        <v>29</v>
      </c>
      <c r="S319" s="276" t="s">
        <v>1561</v>
      </c>
      <c r="T319" s="298">
        <v>45863</v>
      </c>
      <c r="U319" s="278"/>
      <c r="V319" s="279">
        <f>M319-Z319-AB319-AD319-AF319-AH319-AJ319-AL319-AN319-AP319-AR319-AT319-AV319-AX319-AZ319-BB319-BD319-BF319-BH319-U319</f>
        <v>0</v>
      </c>
      <c r="W319" s="280" t="s">
        <v>1581</v>
      </c>
      <c r="X319" s="1"/>
      <c r="Y319" s="281"/>
      <c r="Z319" s="281"/>
      <c r="AA319" s="281"/>
      <c r="AB319" s="281"/>
      <c r="AC319" s="281"/>
      <c r="AD319" s="281"/>
      <c r="AE319" s="281"/>
      <c r="AF319" s="281"/>
      <c r="AG319" s="281"/>
      <c r="AH319" s="281"/>
      <c r="AI319" s="281"/>
      <c r="AJ319" s="281"/>
      <c r="AK319" s="281"/>
      <c r="AL319" s="281"/>
      <c r="AM319" s="281"/>
      <c r="AN319" s="281"/>
      <c r="AO319" s="281"/>
      <c r="AP319" s="281"/>
      <c r="AQ319" s="281"/>
      <c r="AR319" s="281"/>
      <c r="AS319" s="281"/>
      <c r="AT319" s="281"/>
      <c r="AU319" s="281"/>
      <c r="AV319" s="281"/>
      <c r="AW319" s="281"/>
      <c r="AX319" s="281"/>
      <c r="AY319" s="281"/>
      <c r="AZ319" s="281"/>
      <c r="BA319" s="281"/>
      <c r="BB319" s="281"/>
      <c r="BC319" s="281"/>
      <c r="BD319" s="281"/>
      <c r="BE319" s="281"/>
      <c r="BF319" s="282"/>
      <c r="BG319" s="282"/>
      <c r="BH319" s="282"/>
      <c r="BI319" s="282"/>
      <c r="BJ319" s="282"/>
      <c r="BK319" s="282"/>
      <c r="BL319" s="282"/>
      <c r="BM319" s="282"/>
      <c r="BN319" s="282"/>
      <c r="BO319" s="282"/>
    </row>
    <row r="320" spans="1:67" s="36" customFormat="1" ht="20.25" customHeight="1">
      <c r="A320" s="7">
        <v>45839</v>
      </c>
      <c r="B320" s="19" t="s">
        <v>1584</v>
      </c>
      <c r="C320" s="19" t="s">
        <v>304</v>
      </c>
      <c r="D320" s="19" t="s">
        <v>212</v>
      </c>
      <c r="E320" s="19" t="s">
        <v>25</v>
      </c>
      <c r="F320" s="19" t="s">
        <v>1585</v>
      </c>
      <c r="G320" s="19" t="s">
        <v>71</v>
      </c>
      <c r="H320" s="19" t="s">
        <v>26</v>
      </c>
      <c r="I320" s="19" t="s">
        <v>63</v>
      </c>
      <c r="J320" s="19" t="s">
        <v>27</v>
      </c>
      <c r="K320" s="19" t="s">
        <v>760</v>
      </c>
      <c r="L320" s="19" t="s">
        <v>35</v>
      </c>
      <c r="M320" s="20">
        <v>3460</v>
      </c>
      <c r="N320" s="25">
        <v>1.29</v>
      </c>
      <c r="O320" s="19" t="s">
        <v>67</v>
      </c>
      <c r="P320" s="19" t="s">
        <v>29</v>
      </c>
      <c r="Q320" s="19" t="s">
        <v>1588</v>
      </c>
      <c r="R320" s="19" t="s">
        <v>29</v>
      </c>
      <c r="S320" s="45" t="s">
        <v>1561</v>
      </c>
      <c r="T320" s="313">
        <v>45863</v>
      </c>
      <c r="U320" s="19"/>
      <c r="V320" s="55">
        <f>M320-Z320-AB320-AD320-AF320-AH320-AJ320-AL320-AN320-AP320-AR320-AT320-AV320-AX320-AZ320-BB320-BD320-BF320-BH320-U320</f>
        <v>-1.9000000000000909</v>
      </c>
      <c r="W320" s="15" t="s">
        <v>1589</v>
      </c>
      <c r="X320" s="19" t="s">
        <v>339</v>
      </c>
      <c r="Y320" s="46"/>
      <c r="Z320" s="19">
        <f>2990.6+471.3</f>
        <v>3461.9</v>
      </c>
      <c r="AA320" s="138">
        <v>45867</v>
      </c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</row>
    <row r="321" spans="1:67" s="28" customFormat="1" ht="20.25" customHeight="1">
      <c r="A321" s="11">
        <v>45839</v>
      </c>
      <c r="B321" s="16" t="s">
        <v>1559</v>
      </c>
      <c r="C321" s="16" t="s">
        <v>400</v>
      </c>
      <c r="D321" s="16" t="s">
        <v>212</v>
      </c>
      <c r="E321" s="16" t="s">
        <v>25</v>
      </c>
      <c r="F321" s="16" t="s">
        <v>1560</v>
      </c>
      <c r="G321" s="16" t="s">
        <v>71</v>
      </c>
      <c r="H321" s="16" t="s">
        <v>26</v>
      </c>
      <c r="I321" s="16" t="s">
        <v>63</v>
      </c>
      <c r="J321" s="16" t="s">
        <v>27</v>
      </c>
      <c r="K321" s="16" t="s">
        <v>239</v>
      </c>
      <c r="L321" s="16" t="s">
        <v>75</v>
      </c>
      <c r="M321" s="17">
        <v>524.35</v>
      </c>
      <c r="N321" s="23">
        <v>1.31</v>
      </c>
      <c r="O321" s="16" t="s">
        <v>1063</v>
      </c>
      <c r="P321" s="16" t="s">
        <v>29</v>
      </c>
      <c r="Q321" s="16" t="s">
        <v>1424</v>
      </c>
      <c r="R321" s="16" t="s">
        <v>1565</v>
      </c>
      <c r="S321" s="12" t="s">
        <v>1561</v>
      </c>
      <c r="T321" s="13">
        <v>45863</v>
      </c>
      <c r="U321" s="19"/>
      <c r="V321" s="53">
        <f>M321-Z321-AB321-AD321-AF321-AH321-AJ321-AL321-AN321-AP321-AR321-AT321-AV321-AX321-AZ321-BB321-BD321-BF321-BH321-U321</f>
        <v>-0.94999999999993179</v>
      </c>
      <c r="W321" s="22" t="s">
        <v>1566</v>
      </c>
      <c r="X321" s="29"/>
      <c r="Y321" s="29"/>
      <c r="Z321" s="104">
        <f>335.4+189.9</f>
        <v>525.29999999999995</v>
      </c>
      <c r="AA321" s="85">
        <v>45859</v>
      </c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</row>
    <row r="322" spans="1:67" s="28" customFormat="1" ht="20.25" customHeight="1">
      <c r="A322" s="11">
        <v>45839</v>
      </c>
      <c r="B322" s="16" t="s">
        <v>1593</v>
      </c>
      <c r="C322" s="16" t="s">
        <v>228</v>
      </c>
      <c r="D322" s="16" t="s">
        <v>212</v>
      </c>
      <c r="E322" s="16" t="s">
        <v>25</v>
      </c>
      <c r="F322" s="16" t="s">
        <v>1594</v>
      </c>
      <c r="G322" s="16" t="s">
        <v>71</v>
      </c>
      <c r="H322" s="16" t="s">
        <v>31</v>
      </c>
      <c r="I322" s="16" t="s">
        <v>63</v>
      </c>
      <c r="J322" s="16" t="s">
        <v>27</v>
      </c>
      <c r="K322" s="16" t="s">
        <v>483</v>
      </c>
      <c r="L322" s="16" t="s">
        <v>75</v>
      </c>
      <c r="M322" s="17">
        <v>1940.39</v>
      </c>
      <c r="N322" s="23">
        <v>1.31</v>
      </c>
      <c r="O322" s="16" t="s">
        <v>67</v>
      </c>
      <c r="P322" s="16" t="s">
        <v>29</v>
      </c>
      <c r="Q322" s="16" t="s">
        <v>470</v>
      </c>
      <c r="R322" s="16" t="s">
        <v>235</v>
      </c>
      <c r="S322" s="12" t="s">
        <v>1561</v>
      </c>
      <c r="T322" s="311">
        <v>45863</v>
      </c>
      <c r="U322" s="19"/>
      <c r="V322" s="53">
        <f>M322-Z322-AB322-AD322-AF322-AH322-AJ322-AL322-AN322-AP322-AR322-AT322-AV322-AX322-AZ322-BB322-BD322-BF322-BH322-U322</f>
        <v>-0.70999999999980901</v>
      </c>
      <c r="W322" s="22" t="s">
        <v>1595</v>
      </c>
      <c r="X322" s="84"/>
      <c r="Z322" s="104">
        <v>291.89999999999998</v>
      </c>
      <c r="AA322" s="252">
        <v>45870</v>
      </c>
      <c r="AB322" s="104">
        <f>1299.5+274.8+74.9</f>
        <v>1649.2</v>
      </c>
      <c r="AC322" s="252">
        <v>45888</v>
      </c>
    </row>
    <row r="323" spans="1:67" s="28" customFormat="1" ht="20.25" customHeight="1">
      <c r="A323" s="11">
        <v>45839</v>
      </c>
      <c r="B323" s="16" t="s">
        <v>1571</v>
      </c>
      <c r="C323" s="16" t="s">
        <v>304</v>
      </c>
      <c r="D323" s="16" t="s">
        <v>212</v>
      </c>
      <c r="E323" s="16" t="s">
        <v>25</v>
      </c>
      <c r="F323" s="16" t="s">
        <v>1572</v>
      </c>
      <c r="G323" s="16" t="s">
        <v>71</v>
      </c>
      <c r="H323" s="16" t="s">
        <v>31</v>
      </c>
      <c r="I323" s="16" t="s">
        <v>63</v>
      </c>
      <c r="J323" s="16" t="s">
        <v>27</v>
      </c>
      <c r="K323" s="16" t="s">
        <v>1573</v>
      </c>
      <c r="L323" s="16" t="s">
        <v>33</v>
      </c>
      <c r="M323" s="17">
        <v>7680</v>
      </c>
      <c r="N323" s="23">
        <v>1.29</v>
      </c>
      <c r="O323" s="16" t="s">
        <v>67</v>
      </c>
      <c r="P323" s="16" t="s">
        <v>29</v>
      </c>
      <c r="Q323" s="16" t="s">
        <v>1574</v>
      </c>
      <c r="R323" s="16" t="s">
        <v>29</v>
      </c>
      <c r="S323" s="12" t="s">
        <v>1561</v>
      </c>
      <c r="T323" s="311">
        <v>45863</v>
      </c>
      <c r="U323" s="19"/>
      <c r="V323" s="53">
        <f>M323-Z323-AB323-AD323-AF323-AH323-AJ323-AL323-AN323-AP323-AR323-AT323-AV323-AX323-AZ323-BB323-BD323-BF323-BH323-U323</f>
        <v>-2.1000000000001364</v>
      </c>
      <c r="W323" s="22" t="s">
        <v>1575</v>
      </c>
      <c r="X323" s="84" t="s">
        <v>1806</v>
      </c>
      <c r="Y323" s="211" t="s">
        <v>1938</v>
      </c>
      <c r="Z323" s="104">
        <v>1820.1</v>
      </c>
      <c r="AA323" s="362">
        <v>45867</v>
      </c>
      <c r="AB323" s="104">
        <v>1825.2</v>
      </c>
      <c r="AC323" s="362">
        <v>45870</v>
      </c>
      <c r="AD323" s="104">
        <f>801.7+822.3</f>
        <v>1624</v>
      </c>
      <c r="AE323" s="362">
        <v>45876</v>
      </c>
      <c r="AF323" s="104">
        <f>834.4+541.9</f>
        <v>1376.3</v>
      </c>
      <c r="AG323" s="362">
        <v>45882</v>
      </c>
      <c r="AH323" s="104">
        <f>180.4+856.1</f>
        <v>1036.5</v>
      </c>
      <c r="AI323" s="362">
        <v>45887</v>
      </c>
      <c r="AJ323" s="211"/>
      <c r="AK323" s="211"/>
      <c r="AL323" s="211"/>
      <c r="AM323" s="211"/>
      <c r="AN323" s="211"/>
      <c r="AO323" s="211"/>
      <c r="AP323" s="211"/>
      <c r="AQ323" s="211"/>
      <c r="AR323" s="211"/>
      <c r="AS323" s="211"/>
      <c r="AT323" s="211"/>
      <c r="AU323" s="211"/>
      <c r="AV323" s="211"/>
      <c r="AW323" s="211"/>
      <c r="AX323" s="211"/>
      <c r="AY323" s="211"/>
      <c r="AZ323" s="211"/>
      <c r="BA323" s="211"/>
      <c r="BB323" s="211"/>
      <c r="BC323" s="211"/>
      <c r="BD323" s="211"/>
      <c r="BE323" s="211"/>
      <c r="BF323" s="211"/>
      <c r="BG323" s="211"/>
      <c r="BH323" s="211"/>
      <c r="BI323" s="211"/>
      <c r="BJ323" s="211"/>
      <c r="BK323" s="211"/>
      <c r="BL323" s="211"/>
      <c r="BM323" s="211"/>
      <c r="BN323" s="211"/>
      <c r="BO323" s="211"/>
    </row>
    <row r="324" spans="1:67" s="28" customFormat="1" ht="20.25" customHeight="1">
      <c r="A324" s="11">
        <v>45839</v>
      </c>
      <c r="B324" s="16" t="s">
        <v>1578</v>
      </c>
      <c r="C324" s="16" t="s">
        <v>304</v>
      </c>
      <c r="D324" s="16" t="s">
        <v>212</v>
      </c>
      <c r="E324" s="16" t="s">
        <v>25</v>
      </c>
      <c r="F324" s="16" t="s">
        <v>1579</v>
      </c>
      <c r="G324" s="16" t="s">
        <v>71</v>
      </c>
      <c r="H324" s="16" t="s">
        <v>31</v>
      </c>
      <c r="I324" s="16" t="s">
        <v>63</v>
      </c>
      <c r="J324" s="16" t="s">
        <v>27</v>
      </c>
      <c r="K324" s="16" t="s">
        <v>1582</v>
      </c>
      <c r="L324" s="16" t="s">
        <v>35</v>
      </c>
      <c r="M324" s="17">
        <v>1000</v>
      </c>
      <c r="N324" s="23">
        <v>1.29</v>
      </c>
      <c r="O324" s="16" t="s">
        <v>67</v>
      </c>
      <c r="P324" s="16" t="s">
        <v>29</v>
      </c>
      <c r="Q324" s="16" t="s">
        <v>1580</v>
      </c>
      <c r="R324" s="16" t="s">
        <v>29</v>
      </c>
      <c r="S324" s="12" t="s">
        <v>1561</v>
      </c>
      <c r="T324" s="311">
        <v>45863</v>
      </c>
      <c r="U324" s="19"/>
      <c r="V324" s="53">
        <f>M324-Z324-AB324-AD324-AF324-AH324-AJ324-AL324-AN324-AP324-AR324-AT324-AV324-AX324-AZ324-BB324-BD324-BF324-BH324-U324</f>
        <v>-4.2000000000000171</v>
      </c>
      <c r="W324" s="22" t="s">
        <v>1583</v>
      </c>
      <c r="X324" s="16" t="s">
        <v>1979</v>
      </c>
      <c r="Y324" s="88" t="s">
        <v>1932</v>
      </c>
      <c r="Z324" s="19">
        <v>324.60000000000002</v>
      </c>
      <c r="AA324" s="227">
        <v>45870</v>
      </c>
      <c r="AB324" s="19">
        <f>298.7+161</f>
        <v>459.7</v>
      </c>
      <c r="AC324" s="227">
        <v>45873</v>
      </c>
      <c r="AD324" s="104">
        <v>195.4</v>
      </c>
      <c r="AE324" s="252">
        <v>45874</v>
      </c>
      <c r="AF324" s="104">
        <v>24.5</v>
      </c>
      <c r="AG324" s="252">
        <v>45876</v>
      </c>
    </row>
    <row r="325" spans="1:67" s="28" customFormat="1" ht="20.25" customHeight="1">
      <c r="A325" s="11">
        <v>45840</v>
      </c>
      <c r="B325" s="16" t="s">
        <v>1613</v>
      </c>
      <c r="C325" s="16" t="s">
        <v>315</v>
      </c>
      <c r="D325" s="16" t="s">
        <v>212</v>
      </c>
      <c r="E325" s="16" t="s">
        <v>25</v>
      </c>
      <c r="F325" s="16" t="s">
        <v>1614</v>
      </c>
      <c r="G325" s="16" t="s">
        <v>71</v>
      </c>
      <c r="H325" s="16" t="s">
        <v>26</v>
      </c>
      <c r="I325" s="16" t="s">
        <v>63</v>
      </c>
      <c r="J325" s="16" t="s">
        <v>27</v>
      </c>
      <c r="K325" s="16" t="s">
        <v>218</v>
      </c>
      <c r="L325" s="16" t="s">
        <v>75</v>
      </c>
      <c r="M325" s="17">
        <v>6368</v>
      </c>
      <c r="N325" s="23">
        <v>1.31</v>
      </c>
      <c r="O325" s="16" t="s">
        <v>1063</v>
      </c>
      <c r="P325" s="16" t="s">
        <v>29</v>
      </c>
      <c r="Q325" s="16" t="s">
        <v>29</v>
      </c>
      <c r="R325" s="16" t="s">
        <v>426</v>
      </c>
      <c r="S325" s="12" t="s">
        <v>1558</v>
      </c>
      <c r="T325" s="13">
        <v>45861</v>
      </c>
      <c r="U325" s="19"/>
      <c r="V325" s="53">
        <f>M325-Z325-AB325-AD325-AF325-AH325-AJ325-AL325-AN325-AP325-AR325-AT325-AV325-AX325-AZ325-BB325-BD325-BF325-BH325-U325</f>
        <v>-1.1000000000003638</v>
      </c>
      <c r="W325" s="22" t="s">
        <v>1615</v>
      </c>
      <c r="X325" s="65"/>
      <c r="Z325" s="104">
        <f>1285+321+2597.6+728.5+1437</f>
        <v>6369.1</v>
      </c>
      <c r="AA325" s="252">
        <v>45866</v>
      </c>
    </row>
    <row r="326" spans="1:67" s="28" customFormat="1" ht="20.25" customHeight="1">
      <c r="A326" s="11">
        <v>45840</v>
      </c>
      <c r="B326" s="16" t="s">
        <v>1610</v>
      </c>
      <c r="C326" s="16" t="s">
        <v>315</v>
      </c>
      <c r="D326" s="16" t="s">
        <v>212</v>
      </c>
      <c r="E326" s="16" t="s">
        <v>25</v>
      </c>
      <c r="F326" s="16" t="s">
        <v>1611</v>
      </c>
      <c r="G326" s="16" t="s">
        <v>71</v>
      </c>
      <c r="H326" s="16" t="s">
        <v>26</v>
      </c>
      <c r="I326" s="16" t="s">
        <v>63</v>
      </c>
      <c r="J326" s="16" t="s">
        <v>27</v>
      </c>
      <c r="K326" s="16" t="s">
        <v>683</v>
      </c>
      <c r="L326" s="16" t="s">
        <v>75</v>
      </c>
      <c r="M326" s="17">
        <v>156</v>
      </c>
      <c r="N326" s="23">
        <v>1.31</v>
      </c>
      <c r="O326" s="16" t="s">
        <v>1063</v>
      </c>
      <c r="P326" s="16" t="s">
        <v>29</v>
      </c>
      <c r="Q326" s="16" t="s">
        <v>29</v>
      </c>
      <c r="R326" s="16" t="s">
        <v>426</v>
      </c>
      <c r="S326" s="12" t="s">
        <v>1558</v>
      </c>
      <c r="T326" s="13">
        <v>45861</v>
      </c>
      <c r="U326" s="19"/>
      <c r="V326" s="53">
        <f>M326-Z326-AB326-AD326-AF326-AH326-AJ326-AL326-AN326-AP326-AR326-AT326-AV326-AX326-AZ326-BB326-BD326-BF326-BH326-U326</f>
        <v>-1.5</v>
      </c>
      <c r="W326" s="22" t="s">
        <v>1612</v>
      </c>
      <c r="X326" s="1"/>
      <c r="Y326" s="88"/>
      <c r="Z326" s="19">
        <v>157.5</v>
      </c>
      <c r="AA326" s="227">
        <v>45866</v>
      </c>
      <c r="AB326" s="88"/>
      <c r="AC326" s="88"/>
      <c r="BG326" s="29"/>
      <c r="BH326" s="29"/>
      <c r="BI326" s="29"/>
      <c r="BJ326" s="29"/>
      <c r="BK326" s="29"/>
      <c r="BL326" s="29"/>
      <c r="BM326" s="29"/>
      <c r="BN326" s="29"/>
      <c r="BO326" s="29"/>
    </row>
    <row r="327" spans="1:67" s="28" customFormat="1" ht="20.25" customHeight="1">
      <c r="A327" s="11">
        <v>45840</v>
      </c>
      <c r="B327" s="16" t="s">
        <v>1616</v>
      </c>
      <c r="C327" s="16" t="s">
        <v>315</v>
      </c>
      <c r="D327" s="16" t="s">
        <v>212</v>
      </c>
      <c r="E327" s="16" t="s">
        <v>25</v>
      </c>
      <c r="F327" s="16" t="s">
        <v>1617</v>
      </c>
      <c r="G327" s="16" t="s">
        <v>71</v>
      </c>
      <c r="H327" s="16" t="s">
        <v>31</v>
      </c>
      <c r="I327" s="16" t="s">
        <v>63</v>
      </c>
      <c r="J327" s="16" t="s">
        <v>27</v>
      </c>
      <c r="K327" s="16" t="s">
        <v>683</v>
      </c>
      <c r="L327" s="16" t="s">
        <v>75</v>
      </c>
      <c r="M327" s="17">
        <v>3066</v>
      </c>
      <c r="N327" s="23">
        <v>1.31</v>
      </c>
      <c r="O327" s="16" t="s">
        <v>1063</v>
      </c>
      <c r="P327" s="16" t="s">
        <v>29</v>
      </c>
      <c r="Q327" s="16" t="s">
        <v>29</v>
      </c>
      <c r="R327" s="16" t="s">
        <v>1618</v>
      </c>
      <c r="S327" s="12" t="s">
        <v>1558</v>
      </c>
      <c r="T327" s="13">
        <v>45861</v>
      </c>
      <c r="U327" s="19"/>
      <c r="V327" s="53">
        <f>M327-Z327-AB327-AD327-AF327-AH327-AJ327-AL327-AN327-AP327-AR327-AT327-AV327-AX327-AZ327-BB327-BD327-BF327-BH327-U327</f>
        <v>0</v>
      </c>
      <c r="W327" s="22" t="s">
        <v>1619</v>
      </c>
      <c r="X327" s="65"/>
      <c r="Z327" s="104">
        <v>3066</v>
      </c>
      <c r="AA327" s="252">
        <v>45866</v>
      </c>
      <c r="BG327" s="29"/>
      <c r="BH327" s="29"/>
      <c r="BI327" s="29"/>
      <c r="BJ327" s="29"/>
      <c r="BK327" s="29"/>
      <c r="BL327" s="29"/>
      <c r="BM327" s="29"/>
      <c r="BN327" s="29"/>
      <c r="BO327" s="29"/>
    </row>
    <row r="328" spans="1:67" s="28" customFormat="1" ht="20.25" customHeight="1">
      <c r="A328" s="272">
        <v>45840</v>
      </c>
      <c r="B328" s="273" t="s">
        <v>1606</v>
      </c>
      <c r="C328" s="273" t="s">
        <v>400</v>
      </c>
      <c r="D328" s="273" t="s">
        <v>212</v>
      </c>
      <c r="E328" s="273" t="s">
        <v>25</v>
      </c>
      <c r="F328" s="273" t="s">
        <v>1607</v>
      </c>
      <c r="G328" s="273" t="s">
        <v>71</v>
      </c>
      <c r="H328" s="273" t="s">
        <v>31</v>
      </c>
      <c r="I328" s="273" t="s">
        <v>63</v>
      </c>
      <c r="J328" s="273" t="s">
        <v>27</v>
      </c>
      <c r="K328" s="273" t="s">
        <v>68</v>
      </c>
      <c r="L328" s="273" t="s">
        <v>35</v>
      </c>
      <c r="M328" s="274"/>
      <c r="N328" s="275">
        <v>1.23</v>
      </c>
      <c r="O328" s="273" t="s">
        <v>66</v>
      </c>
      <c r="P328" s="273" t="s">
        <v>29</v>
      </c>
      <c r="Q328" s="273" t="s">
        <v>1410</v>
      </c>
      <c r="R328" s="273" t="s">
        <v>80</v>
      </c>
      <c r="S328" s="276" t="s">
        <v>1497</v>
      </c>
      <c r="T328" s="273" t="s">
        <v>29</v>
      </c>
      <c r="U328" s="278"/>
      <c r="V328" s="279">
        <f>M328-U328-X328-AA328</f>
        <v>0</v>
      </c>
      <c r="W328" s="280" t="s">
        <v>1608</v>
      </c>
      <c r="X328" s="65"/>
      <c r="Y328" s="282"/>
      <c r="Z328" s="282"/>
      <c r="AA328" s="282"/>
      <c r="AB328" s="282"/>
      <c r="AC328" s="282"/>
      <c r="AD328" s="282"/>
      <c r="AE328" s="282"/>
      <c r="AF328" s="282"/>
      <c r="AG328" s="282"/>
      <c r="AH328" s="282"/>
      <c r="AI328" s="282"/>
      <c r="AJ328" s="282"/>
      <c r="AK328" s="282"/>
      <c r="AL328" s="282"/>
      <c r="AM328" s="282"/>
      <c r="AN328" s="282"/>
      <c r="AO328" s="282"/>
      <c r="AP328" s="282"/>
      <c r="AQ328" s="282"/>
      <c r="AR328" s="282"/>
      <c r="AS328" s="282"/>
      <c r="AT328" s="282"/>
      <c r="AU328" s="282"/>
      <c r="AV328" s="282"/>
      <c r="AW328" s="282"/>
      <c r="AX328" s="282"/>
      <c r="AY328" s="282"/>
      <c r="AZ328" s="282"/>
      <c r="BA328" s="282"/>
      <c r="BB328" s="282"/>
      <c r="BC328" s="282"/>
      <c r="BD328" s="282"/>
      <c r="BE328" s="282"/>
      <c r="BF328" s="282"/>
      <c r="BG328" s="286"/>
      <c r="BH328" s="286"/>
      <c r="BI328" s="286"/>
      <c r="BJ328" s="286"/>
      <c r="BK328" s="286"/>
      <c r="BL328" s="286"/>
      <c r="BM328" s="286"/>
      <c r="BN328" s="286"/>
      <c r="BO328" s="286"/>
    </row>
    <row r="329" spans="1:67" s="28" customFormat="1" ht="20.25" customHeight="1">
      <c r="A329" s="272">
        <v>45840</v>
      </c>
      <c r="B329" s="273" t="s">
        <v>1606</v>
      </c>
      <c r="C329" s="273" t="s">
        <v>400</v>
      </c>
      <c r="D329" s="273" t="s">
        <v>212</v>
      </c>
      <c r="E329" s="273" t="s">
        <v>25</v>
      </c>
      <c r="F329" s="273" t="s">
        <v>1607</v>
      </c>
      <c r="G329" s="273" t="s">
        <v>71</v>
      </c>
      <c r="H329" s="273" t="s">
        <v>31</v>
      </c>
      <c r="I329" s="273" t="s">
        <v>63</v>
      </c>
      <c r="J329" s="273" t="s">
        <v>27</v>
      </c>
      <c r="K329" s="273" t="s">
        <v>73</v>
      </c>
      <c r="L329" s="273" t="s">
        <v>37</v>
      </c>
      <c r="M329" s="274"/>
      <c r="N329" s="275">
        <v>1.23</v>
      </c>
      <c r="O329" s="273" t="s">
        <v>69</v>
      </c>
      <c r="P329" s="273" t="s">
        <v>29</v>
      </c>
      <c r="Q329" s="273" t="s">
        <v>1410</v>
      </c>
      <c r="R329" s="273" t="s">
        <v>82</v>
      </c>
      <c r="S329" s="276" t="s">
        <v>1497</v>
      </c>
      <c r="T329" s="273" t="s">
        <v>29</v>
      </c>
      <c r="U329" s="278"/>
      <c r="V329" s="279">
        <f>M329-U329-X329-AA329</f>
        <v>0</v>
      </c>
      <c r="W329" s="280" t="s">
        <v>1609</v>
      </c>
      <c r="X329" s="65"/>
      <c r="Y329" s="282"/>
      <c r="Z329" s="282"/>
      <c r="AA329" s="282"/>
      <c r="AB329" s="282"/>
      <c r="AC329" s="282"/>
      <c r="AD329" s="282"/>
      <c r="AE329" s="282"/>
      <c r="AF329" s="282"/>
      <c r="AG329" s="282"/>
      <c r="AH329" s="282"/>
      <c r="AI329" s="282"/>
      <c r="AJ329" s="282"/>
      <c r="AK329" s="282"/>
      <c r="AL329" s="282"/>
      <c r="AM329" s="282"/>
      <c r="AN329" s="282"/>
      <c r="AO329" s="282"/>
      <c r="AP329" s="282"/>
      <c r="AQ329" s="282"/>
      <c r="AR329" s="282"/>
      <c r="AS329" s="282"/>
      <c r="AT329" s="282"/>
      <c r="AU329" s="282"/>
      <c r="AV329" s="282"/>
      <c r="AW329" s="282"/>
      <c r="AX329" s="282"/>
      <c r="AY329" s="282"/>
      <c r="AZ329" s="282"/>
      <c r="BA329" s="282"/>
      <c r="BB329" s="282"/>
      <c r="BC329" s="282"/>
      <c r="BD329" s="282"/>
      <c r="BE329" s="282"/>
      <c r="BF329" s="282"/>
      <c r="BG329" s="282"/>
      <c r="BH329" s="282"/>
      <c r="BI329" s="282"/>
      <c r="BJ329" s="282"/>
      <c r="BK329" s="282"/>
      <c r="BL329" s="282"/>
      <c r="BM329" s="282"/>
      <c r="BN329" s="282"/>
      <c r="BO329" s="282"/>
    </row>
    <row r="330" spans="1:67" s="28" customFormat="1" ht="20.25" customHeight="1">
      <c r="A330" s="11">
        <v>45840</v>
      </c>
      <c r="B330" s="16" t="s">
        <v>1627</v>
      </c>
      <c r="C330" s="16" t="s">
        <v>304</v>
      </c>
      <c r="D330" s="16" t="s">
        <v>212</v>
      </c>
      <c r="E330" s="16" t="s">
        <v>25</v>
      </c>
      <c r="F330" s="16" t="s">
        <v>1628</v>
      </c>
      <c r="G330" s="16" t="s">
        <v>71</v>
      </c>
      <c r="H330" s="16" t="s">
        <v>31</v>
      </c>
      <c r="I330" s="16" t="s">
        <v>63</v>
      </c>
      <c r="J330" s="16" t="s">
        <v>27</v>
      </c>
      <c r="K330" s="16" t="s">
        <v>223</v>
      </c>
      <c r="L330" s="16" t="s">
        <v>75</v>
      </c>
      <c r="M330" s="17">
        <v>4770</v>
      </c>
      <c r="N330" s="23">
        <v>1.31</v>
      </c>
      <c r="O330" s="16" t="s">
        <v>67</v>
      </c>
      <c r="P330" s="16" t="s">
        <v>29</v>
      </c>
      <c r="Q330" s="16" t="s">
        <v>29</v>
      </c>
      <c r="R330" s="16" t="s">
        <v>1256</v>
      </c>
      <c r="S330" s="12" t="s">
        <v>1497</v>
      </c>
      <c r="T330" s="13">
        <v>45866</v>
      </c>
      <c r="U330" s="19"/>
      <c r="V330" s="53">
        <f>M330-Z330-AB330-AD330-AF330-AH330-AJ330-AL330-AN330-AP330-AR330-AT330-AV330-AX330-AZ330-BB330-BD330-BF330-BH330-U330</f>
        <v>-0.4000000000005457</v>
      </c>
      <c r="W330" s="22" t="s">
        <v>1629</v>
      </c>
      <c r="X330" s="84" t="s">
        <v>1420</v>
      </c>
      <c r="Y330" s="28" t="s">
        <v>1933</v>
      </c>
      <c r="Z330" s="104">
        <f>308.9+644.1+808.3</f>
        <v>1761.3</v>
      </c>
      <c r="AA330" s="252">
        <v>45870</v>
      </c>
      <c r="AB330" s="104">
        <f>1866.9+1142.2</f>
        <v>3009.1000000000004</v>
      </c>
      <c r="AC330" s="252">
        <v>45873</v>
      </c>
      <c r="BG330" s="318"/>
      <c r="BH330" s="318"/>
      <c r="BI330" s="318"/>
      <c r="BJ330" s="318"/>
      <c r="BK330" s="318"/>
      <c r="BL330" s="318"/>
      <c r="BM330" s="318"/>
      <c r="BN330" s="318"/>
      <c r="BO330" s="318"/>
    </row>
    <row r="331" spans="1:67" s="28" customFormat="1" ht="20.25" customHeight="1">
      <c r="A331" s="11">
        <v>45840</v>
      </c>
      <c r="B331" s="16" t="s">
        <v>1620</v>
      </c>
      <c r="C331" s="16" t="s">
        <v>304</v>
      </c>
      <c r="D331" s="16" t="s">
        <v>212</v>
      </c>
      <c r="E331" s="16" t="s">
        <v>25</v>
      </c>
      <c r="F331" s="16" t="s">
        <v>1621</v>
      </c>
      <c r="G331" s="16" t="s">
        <v>71</v>
      </c>
      <c r="H331" s="16" t="s">
        <v>31</v>
      </c>
      <c r="I331" s="16" t="s">
        <v>63</v>
      </c>
      <c r="J331" s="16" t="s">
        <v>27</v>
      </c>
      <c r="K331" s="16" t="s">
        <v>372</v>
      </c>
      <c r="L331" s="16" t="s">
        <v>75</v>
      </c>
      <c r="M331" s="17">
        <v>750</v>
      </c>
      <c r="N331" s="23">
        <v>1.31</v>
      </c>
      <c r="O331" s="16" t="s">
        <v>67</v>
      </c>
      <c r="P331" s="16" t="s">
        <v>29</v>
      </c>
      <c r="Q331" s="16" t="s">
        <v>29</v>
      </c>
      <c r="R331" s="16" t="s">
        <v>1622</v>
      </c>
      <c r="S331" s="12" t="s">
        <v>1497</v>
      </c>
      <c r="T331" s="13">
        <v>45866</v>
      </c>
      <c r="U331" s="19"/>
      <c r="V331" s="53">
        <f>M331-Z331-AB331-AD331-AF331-AH331-AJ331-AL331-AN331-AP331-AR331-AT331-AV331-AX331-AZ331-BB331-BD331-BF331-BH331-U331</f>
        <v>-0.69999999999996021</v>
      </c>
      <c r="W331" s="22" t="s">
        <v>1623</v>
      </c>
      <c r="X331" s="84" t="s">
        <v>1510</v>
      </c>
      <c r="Y331" s="28" t="s">
        <v>1935</v>
      </c>
      <c r="Z331" s="104">
        <v>650.79999999999995</v>
      </c>
      <c r="AA331" s="252">
        <v>45870</v>
      </c>
      <c r="AB331" s="104">
        <v>99.9</v>
      </c>
      <c r="AC331" s="252">
        <v>45874</v>
      </c>
    </row>
    <row r="332" spans="1:67" s="28" customFormat="1" ht="20.25" customHeight="1">
      <c r="A332" s="11">
        <v>45840</v>
      </c>
      <c r="B332" s="16" t="s">
        <v>1599</v>
      </c>
      <c r="C332" s="16" t="s">
        <v>228</v>
      </c>
      <c r="D332" s="16" t="s">
        <v>212</v>
      </c>
      <c r="E332" s="16" t="s">
        <v>25</v>
      </c>
      <c r="F332" s="16" t="s">
        <v>1600</v>
      </c>
      <c r="G332" s="16" t="s">
        <v>71</v>
      </c>
      <c r="H332" s="16" t="s">
        <v>31</v>
      </c>
      <c r="I332" s="16" t="s">
        <v>63</v>
      </c>
      <c r="J332" s="16" t="s">
        <v>27</v>
      </c>
      <c r="K332" s="16" t="s">
        <v>1601</v>
      </c>
      <c r="L332" s="16" t="s">
        <v>75</v>
      </c>
      <c r="M332" s="17">
        <v>1655.82</v>
      </c>
      <c r="N332" s="23">
        <v>1.31</v>
      </c>
      <c r="O332" s="16" t="s">
        <v>67</v>
      </c>
      <c r="P332" s="16" t="s">
        <v>29</v>
      </c>
      <c r="Q332" s="88"/>
      <c r="R332" s="16" t="s">
        <v>470</v>
      </c>
      <c r="S332" s="12" t="s">
        <v>1558</v>
      </c>
      <c r="T332" s="13">
        <v>45863</v>
      </c>
      <c r="U332" s="19"/>
      <c r="V332" s="53">
        <f>M332-Z332-AB332-AD332-AF332-AH332-AJ332-AL332-AN332-AP332-AR332-AT332-AV332-AX332-AZ332-BB332-BD332-BF332-BH332-U332</f>
        <v>-2.7799999999999727</v>
      </c>
      <c r="W332" s="22" t="s">
        <v>1602</v>
      </c>
      <c r="X332" s="16"/>
      <c r="Y332" s="88"/>
      <c r="Z332" s="19">
        <v>1658.6</v>
      </c>
      <c r="AA332" s="227">
        <v>45888</v>
      </c>
      <c r="AB332" s="88"/>
      <c r="AC332" s="88"/>
      <c r="AD332" s="88"/>
    </row>
    <row r="333" spans="1:67" s="28" customFormat="1" ht="20.25" customHeight="1">
      <c r="A333" s="11">
        <v>45840</v>
      </c>
      <c r="B333" s="16" t="s">
        <v>1603</v>
      </c>
      <c r="C333" s="16" t="s">
        <v>228</v>
      </c>
      <c r="D333" s="16" t="s">
        <v>212</v>
      </c>
      <c r="E333" s="16" t="s">
        <v>25</v>
      </c>
      <c r="F333" s="16" t="s">
        <v>1604</v>
      </c>
      <c r="G333" s="16" t="s">
        <v>71</v>
      </c>
      <c r="H333" s="16" t="s">
        <v>31</v>
      </c>
      <c r="I333" s="16" t="s">
        <v>63</v>
      </c>
      <c r="J333" s="16" t="s">
        <v>27</v>
      </c>
      <c r="K333" s="16" t="s">
        <v>1106</v>
      </c>
      <c r="L333" s="16" t="s">
        <v>75</v>
      </c>
      <c r="M333" s="17">
        <v>203.16</v>
      </c>
      <c r="N333" s="23">
        <v>1.31</v>
      </c>
      <c r="O333" s="16" t="s">
        <v>67</v>
      </c>
      <c r="P333" s="16" t="s">
        <v>29</v>
      </c>
      <c r="Q333" s="16" t="s">
        <v>470</v>
      </c>
      <c r="R333" s="16" t="s">
        <v>1231</v>
      </c>
      <c r="S333" s="12" t="s">
        <v>1558</v>
      </c>
      <c r="T333" s="13">
        <v>45863</v>
      </c>
      <c r="U333" s="19"/>
      <c r="V333" s="53">
        <f>M333-Z333-AB333-AD333-AF333-AH333-AJ333-AL333-AN333-AP333-AR333-AT333-AV333-AX333-AZ333-BB333-BD333-BF333-BH333-U333</f>
        <v>-0.64000000000001478</v>
      </c>
      <c r="W333" s="22" t="s">
        <v>1605</v>
      </c>
      <c r="X333" s="84"/>
      <c r="Z333" s="19">
        <v>203.8</v>
      </c>
      <c r="AA333" s="252">
        <v>45888</v>
      </c>
      <c r="BG333" s="29"/>
      <c r="BH333" s="29"/>
      <c r="BI333" s="29"/>
      <c r="BJ333" s="29"/>
      <c r="BK333" s="29"/>
      <c r="BL333" s="29"/>
      <c r="BM333" s="29"/>
      <c r="BN333" s="29"/>
      <c r="BO333" s="29"/>
    </row>
    <row r="334" spans="1:67" s="28" customFormat="1" ht="20.25" customHeight="1">
      <c r="A334" s="11">
        <v>45840</v>
      </c>
      <c r="B334" s="16" t="s">
        <v>1620</v>
      </c>
      <c r="C334" s="16" t="s">
        <v>304</v>
      </c>
      <c r="D334" s="16" t="s">
        <v>212</v>
      </c>
      <c r="E334" s="16" t="s">
        <v>25</v>
      </c>
      <c r="F334" s="16" t="s">
        <v>1621</v>
      </c>
      <c r="G334" s="16" t="s">
        <v>71</v>
      </c>
      <c r="H334" s="16" t="s">
        <v>31</v>
      </c>
      <c r="I334" s="16" t="s">
        <v>63</v>
      </c>
      <c r="J334" s="16" t="s">
        <v>27</v>
      </c>
      <c r="K334" s="16" t="s">
        <v>340</v>
      </c>
      <c r="L334" s="16" t="s">
        <v>75</v>
      </c>
      <c r="M334" s="17">
        <v>1370</v>
      </c>
      <c r="N334" s="23">
        <v>1.31</v>
      </c>
      <c r="O334" s="16" t="s">
        <v>67</v>
      </c>
      <c r="P334" s="16" t="s">
        <v>29</v>
      </c>
      <c r="Q334" s="16" t="s">
        <v>29</v>
      </c>
      <c r="R334" s="16" t="s">
        <v>1624</v>
      </c>
      <c r="S334" s="12" t="s">
        <v>1497</v>
      </c>
      <c r="T334" s="13">
        <v>45866</v>
      </c>
      <c r="U334" s="19"/>
      <c r="V334" s="53">
        <f>M334-Z334-AB334-AD334-AF334-AH334-AJ334-AL334-AN334-AP334-AR334-AT334-AV334-AX334-AZ334-BB334-BD334-BF334-BH334-U334</f>
        <v>-0.90000000000009095</v>
      </c>
      <c r="W334" s="22" t="s">
        <v>1626</v>
      </c>
      <c r="X334" s="84" t="s">
        <v>1625</v>
      </c>
      <c r="Z334" s="104">
        <f>780.4+115.9+474.6</f>
        <v>1370.9</v>
      </c>
      <c r="AA334" s="252">
        <v>45876</v>
      </c>
    </row>
    <row r="335" spans="1:67" s="28" customFormat="1" ht="20.25" customHeight="1">
      <c r="A335" s="11">
        <v>45841</v>
      </c>
      <c r="B335" s="16" t="s">
        <v>1657</v>
      </c>
      <c r="C335" s="16" t="s">
        <v>243</v>
      </c>
      <c r="D335" s="16" t="s">
        <v>212</v>
      </c>
      <c r="E335" s="19" t="s">
        <v>25</v>
      </c>
      <c r="F335" s="16" t="s">
        <v>1658</v>
      </c>
      <c r="G335" s="16" t="s">
        <v>71</v>
      </c>
      <c r="H335" s="16" t="s">
        <v>31</v>
      </c>
      <c r="I335" s="16" t="s">
        <v>63</v>
      </c>
      <c r="J335" s="16" t="s">
        <v>27</v>
      </c>
      <c r="K335" s="16" t="s">
        <v>245</v>
      </c>
      <c r="L335" s="16" t="s">
        <v>75</v>
      </c>
      <c r="M335" s="17">
        <v>886.9</v>
      </c>
      <c r="N335" s="23">
        <v>1.31</v>
      </c>
      <c r="O335" s="16" t="s">
        <v>67</v>
      </c>
      <c r="P335" s="16" t="s">
        <v>29</v>
      </c>
      <c r="Q335" s="16" t="s">
        <v>29</v>
      </c>
      <c r="R335" s="16" t="s">
        <v>791</v>
      </c>
      <c r="S335" s="12" t="s">
        <v>1642</v>
      </c>
      <c r="T335" s="13">
        <v>45866</v>
      </c>
      <c r="U335" s="19"/>
      <c r="V335" s="53">
        <f>M335-Z335-AB335-AD335-AF335-AH335-AJ335-AL335-AN335-AP335-AR335-AT335-AV335-AX335-AZ335-BB335-BD335-BF335-BH335-U335</f>
        <v>0</v>
      </c>
      <c r="W335" s="22" t="s">
        <v>1659</v>
      </c>
      <c r="Z335" s="104">
        <v>886.9</v>
      </c>
      <c r="AA335" s="252">
        <v>45862</v>
      </c>
      <c r="BG335" s="29"/>
      <c r="BH335" s="29"/>
      <c r="BI335" s="29"/>
      <c r="BJ335" s="29"/>
      <c r="BK335" s="29"/>
      <c r="BL335" s="29"/>
      <c r="BM335" s="29"/>
      <c r="BN335" s="29"/>
      <c r="BO335" s="29"/>
    </row>
    <row r="336" spans="1:67" s="28" customFormat="1" ht="20.25" customHeight="1">
      <c r="A336" s="11">
        <v>45841</v>
      </c>
      <c r="B336" s="16" t="s">
        <v>1660</v>
      </c>
      <c r="C336" s="16" t="s">
        <v>243</v>
      </c>
      <c r="D336" s="16" t="s">
        <v>212</v>
      </c>
      <c r="E336" s="19" t="s">
        <v>25</v>
      </c>
      <c r="F336" s="16" t="s">
        <v>1661</v>
      </c>
      <c r="G336" s="16" t="s">
        <v>71</v>
      </c>
      <c r="H336" s="16" t="s">
        <v>31</v>
      </c>
      <c r="I336" s="16" t="s">
        <v>63</v>
      </c>
      <c r="J336" s="16" t="s">
        <v>27</v>
      </c>
      <c r="K336" s="16" t="s">
        <v>245</v>
      </c>
      <c r="L336" s="16" t="s">
        <v>75</v>
      </c>
      <c r="M336" s="17">
        <v>504.5</v>
      </c>
      <c r="N336" s="23">
        <v>1.31</v>
      </c>
      <c r="O336" s="16" t="s">
        <v>67</v>
      </c>
      <c r="P336" s="16" t="s">
        <v>29</v>
      </c>
      <c r="Q336" s="16" t="s">
        <v>29</v>
      </c>
      <c r="R336" s="16" t="s">
        <v>791</v>
      </c>
      <c r="S336" s="12" t="s">
        <v>1642</v>
      </c>
      <c r="T336" s="13">
        <v>45866</v>
      </c>
      <c r="U336" s="19"/>
      <c r="V336" s="53">
        <f>M336-Z336-AB336-AD336-AF336-AH336-AJ336-AL336-AN336-AP336-AR336-AT336-AV336-AX336-AZ336-BB336-BD336-BF336-BH336-U336</f>
        <v>0</v>
      </c>
      <c r="W336" s="22" t="s">
        <v>1662</v>
      </c>
      <c r="Z336" s="104">
        <v>504.5</v>
      </c>
      <c r="AA336" s="252">
        <v>45862</v>
      </c>
    </row>
    <row r="337" spans="1:67" s="28" customFormat="1" ht="20.25" customHeight="1">
      <c r="A337" s="11">
        <v>45841</v>
      </c>
      <c r="B337" s="16" t="s">
        <v>1663</v>
      </c>
      <c r="C337" s="16" t="s">
        <v>243</v>
      </c>
      <c r="D337" s="16" t="s">
        <v>212</v>
      </c>
      <c r="E337" s="19" t="s">
        <v>25</v>
      </c>
      <c r="F337" s="16" t="s">
        <v>1664</v>
      </c>
      <c r="G337" s="16" t="s">
        <v>71</v>
      </c>
      <c r="H337" s="16" t="s">
        <v>31</v>
      </c>
      <c r="I337" s="16" t="s">
        <v>63</v>
      </c>
      <c r="J337" s="16" t="s">
        <v>27</v>
      </c>
      <c r="K337" s="16" t="s">
        <v>245</v>
      </c>
      <c r="L337" s="16" t="s">
        <v>75</v>
      </c>
      <c r="M337" s="17">
        <v>692.5</v>
      </c>
      <c r="N337" s="23">
        <v>1.31</v>
      </c>
      <c r="O337" s="16" t="s">
        <v>67</v>
      </c>
      <c r="P337" s="16" t="s">
        <v>29</v>
      </c>
      <c r="Q337" s="16" t="s">
        <v>29</v>
      </c>
      <c r="R337" s="16" t="s">
        <v>921</v>
      </c>
      <c r="S337" s="12" t="s">
        <v>1642</v>
      </c>
      <c r="T337" s="13">
        <v>45866</v>
      </c>
      <c r="U337" s="19"/>
      <c r="V337" s="53">
        <f>M337-Z337-AB337-AD337-AF337-AH337-AJ337-AL337-AN337-AP337-AR337-AT337-AV337-AX337-AZ337-BB337-BD337-BF337-BH337-U337</f>
        <v>-1.7999999999999545</v>
      </c>
      <c r="W337" s="22" t="s">
        <v>1665</v>
      </c>
      <c r="Z337" s="104">
        <v>694.3</v>
      </c>
      <c r="AA337" s="252">
        <v>45862</v>
      </c>
    </row>
    <row r="338" spans="1:67" s="28" customFormat="1" ht="20.25" customHeight="1">
      <c r="A338" s="7">
        <v>45841</v>
      </c>
      <c r="B338" s="19" t="s">
        <v>1640</v>
      </c>
      <c r="C338" s="19" t="s">
        <v>298</v>
      </c>
      <c r="D338" s="19" t="s">
        <v>212</v>
      </c>
      <c r="E338" s="19" t="s">
        <v>25</v>
      </c>
      <c r="F338" s="19" t="s">
        <v>1641</v>
      </c>
      <c r="G338" s="19" t="s">
        <v>71</v>
      </c>
      <c r="H338" s="19" t="s">
        <v>31</v>
      </c>
      <c r="I338" s="19" t="s">
        <v>63</v>
      </c>
      <c r="J338" s="19" t="s">
        <v>27</v>
      </c>
      <c r="K338" s="19" t="s">
        <v>218</v>
      </c>
      <c r="L338" s="19" t="s">
        <v>75</v>
      </c>
      <c r="M338" s="20">
        <v>1209</v>
      </c>
      <c r="N338" s="25">
        <v>1.31</v>
      </c>
      <c r="O338" s="19" t="s">
        <v>1063</v>
      </c>
      <c r="P338" s="19" t="s">
        <v>29</v>
      </c>
      <c r="Q338" s="19" t="s">
        <v>29</v>
      </c>
      <c r="R338" s="19" t="s">
        <v>1618</v>
      </c>
      <c r="S338" s="45" t="s">
        <v>1642</v>
      </c>
      <c r="T338" s="8">
        <v>45863</v>
      </c>
      <c r="U338" s="19"/>
      <c r="V338" s="55">
        <f>M338-Z338-AB338-AD338-AF338-AH338-AJ338-AL338-AN338-AP338-AR338-AT338-AV338-AX338-AZ338-BB338-BD338-BF338-BH338-U338</f>
        <v>0</v>
      </c>
      <c r="W338" s="15" t="s">
        <v>1643</v>
      </c>
      <c r="X338" s="147"/>
      <c r="Y338" s="36" t="s">
        <v>1833</v>
      </c>
      <c r="Z338" s="19">
        <v>1209</v>
      </c>
      <c r="AA338" s="123">
        <v>45866</v>
      </c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</row>
    <row r="339" spans="1:67" s="28" customFormat="1" ht="20.25" customHeight="1">
      <c r="A339" s="7">
        <v>45841</v>
      </c>
      <c r="B339" s="19" t="s">
        <v>1650</v>
      </c>
      <c r="C339" s="19" t="s">
        <v>243</v>
      </c>
      <c r="D339" s="19" t="s">
        <v>212</v>
      </c>
      <c r="E339" s="19" t="s">
        <v>25</v>
      </c>
      <c r="F339" s="19" t="s">
        <v>1651</v>
      </c>
      <c r="G339" s="19" t="s">
        <v>71</v>
      </c>
      <c r="H339" s="19" t="s">
        <v>31</v>
      </c>
      <c r="I339" s="19" t="s">
        <v>63</v>
      </c>
      <c r="J339" s="19" t="s">
        <v>27</v>
      </c>
      <c r="K339" s="19" t="s">
        <v>218</v>
      </c>
      <c r="L339" s="19" t="s">
        <v>75</v>
      </c>
      <c r="M339" s="20">
        <v>528.5</v>
      </c>
      <c r="N339" s="25">
        <v>1.31</v>
      </c>
      <c r="O339" s="19" t="s">
        <v>1063</v>
      </c>
      <c r="P339" s="19" t="s">
        <v>29</v>
      </c>
      <c r="Q339" s="19" t="s">
        <v>29</v>
      </c>
      <c r="R339" s="19" t="s">
        <v>29</v>
      </c>
      <c r="S339" s="45" t="s">
        <v>1642</v>
      </c>
      <c r="T339" s="8">
        <v>45866</v>
      </c>
      <c r="U339" s="19"/>
      <c r="V339" s="55">
        <f>M339-Z339-AB339-AD339-AF339-AH339-AJ339-AL339-AN339-AP339-AR339-AT339-AV339-AX339-AZ339-BB339-BD339-BF339-BH339-U339</f>
        <v>-1.5999999999999091</v>
      </c>
      <c r="W339" s="15" t="s">
        <v>1652</v>
      </c>
      <c r="X339" s="104"/>
      <c r="Y339" s="36"/>
      <c r="Z339" s="19">
        <f>257.4+272.7</f>
        <v>530.09999999999991</v>
      </c>
      <c r="AA339" s="123">
        <v>45874</v>
      </c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</row>
    <row r="340" spans="1:67" s="28" customFormat="1" ht="20.25" customHeight="1">
      <c r="A340" s="272">
        <v>45841</v>
      </c>
      <c r="B340" s="273" t="s">
        <v>1596</v>
      </c>
      <c r="C340" s="273" t="s">
        <v>228</v>
      </c>
      <c r="D340" s="273" t="s">
        <v>212</v>
      </c>
      <c r="E340" s="278" t="s">
        <v>25</v>
      </c>
      <c r="F340" s="273" t="s">
        <v>1597</v>
      </c>
      <c r="G340" s="273" t="s">
        <v>71</v>
      </c>
      <c r="H340" s="273" t="s">
        <v>31</v>
      </c>
      <c r="I340" s="273" t="s">
        <v>63</v>
      </c>
      <c r="J340" s="273" t="s">
        <v>27</v>
      </c>
      <c r="K340" s="273" t="s">
        <v>1342</v>
      </c>
      <c r="L340" s="273" t="s">
        <v>75</v>
      </c>
      <c r="M340" s="274"/>
      <c r="N340" s="275">
        <v>0</v>
      </c>
      <c r="O340" s="273" t="s">
        <v>67</v>
      </c>
      <c r="P340" s="273" t="s">
        <v>29</v>
      </c>
      <c r="Q340" s="273" t="s">
        <v>1630</v>
      </c>
      <c r="R340" s="273" t="s">
        <v>1631</v>
      </c>
      <c r="S340" s="276" t="s">
        <v>1490</v>
      </c>
      <c r="T340" s="277">
        <v>45863</v>
      </c>
      <c r="U340" s="278"/>
      <c r="V340" s="279">
        <f>M340-Z340-AB340-AD340-AF340-AH340-AJ340-AL340-AN340-AP340-AR340-AT340-AV340-AX340-AZ340-BB340-BD340-BF340-BH340-U340</f>
        <v>0</v>
      </c>
      <c r="W340" s="280" t="s">
        <v>1632</v>
      </c>
      <c r="X340" s="1"/>
      <c r="Y340" s="281"/>
      <c r="Z340" s="281"/>
      <c r="AA340" s="281"/>
      <c r="AB340" s="281"/>
      <c r="AC340" s="281"/>
      <c r="AD340" s="281"/>
      <c r="AE340" s="281"/>
      <c r="AF340" s="281"/>
      <c r="AG340" s="281"/>
      <c r="AH340" s="281"/>
      <c r="AI340" s="281"/>
      <c r="AJ340" s="281"/>
      <c r="AK340" s="281"/>
      <c r="AL340" s="281"/>
      <c r="AM340" s="281"/>
      <c r="AN340" s="281"/>
      <c r="AO340" s="281"/>
      <c r="AP340" s="281"/>
      <c r="AQ340" s="281"/>
      <c r="AR340" s="281"/>
      <c r="AS340" s="281"/>
      <c r="AT340" s="281"/>
      <c r="AU340" s="281"/>
      <c r="AV340" s="281"/>
      <c r="AW340" s="281"/>
      <c r="AX340" s="281"/>
      <c r="AY340" s="281"/>
      <c r="AZ340" s="281"/>
      <c r="BA340" s="281"/>
      <c r="BB340" s="281"/>
      <c r="BC340" s="281"/>
      <c r="BD340" s="281"/>
      <c r="BE340" s="281"/>
      <c r="BF340" s="282"/>
      <c r="BG340" s="284"/>
      <c r="BH340" s="284"/>
      <c r="BI340" s="284"/>
      <c r="BJ340" s="284"/>
      <c r="BK340" s="284"/>
      <c r="BL340" s="284"/>
      <c r="BM340" s="284"/>
      <c r="BN340" s="284"/>
      <c r="BO340" s="284"/>
    </row>
    <row r="341" spans="1:67" s="28" customFormat="1" ht="20.25" customHeight="1">
      <c r="A341" s="11">
        <v>45841</v>
      </c>
      <c r="B341" s="16" t="s">
        <v>1633</v>
      </c>
      <c r="C341" s="16" t="s">
        <v>298</v>
      </c>
      <c r="D341" s="16" t="s">
        <v>212</v>
      </c>
      <c r="E341" s="19" t="s">
        <v>25</v>
      </c>
      <c r="F341" s="16" t="s">
        <v>1634</v>
      </c>
      <c r="G341" s="16" t="s">
        <v>71</v>
      </c>
      <c r="H341" s="16" t="s">
        <v>31</v>
      </c>
      <c r="I341" s="16" t="s">
        <v>63</v>
      </c>
      <c r="J341" s="16" t="s">
        <v>27</v>
      </c>
      <c r="K341" s="16" t="s">
        <v>975</v>
      </c>
      <c r="L341" s="16" t="s">
        <v>75</v>
      </c>
      <c r="M341" s="17">
        <v>33</v>
      </c>
      <c r="N341" s="23">
        <v>1.31</v>
      </c>
      <c r="O341" s="16" t="s">
        <v>67</v>
      </c>
      <c r="P341" s="16" t="s">
        <v>29</v>
      </c>
      <c r="Q341" s="16" t="s">
        <v>29</v>
      </c>
      <c r="R341" s="16" t="s">
        <v>1087</v>
      </c>
      <c r="S341" s="12" t="s">
        <v>1490</v>
      </c>
      <c r="T341" s="13">
        <v>45848</v>
      </c>
      <c r="U341" s="19"/>
      <c r="V341" s="53">
        <f>M341-U341-Z341-AB341-AD341</f>
        <v>-1.7999999999999972</v>
      </c>
      <c r="W341" s="22" t="s">
        <v>1635</v>
      </c>
      <c r="X341" s="65"/>
      <c r="Z341" s="104">
        <v>34.799999999999997</v>
      </c>
      <c r="AA341" s="222">
        <v>45848</v>
      </c>
      <c r="BG341" s="29"/>
      <c r="BH341" s="29"/>
      <c r="BI341" s="29"/>
      <c r="BJ341" s="29"/>
      <c r="BK341" s="29"/>
      <c r="BL341" s="29"/>
      <c r="BM341" s="29"/>
      <c r="BN341" s="29"/>
      <c r="BO341" s="29"/>
    </row>
    <row r="342" spans="1:67" s="28" customFormat="1" ht="20.25" customHeight="1">
      <c r="A342" s="11">
        <v>45841</v>
      </c>
      <c r="B342" s="16" t="s">
        <v>1636</v>
      </c>
      <c r="C342" s="16" t="s">
        <v>298</v>
      </c>
      <c r="D342" s="16" t="s">
        <v>212</v>
      </c>
      <c r="E342" s="19" t="s">
        <v>25</v>
      </c>
      <c r="F342" s="16" t="s">
        <v>1637</v>
      </c>
      <c r="G342" s="16" t="s">
        <v>71</v>
      </c>
      <c r="H342" s="16" t="s">
        <v>31</v>
      </c>
      <c r="I342" s="16" t="s">
        <v>63</v>
      </c>
      <c r="J342" s="16" t="s">
        <v>27</v>
      </c>
      <c r="K342" s="16" t="s">
        <v>975</v>
      </c>
      <c r="L342" s="16" t="s">
        <v>75</v>
      </c>
      <c r="M342" s="17">
        <v>1596</v>
      </c>
      <c r="N342" s="23">
        <v>1.31</v>
      </c>
      <c r="O342" s="16" t="s">
        <v>67</v>
      </c>
      <c r="P342" s="16" t="s">
        <v>29</v>
      </c>
      <c r="Q342" s="16" t="s">
        <v>29</v>
      </c>
      <c r="R342" s="16" t="s">
        <v>1087</v>
      </c>
      <c r="S342" s="12" t="s">
        <v>1638</v>
      </c>
      <c r="T342" s="13">
        <v>45873</v>
      </c>
      <c r="U342" s="19"/>
      <c r="V342" s="53">
        <f>M342-U342-Z342-AB342-AD342</f>
        <v>-3.5</v>
      </c>
      <c r="W342" s="22" t="s">
        <v>1639</v>
      </c>
      <c r="X342" s="65"/>
      <c r="Z342" s="104">
        <v>1599.5</v>
      </c>
      <c r="AA342" s="222">
        <v>45848</v>
      </c>
      <c r="BG342" s="29"/>
      <c r="BH342" s="29"/>
      <c r="BI342" s="29"/>
      <c r="BJ342" s="29"/>
      <c r="BK342" s="29"/>
      <c r="BL342" s="29"/>
      <c r="BM342" s="29"/>
      <c r="BN342" s="29"/>
      <c r="BO342" s="29"/>
    </row>
    <row r="343" spans="1:67" s="28" customFormat="1" ht="20.25" customHeight="1">
      <c r="A343" s="7">
        <v>45841</v>
      </c>
      <c r="B343" s="19" t="s">
        <v>1653</v>
      </c>
      <c r="C343" s="19" t="s">
        <v>243</v>
      </c>
      <c r="D343" s="19" t="s">
        <v>212</v>
      </c>
      <c r="E343" s="19" t="s">
        <v>25</v>
      </c>
      <c r="F343" s="19" t="s">
        <v>1654</v>
      </c>
      <c r="G343" s="19" t="s">
        <v>71</v>
      </c>
      <c r="H343" s="19" t="s">
        <v>26</v>
      </c>
      <c r="I343" s="19" t="s">
        <v>63</v>
      </c>
      <c r="J343" s="19" t="s">
        <v>27</v>
      </c>
      <c r="K343" s="19" t="s">
        <v>372</v>
      </c>
      <c r="L343" s="19" t="s">
        <v>75</v>
      </c>
      <c r="M343" s="20">
        <v>36</v>
      </c>
      <c r="N343" s="25">
        <v>1.31</v>
      </c>
      <c r="O343" s="19" t="s">
        <v>67</v>
      </c>
      <c r="P343" s="19" t="s">
        <v>29</v>
      </c>
      <c r="Q343" s="19" t="s">
        <v>1655</v>
      </c>
      <c r="R343" s="19" t="s">
        <v>460</v>
      </c>
      <c r="S343" s="45" t="s">
        <v>1490</v>
      </c>
      <c r="T343" s="8">
        <v>45863</v>
      </c>
      <c r="U343" s="19"/>
      <c r="V343" s="55">
        <f>M343-Z343-AB343-AD343-AF343-AH343-AJ343-AL343-AN343-AP343-AR343-AT343-AV343-AX343-AZ343-BB343-BD343-BF343-BH343-U343</f>
        <v>-5.1000000000000014</v>
      </c>
      <c r="W343" s="15" t="s">
        <v>1656</v>
      </c>
      <c r="X343" s="36"/>
      <c r="Y343" s="36"/>
      <c r="Z343" s="104">
        <v>41.1</v>
      </c>
      <c r="AA343" s="123">
        <v>45874</v>
      </c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</row>
    <row r="344" spans="1:67" s="28" customFormat="1" ht="20.25" customHeight="1">
      <c r="A344" s="7">
        <v>45841</v>
      </c>
      <c r="B344" s="19" t="s">
        <v>1644</v>
      </c>
      <c r="C344" s="19" t="s">
        <v>1568</v>
      </c>
      <c r="D344" s="19" t="s">
        <v>212</v>
      </c>
      <c r="E344" s="19" t="s">
        <v>25</v>
      </c>
      <c r="F344" s="19" t="s">
        <v>1645</v>
      </c>
      <c r="G344" s="19" t="s">
        <v>71</v>
      </c>
      <c r="H344" s="19" t="s">
        <v>31</v>
      </c>
      <c r="I344" s="1" t="s">
        <v>63</v>
      </c>
      <c r="J344" s="1" t="s">
        <v>27</v>
      </c>
      <c r="K344" s="19" t="s">
        <v>1647</v>
      </c>
      <c r="L344" s="19" t="s">
        <v>75</v>
      </c>
      <c r="M344" s="20">
        <v>6000</v>
      </c>
      <c r="N344" s="25">
        <v>1.31</v>
      </c>
      <c r="O344" s="19" t="s">
        <v>67</v>
      </c>
      <c r="P344" s="19" t="s">
        <v>29</v>
      </c>
      <c r="Q344" s="19" t="s">
        <v>29</v>
      </c>
      <c r="R344" s="19" t="s">
        <v>1648</v>
      </c>
      <c r="S344" s="45" t="s">
        <v>1642</v>
      </c>
      <c r="T344" s="8">
        <v>45866</v>
      </c>
      <c r="U344" s="19"/>
      <c r="V344" s="55">
        <f>M344-Z344-AB344-AD344-AF344-AH344-AJ344-AL344-AN344-AP344-AR344-AT344-AV344-AX344-AZ344-BB344-BD344-BF344-BH344-U344</f>
        <v>-2.2999999999992724</v>
      </c>
      <c r="W344" s="15" t="s">
        <v>1649</v>
      </c>
      <c r="X344" s="36"/>
      <c r="Y344" s="36"/>
      <c r="Z344" s="104">
        <f>1342.2+197.4+595.9+811.6+348.4+806.4+1329+571.4</f>
        <v>6002.2999999999993</v>
      </c>
      <c r="AA344" s="123">
        <v>45880</v>
      </c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</row>
    <row r="345" spans="1:67" s="28" customFormat="1" ht="20.25" customHeight="1">
      <c r="A345" s="11">
        <v>45841</v>
      </c>
      <c r="B345" s="16" t="s">
        <v>1644</v>
      </c>
      <c r="C345" s="16" t="s">
        <v>1568</v>
      </c>
      <c r="D345" s="16" t="s">
        <v>212</v>
      </c>
      <c r="E345" s="19" t="s">
        <v>25</v>
      </c>
      <c r="F345" s="16" t="s">
        <v>1645</v>
      </c>
      <c r="G345" s="16" t="s">
        <v>71</v>
      </c>
      <c r="H345" s="16" t="s">
        <v>31</v>
      </c>
      <c r="I345" s="16" t="s">
        <v>63</v>
      </c>
      <c r="J345" s="16" t="s">
        <v>27</v>
      </c>
      <c r="K345" s="16" t="s">
        <v>1328</v>
      </c>
      <c r="L345" s="16" t="s">
        <v>75</v>
      </c>
      <c r="M345" s="17">
        <v>4561</v>
      </c>
      <c r="N345" s="23">
        <v>1.31</v>
      </c>
      <c r="O345" s="16" t="s">
        <v>67</v>
      </c>
      <c r="P345" s="16" t="s">
        <v>29</v>
      </c>
      <c r="Q345" s="16" t="s">
        <v>29</v>
      </c>
      <c r="R345" s="16" t="s">
        <v>1459</v>
      </c>
      <c r="S345" s="12" t="s">
        <v>1642</v>
      </c>
      <c r="T345" s="13">
        <v>45866</v>
      </c>
      <c r="U345" s="19"/>
      <c r="V345" s="53">
        <f>M345-Z345-AB345-AD345-AF345-AH345-AJ345-AL345-AN345-AP345-AR345-AT345-AV345-AX345-AZ345-BB345-BD345-BF345-BH345-U345</f>
        <v>-1.599999999999703</v>
      </c>
      <c r="W345" s="22" t="s">
        <v>1646</v>
      </c>
      <c r="X345" s="337"/>
      <c r="Z345" s="104">
        <f>1305.9+346.3</f>
        <v>1652.2</v>
      </c>
      <c r="AA345" s="252">
        <v>45868</v>
      </c>
      <c r="AB345" s="104">
        <v>1289.5999999999999</v>
      </c>
      <c r="AC345" s="252">
        <v>45874</v>
      </c>
      <c r="AD345" s="104">
        <v>945.4</v>
      </c>
      <c r="AE345" s="252">
        <v>45876</v>
      </c>
      <c r="AF345" s="104">
        <f>387+240</f>
        <v>627</v>
      </c>
      <c r="AG345" s="252">
        <v>45880</v>
      </c>
      <c r="AH345" s="104">
        <v>48.4</v>
      </c>
      <c r="AI345" s="252">
        <v>45884</v>
      </c>
      <c r="BG345" s="29"/>
      <c r="BH345" s="29"/>
      <c r="BI345" s="29"/>
      <c r="BJ345" s="29"/>
      <c r="BK345" s="29"/>
      <c r="BL345" s="29"/>
      <c r="BM345" s="29"/>
      <c r="BN345" s="29"/>
      <c r="BO345" s="29"/>
    </row>
    <row r="346" spans="1:67" s="29" customFormat="1" ht="20.25" customHeight="1">
      <c r="A346" s="11">
        <v>45845</v>
      </c>
      <c r="B346" s="16" t="s">
        <v>1672</v>
      </c>
      <c r="C346" s="16" t="s">
        <v>267</v>
      </c>
      <c r="D346" s="16" t="s">
        <v>212</v>
      </c>
      <c r="E346" s="16" t="s">
        <v>25</v>
      </c>
      <c r="F346" s="16" t="s">
        <v>1673</v>
      </c>
      <c r="G346" s="16" t="s">
        <v>71</v>
      </c>
      <c r="H346" s="16" t="s">
        <v>26</v>
      </c>
      <c r="I346" s="16" t="s">
        <v>63</v>
      </c>
      <c r="J346" s="16" t="s">
        <v>27</v>
      </c>
      <c r="K346" s="16" t="s">
        <v>1465</v>
      </c>
      <c r="L346" s="16" t="s">
        <v>35</v>
      </c>
      <c r="M346" s="17">
        <v>150</v>
      </c>
      <c r="N346" s="23">
        <v>1.29</v>
      </c>
      <c r="O346" s="16" t="s">
        <v>67</v>
      </c>
      <c r="P346" s="16" t="s">
        <v>29</v>
      </c>
      <c r="Q346" s="16" t="s">
        <v>29</v>
      </c>
      <c r="R346" s="16" t="s">
        <v>1083</v>
      </c>
      <c r="S346" s="12" t="s">
        <v>1530</v>
      </c>
      <c r="T346" s="13">
        <v>45859</v>
      </c>
      <c r="U346" s="19"/>
      <c r="V346" s="53">
        <f>M346-U346-Z346-AB346</f>
        <v>-1.5999999999999943</v>
      </c>
      <c r="W346" s="22" t="s">
        <v>1674</v>
      </c>
      <c r="X346" s="1"/>
      <c r="Y346" s="210"/>
      <c r="Z346" s="19">
        <v>151.6</v>
      </c>
      <c r="AA346" s="24">
        <v>45852</v>
      </c>
      <c r="AB346" s="210"/>
      <c r="AC346" s="210"/>
      <c r="AD346" s="210"/>
      <c r="AE346" s="210"/>
      <c r="AF346" s="210"/>
      <c r="AG346" s="210"/>
      <c r="AH346" s="210"/>
      <c r="AI346" s="210"/>
      <c r="AJ346" s="210"/>
      <c r="AK346" s="210"/>
      <c r="AL346" s="210"/>
      <c r="AM346" s="210"/>
      <c r="AN346" s="210"/>
      <c r="AO346" s="210"/>
      <c r="AP346" s="210"/>
      <c r="AQ346" s="210"/>
      <c r="AR346" s="210"/>
      <c r="AS346" s="210"/>
      <c r="AT346" s="210"/>
      <c r="AU346" s="210"/>
      <c r="AV346" s="210"/>
      <c r="AW346" s="210"/>
      <c r="AX346" s="210"/>
      <c r="AY346" s="210"/>
      <c r="AZ346" s="210"/>
      <c r="BA346" s="210"/>
      <c r="BB346" s="210"/>
      <c r="BC346" s="210"/>
      <c r="BD346" s="210"/>
      <c r="BE346" s="210"/>
      <c r="BF346" s="211"/>
    </row>
    <row r="347" spans="1:67" s="36" customFormat="1" ht="20.25" customHeight="1">
      <c r="A347" s="11">
        <v>45849</v>
      </c>
      <c r="B347" s="16" t="s">
        <v>1727</v>
      </c>
      <c r="C347" s="16" t="s">
        <v>243</v>
      </c>
      <c r="D347" s="16" t="s">
        <v>212</v>
      </c>
      <c r="E347" s="16" t="s">
        <v>25</v>
      </c>
      <c r="F347" s="16" t="s">
        <v>1728</v>
      </c>
      <c r="G347" s="16" t="s">
        <v>71</v>
      </c>
      <c r="H347" s="16" t="s">
        <v>31</v>
      </c>
      <c r="I347" s="16" t="s">
        <v>63</v>
      </c>
      <c r="J347" s="16" t="s">
        <v>27</v>
      </c>
      <c r="K347" s="16" t="s">
        <v>1729</v>
      </c>
      <c r="L347" s="16" t="s">
        <v>75</v>
      </c>
      <c r="M347" s="17">
        <v>458</v>
      </c>
      <c r="N347" s="23">
        <v>1.31</v>
      </c>
      <c r="O347" s="16" t="s">
        <v>67</v>
      </c>
      <c r="P347" s="16" t="s">
        <v>29</v>
      </c>
      <c r="Q347" s="16" t="s">
        <v>938</v>
      </c>
      <c r="R347" s="16" t="s">
        <v>246</v>
      </c>
      <c r="S347" s="12" t="s">
        <v>1718</v>
      </c>
      <c r="T347" s="13">
        <v>45873</v>
      </c>
      <c r="U347" s="19"/>
      <c r="V347" s="53">
        <f>M347-Z347-AB347-AD347-AF347-AH347-AJ347-AL347-AN347-AP347-AR347-AT347-AV347-AX347-AZ347-BB347-BD347-BF347-BH347-U347</f>
        <v>-1.1999999999999886</v>
      </c>
      <c r="W347" s="22" t="s">
        <v>1730</v>
      </c>
      <c r="X347" s="88"/>
      <c r="Y347" s="88"/>
      <c r="Z347" s="19">
        <v>459.2</v>
      </c>
      <c r="AA347" s="227">
        <v>45862</v>
      </c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</row>
    <row r="348" spans="1:67" s="28" customFormat="1" ht="20.25" customHeight="1">
      <c r="A348" s="7">
        <v>45849</v>
      </c>
      <c r="B348" s="19" t="s">
        <v>1731</v>
      </c>
      <c r="C348" s="19" t="s">
        <v>243</v>
      </c>
      <c r="D348" s="19" t="s">
        <v>212</v>
      </c>
      <c r="E348" s="19" t="s">
        <v>25</v>
      </c>
      <c r="F348" s="19" t="s">
        <v>1732</v>
      </c>
      <c r="G348" s="19" t="s">
        <v>71</v>
      </c>
      <c r="H348" s="19" t="s">
        <v>31</v>
      </c>
      <c r="I348" s="19" t="s">
        <v>63</v>
      </c>
      <c r="J348" s="19" t="s">
        <v>27</v>
      </c>
      <c r="K348" s="19" t="s">
        <v>1729</v>
      </c>
      <c r="L348" s="19" t="s">
        <v>75</v>
      </c>
      <c r="M348" s="20">
        <v>74</v>
      </c>
      <c r="N348" s="25">
        <v>1.31</v>
      </c>
      <c r="O348" s="19" t="s">
        <v>67</v>
      </c>
      <c r="P348" s="19" t="s">
        <v>29</v>
      </c>
      <c r="Q348" s="19" t="s">
        <v>938</v>
      </c>
      <c r="R348" s="19" t="s">
        <v>941</v>
      </c>
      <c r="S348" s="45" t="s">
        <v>1718</v>
      </c>
      <c r="T348" s="8">
        <v>45873</v>
      </c>
      <c r="U348" s="19"/>
      <c r="V348" s="55">
        <f>M348-Z348-AB348-AD348-AF348-AH348-AJ348-AL348-AN348-AP348-AR348-AT348-AV348-AX348-AZ348-BB348-BD348-BF348-BH348-U348</f>
        <v>-9.9999999999994316E-2</v>
      </c>
      <c r="W348" s="15" t="s">
        <v>1733</v>
      </c>
      <c r="X348" s="46"/>
      <c r="Y348" s="46"/>
      <c r="Z348" s="19">
        <v>74.099999999999994</v>
      </c>
      <c r="AA348" s="138">
        <v>45874</v>
      </c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</row>
    <row r="349" spans="1:67" s="36" customFormat="1" ht="20.25" customHeight="1">
      <c r="A349" s="7">
        <v>45849</v>
      </c>
      <c r="B349" s="19" t="s">
        <v>1734</v>
      </c>
      <c r="C349" s="19" t="s">
        <v>243</v>
      </c>
      <c r="D349" s="19" t="s">
        <v>212</v>
      </c>
      <c r="E349" s="19" t="s">
        <v>25</v>
      </c>
      <c r="F349" s="19" t="s">
        <v>1735</v>
      </c>
      <c r="G349" s="19" t="s">
        <v>71</v>
      </c>
      <c r="H349" s="19" t="s">
        <v>31</v>
      </c>
      <c r="I349" s="19" t="s">
        <v>63</v>
      </c>
      <c r="J349" s="19" t="s">
        <v>27</v>
      </c>
      <c r="K349" s="19" t="s">
        <v>1729</v>
      </c>
      <c r="L349" s="19" t="s">
        <v>75</v>
      </c>
      <c r="M349" s="20">
        <v>245</v>
      </c>
      <c r="N349" s="25">
        <v>1.31</v>
      </c>
      <c r="O349" s="19" t="s">
        <v>67</v>
      </c>
      <c r="P349" s="19" t="s">
        <v>29</v>
      </c>
      <c r="Q349" s="19" t="s">
        <v>938</v>
      </c>
      <c r="R349" s="19" t="s">
        <v>246</v>
      </c>
      <c r="S349" s="45" t="s">
        <v>1718</v>
      </c>
      <c r="T349" s="8">
        <v>45873</v>
      </c>
      <c r="U349" s="19"/>
      <c r="V349" s="55">
        <f>M349-Z349-AB349-AD349-AF349-AH349-AJ349-AL349-AN349-AP349-AR349-AT349-AV349-AX349-AZ349-BB349-BD349-BF349-BH349-U349</f>
        <v>-0.69999999999998863</v>
      </c>
      <c r="W349" s="15" t="s">
        <v>1736</v>
      </c>
      <c r="X349" s="46"/>
      <c r="Y349" s="46"/>
      <c r="Z349" s="19">
        <v>245.7</v>
      </c>
      <c r="AA349" s="138">
        <v>45874</v>
      </c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</row>
    <row r="350" spans="1:67" s="282" customFormat="1" ht="20.25" customHeight="1">
      <c r="A350" s="7">
        <v>45849</v>
      </c>
      <c r="B350" s="19" t="s">
        <v>1737</v>
      </c>
      <c r="C350" s="19" t="s">
        <v>243</v>
      </c>
      <c r="D350" s="19" t="s">
        <v>212</v>
      </c>
      <c r="E350" s="19" t="s">
        <v>25</v>
      </c>
      <c r="F350" s="19" t="s">
        <v>1738</v>
      </c>
      <c r="G350" s="19" t="s">
        <v>71</v>
      </c>
      <c r="H350" s="19" t="s">
        <v>31</v>
      </c>
      <c r="I350" s="19" t="s">
        <v>63</v>
      </c>
      <c r="J350" s="19" t="s">
        <v>27</v>
      </c>
      <c r="K350" s="19" t="s">
        <v>1729</v>
      </c>
      <c r="L350" s="19" t="s">
        <v>75</v>
      </c>
      <c r="M350" s="20">
        <v>30</v>
      </c>
      <c r="N350" s="25">
        <v>1.31</v>
      </c>
      <c r="O350" s="19" t="s">
        <v>67</v>
      </c>
      <c r="P350" s="19" t="s">
        <v>29</v>
      </c>
      <c r="Q350" s="19" t="s">
        <v>932</v>
      </c>
      <c r="R350" s="19" t="s">
        <v>935</v>
      </c>
      <c r="S350" s="45" t="s">
        <v>1718</v>
      </c>
      <c r="T350" s="8">
        <v>45873</v>
      </c>
      <c r="U350" s="19"/>
      <c r="V350" s="55">
        <f>M350-Z350-AB350-AD350-AF350-AH350-AJ350-AL350-AN350-AP350-AR350-AT350-AV350-AX350-AZ350-BB350-BD350-BF350-BH350-U350</f>
        <v>-1.8999999999999986</v>
      </c>
      <c r="W350" s="15" t="s">
        <v>1739</v>
      </c>
      <c r="X350" s="46"/>
      <c r="Y350" s="46"/>
      <c r="Z350" s="19">
        <v>31.9</v>
      </c>
      <c r="AA350" s="138">
        <v>45874</v>
      </c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</row>
    <row r="351" spans="1:67" s="28" customFormat="1" ht="20.25" customHeight="1">
      <c r="A351" s="7">
        <v>45849</v>
      </c>
      <c r="B351" s="19" t="s">
        <v>1740</v>
      </c>
      <c r="C351" s="19" t="s">
        <v>243</v>
      </c>
      <c r="D351" s="19" t="s">
        <v>212</v>
      </c>
      <c r="E351" s="19" t="s">
        <v>25</v>
      </c>
      <c r="F351" s="19" t="s">
        <v>1741</v>
      </c>
      <c r="G351" s="19" t="s">
        <v>71</v>
      </c>
      <c r="H351" s="19" t="s">
        <v>31</v>
      </c>
      <c r="I351" s="46"/>
      <c r="J351" s="19" t="s">
        <v>27</v>
      </c>
      <c r="K351" s="19" t="s">
        <v>1729</v>
      </c>
      <c r="L351" s="19" t="s">
        <v>75</v>
      </c>
      <c r="M351" s="20">
        <v>10</v>
      </c>
      <c r="N351" s="25">
        <v>1.31</v>
      </c>
      <c r="O351" s="19" t="s">
        <v>67</v>
      </c>
      <c r="P351" s="19" t="s">
        <v>29</v>
      </c>
      <c r="Q351" s="19" t="s">
        <v>525</v>
      </c>
      <c r="R351" s="19" t="s">
        <v>932</v>
      </c>
      <c r="S351" s="45" t="s">
        <v>1718</v>
      </c>
      <c r="T351" s="8">
        <v>45873</v>
      </c>
      <c r="U351" s="19"/>
      <c r="V351" s="55">
        <f>M351-Z351-AB351-AD351-AF351-AH351-AJ351-AL351-AN351-AP351-AR351-AT351-AV351-AX351-AZ351-BB351-BD351-BF351-BH351-U351</f>
        <v>-2.8000000000000007</v>
      </c>
      <c r="W351" s="15" t="s">
        <v>1742</v>
      </c>
      <c r="X351" s="46"/>
      <c r="Y351" s="46"/>
      <c r="Z351" s="19">
        <v>12.8</v>
      </c>
      <c r="AA351" s="138">
        <v>45874</v>
      </c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</row>
    <row r="352" spans="1:67" s="36" customFormat="1" ht="20.25" customHeight="1">
      <c r="A352" s="11">
        <v>45849</v>
      </c>
      <c r="B352" s="16" t="s">
        <v>1723</v>
      </c>
      <c r="C352" s="16" t="s">
        <v>400</v>
      </c>
      <c r="D352" s="16" t="s">
        <v>212</v>
      </c>
      <c r="E352" s="16" t="s">
        <v>25</v>
      </c>
      <c r="F352" s="16" t="s">
        <v>1724</v>
      </c>
      <c r="G352" s="16" t="s">
        <v>71</v>
      </c>
      <c r="H352" s="16" t="s">
        <v>31</v>
      </c>
      <c r="I352" s="16" t="s">
        <v>63</v>
      </c>
      <c r="J352" s="16" t="s">
        <v>27</v>
      </c>
      <c r="K352" s="16" t="s">
        <v>1342</v>
      </c>
      <c r="L352" s="16" t="s">
        <v>75</v>
      </c>
      <c r="M352" s="17">
        <v>4391</v>
      </c>
      <c r="N352" s="23">
        <v>1.31</v>
      </c>
      <c r="O352" s="16" t="s">
        <v>67</v>
      </c>
      <c r="P352" s="16" t="s">
        <v>29</v>
      </c>
      <c r="Q352" s="16" t="s">
        <v>475</v>
      </c>
      <c r="R352" s="16" t="s">
        <v>1725</v>
      </c>
      <c r="S352" s="12" t="s">
        <v>1718</v>
      </c>
      <c r="T352" s="13">
        <v>45873</v>
      </c>
      <c r="U352" s="19"/>
      <c r="V352" s="53">
        <f>M352-Z352-AB352-AD352-AF352-AH352-AJ352-AL352-AN352-AP352-AR352-AT352-AV352-AX352-AZ352-BB352-BD352-BF352-BH352-U352</f>
        <v>1.1368683772161603E-13</v>
      </c>
      <c r="W352" s="22" t="s">
        <v>1726</v>
      </c>
      <c r="X352" s="319"/>
      <c r="Y352" s="88"/>
      <c r="Z352" s="19">
        <v>947.5</v>
      </c>
      <c r="AA352" s="14">
        <v>45875</v>
      </c>
      <c r="AB352" s="19">
        <v>471.1</v>
      </c>
      <c r="AC352" s="227">
        <v>45876</v>
      </c>
      <c r="AD352" s="19">
        <v>2374</v>
      </c>
      <c r="AE352" s="227">
        <v>45882</v>
      </c>
      <c r="AF352" s="19">
        <v>598.4</v>
      </c>
      <c r="AG352" s="227">
        <v>45884</v>
      </c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</row>
    <row r="353" spans="1:67" s="36" customFormat="1" ht="20.25" customHeight="1">
      <c r="A353" s="11">
        <v>45849</v>
      </c>
      <c r="B353" s="16" t="s">
        <v>1715</v>
      </c>
      <c r="C353" s="16" t="s">
        <v>1568</v>
      </c>
      <c r="D353" s="16" t="s">
        <v>212</v>
      </c>
      <c r="E353" s="16" t="s">
        <v>25</v>
      </c>
      <c r="F353" s="16" t="s">
        <v>1716</v>
      </c>
      <c r="G353" s="16" t="s">
        <v>71</v>
      </c>
      <c r="H353" s="16" t="s">
        <v>26</v>
      </c>
      <c r="I353" s="16" t="s">
        <v>63</v>
      </c>
      <c r="J353" s="16" t="s">
        <v>27</v>
      </c>
      <c r="K353" s="16" t="s">
        <v>1717</v>
      </c>
      <c r="L353" s="16" t="s">
        <v>75</v>
      </c>
      <c r="M353" s="17">
        <v>14387</v>
      </c>
      <c r="N353" s="23">
        <v>1.31</v>
      </c>
      <c r="O353" s="16" t="s">
        <v>67</v>
      </c>
      <c r="P353" s="16" t="s">
        <v>29</v>
      </c>
      <c r="Q353" s="16" t="s">
        <v>29</v>
      </c>
      <c r="R353" s="16" t="s">
        <v>1719</v>
      </c>
      <c r="S353" s="12" t="s">
        <v>1718</v>
      </c>
      <c r="T353" s="13">
        <v>45873</v>
      </c>
      <c r="U353" s="19"/>
      <c r="V353" s="53">
        <f>M353-Z353-AB353-AD353-AF353-AH353-AJ353-AL353-AN353-AP353-AR353-AT353-AV353-AX353-AZ353-BB353-BD353-BF353-BH353-U353</f>
        <v>-3.399999999999352</v>
      </c>
      <c r="W353" s="22" t="s">
        <v>1720</v>
      </c>
      <c r="X353" s="27"/>
      <c r="Y353" s="26" t="s">
        <v>2261</v>
      </c>
      <c r="Z353" s="19">
        <v>959.3</v>
      </c>
      <c r="AA353" s="78">
        <v>45876</v>
      </c>
      <c r="AB353" s="19">
        <f>1493.6+365.3</f>
        <v>1858.8999999999999</v>
      </c>
      <c r="AC353" s="78">
        <v>45880</v>
      </c>
      <c r="AD353" s="19">
        <f>3144.3+1093.4</f>
        <v>4237.7000000000007</v>
      </c>
      <c r="AE353" s="78">
        <v>45882</v>
      </c>
      <c r="AF353" s="19">
        <f>605.4+689.3+2781.1</f>
        <v>4075.7999999999997</v>
      </c>
      <c r="AG353" s="78">
        <v>45884</v>
      </c>
      <c r="AH353" s="19">
        <v>1878.8</v>
      </c>
      <c r="AI353" s="78">
        <v>45890</v>
      </c>
      <c r="AJ353" s="19">
        <f>77.1+889.1</f>
        <v>966.2</v>
      </c>
      <c r="AK353" s="78">
        <v>45894</v>
      </c>
      <c r="AL353" s="19">
        <v>413.7</v>
      </c>
      <c r="AM353" s="78">
        <v>45898</v>
      </c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</row>
    <row r="354" spans="1:67" s="36" customFormat="1" ht="20.25" customHeight="1">
      <c r="A354" s="11">
        <v>45849</v>
      </c>
      <c r="B354" s="16" t="s">
        <v>1715</v>
      </c>
      <c r="C354" s="16" t="s">
        <v>1568</v>
      </c>
      <c r="D354" s="16" t="s">
        <v>212</v>
      </c>
      <c r="E354" s="16" t="s">
        <v>25</v>
      </c>
      <c r="F354" s="16" t="s">
        <v>1716</v>
      </c>
      <c r="G354" s="16" t="s">
        <v>71</v>
      </c>
      <c r="H354" s="16" t="s">
        <v>26</v>
      </c>
      <c r="I354" s="84" t="s">
        <v>63</v>
      </c>
      <c r="J354" s="16" t="s">
        <v>27</v>
      </c>
      <c r="K354" s="16" t="s">
        <v>372</v>
      </c>
      <c r="L354" s="16" t="s">
        <v>75</v>
      </c>
      <c r="M354" s="17">
        <v>5881</v>
      </c>
      <c r="N354" s="23">
        <v>1.31</v>
      </c>
      <c r="O354" s="16" t="s">
        <v>67</v>
      </c>
      <c r="P354" s="16" t="s">
        <v>29</v>
      </c>
      <c r="Q354" s="16" t="s">
        <v>1721</v>
      </c>
      <c r="R354" s="16" t="s">
        <v>29</v>
      </c>
      <c r="S354" s="12" t="s">
        <v>1718</v>
      </c>
      <c r="T354" s="13">
        <v>45873</v>
      </c>
      <c r="U354" s="19"/>
      <c r="V354" s="53">
        <f>M354-Z354-AB354-AD354-AF354-AH354-AJ354-AL354-AN354-AP354-AR354-AT354-AV354-AX354-AZ354-BB354-BD354-BF354-BH354-U354</f>
        <v>-3.3999999999998636</v>
      </c>
      <c r="W354" s="22" t="s">
        <v>1722</v>
      </c>
      <c r="X354" s="26"/>
      <c r="Y354" s="26"/>
      <c r="Z354" s="19">
        <v>4054.1</v>
      </c>
      <c r="AA354" s="78">
        <v>45874</v>
      </c>
      <c r="AB354" s="19">
        <v>1830.3</v>
      </c>
      <c r="AC354" s="78">
        <v>45876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</row>
    <row r="355" spans="1:67" s="28" customFormat="1" ht="20.25" customHeight="1">
      <c r="A355" s="7">
        <v>45853</v>
      </c>
      <c r="B355" s="19" t="s">
        <v>1748</v>
      </c>
      <c r="C355" s="19" t="s">
        <v>267</v>
      </c>
      <c r="D355" s="19" t="s">
        <v>212</v>
      </c>
      <c r="E355" s="19" t="s">
        <v>25</v>
      </c>
      <c r="F355" s="19" t="s">
        <v>1749</v>
      </c>
      <c r="G355" s="19" t="s">
        <v>71</v>
      </c>
      <c r="H355" s="19" t="s">
        <v>26</v>
      </c>
      <c r="I355" s="19" t="s">
        <v>63</v>
      </c>
      <c r="J355" s="19" t="s">
        <v>27</v>
      </c>
      <c r="K355" s="19" t="s">
        <v>223</v>
      </c>
      <c r="L355" s="19" t="s">
        <v>75</v>
      </c>
      <c r="M355" s="20">
        <v>2500</v>
      </c>
      <c r="N355" s="25">
        <v>1.29</v>
      </c>
      <c r="O355" s="19" t="s">
        <v>67</v>
      </c>
      <c r="P355" s="19" t="s">
        <v>29</v>
      </c>
      <c r="Q355" s="19" t="s">
        <v>29</v>
      </c>
      <c r="R355" s="19" t="s">
        <v>1235</v>
      </c>
      <c r="S355" s="45" t="s">
        <v>1718</v>
      </c>
      <c r="T355" s="8">
        <v>45870</v>
      </c>
      <c r="U355" s="19"/>
      <c r="V355" s="55">
        <f>M355-Z355-AB355-AD355-AF355-AH355-AJ355-AL355-AN355-AP355-AR355-AT355-AV355-AX355-AZ355-BB355-BD355-BF355-BH355-U355</f>
        <v>-0.70000000000004547</v>
      </c>
      <c r="W355" s="15" t="s">
        <v>1750</v>
      </c>
      <c r="X355" s="19" t="s">
        <v>339</v>
      </c>
      <c r="Y355" s="46"/>
      <c r="Z355" s="19">
        <v>1202.9000000000001</v>
      </c>
      <c r="AA355" s="138">
        <v>45866</v>
      </c>
      <c r="AB355" s="19">
        <v>665.3</v>
      </c>
      <c r="AC355" s="138">
        <v>45876</v>
      </c>
      <c r="AD355" s="19">
        <v>632.5</v>
      </c>
      <c r="AE355" s="138">
        <v>45882</v>
      </c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</row>
    <row r="356" spans="1:67" s="122" customFormat="1" ht="20.25" customHeight="1">
      <c r="A356" s="11">
        <v>45859</v>
      </c>
      <c r="B356" s="16" t="s">
        <v>1777</v>
      </c>
      <c r="C356" s="16" t="s">
        <v>304</v>
      </c>
      <c r="D356" s="16" t="s">
        <v>212</v>
      </c>
      <c r="E356" s="16" t="s">
        <v>25</v>
      </c>
      <c r="F356" s="16" t="s">
        <v>1779</v>
      </c>
      <c r="G356" s="16" t="s">
        <v>71</v>
      </c>
      <c r="H356" s="16" t="s">
        <v>26</v>
      </c>
      <c r="I356" s="16" t="s">
        <v>63</v>
      </c>
      <c r="J356" s="16" t="s">
        <v>27</v>
      </c>
      <c r="K356" s="16" t="s">
        <v>760</v>
      </c>
      <c r="L356" s="16" t="s">
        <v>35</v>
      </c>
      <c r="M356" s="17">
        <v>980</v>
      </c>
      <c r="N356" s="23">
        <v>1.31</v>
      </c>
      <c r="O356" s="16" t="s">
        <v>67</v>
      </c>
      <c r="P356" s="16" t="s">
        <v>63</v>
      </c>
      <c r="Q356" s="16" t="s">
        <v>29</v>
      </c>
      <c r="R356" s="16" t="s">
        <v>1781</v>
      </c>
      <c r="S356" s="12" t="s">
        <v>1783</v>
      </c>
      <c r="T356" s="13">
        <v>45880</v>
      </c>
      <c r="U356" s="19"/>
      <c r="V356" s="53">
        <f>M356-Z356-AB356-AD356-AF356-AH356-AJ356-AL356-AN356-AP356-AR356-AT356-AV356-AX356-AZ356-BB356-BD356-BF356-BH356-U356</f>
        <v>-2.8000000000000682</v>
      </c>
      <c r="W356" s="22" t="s">
        <v>1784</v>
      </c>
      <c r="X356" s="319" t="s">
        <v>339</v>
      </c>
      <c r="Y356" s="88" t="s">
        <v>1933</v>
      </c>
      <c r="Z356" s="19">
        <v>534.70000000000005</v>
      </c>
      <c r="AA356" s="227">
        <v>45873</v>
      </c>
      <c r="AB356" s="19">
        <v>448.1</v>
      </c>
      <c r="AC356" s="227">
        <v>45874</v>
      </c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</row>
    <row r="357" spans="1:67" s="36" customFormat="1" ht="20.25" customHeight="1">
      <c r="A357" s="272">
        <v>45859</v>
      </c>
      <c r="B357" s="273" t="s">
        <v>1778</v>
      </c>
      <c r="C357" s="273" t="s">
        <v>228</v>
      </c>
      <c r="D357" s="273" t="s">
        <v>212</v>
      </c>
      <c r="E357" s="273" t="s">
        <v>25</v>
      </c>
      <c r="F357" s="273" t="s">
        <v>1780</v>
      </c>
      <c r="G357" s="273" t="s">
        <v>71</v>
      </c>
      <c r="H357" s="273" t="s">
        <v>31</v>
      </c>
      <c r="I357" s="273" t="s">
        <v>63</v>
      </c>
      <c r="J357" s="273" t="s">
        <v>27</v>
      </c>
      <c r="K357" s="273" t="s">
        <v>465</v>
      </c>
      <c r="L357" s="273" t="s">
        <v>35</v>
      </c>
      <c r="M357" s="274"/>
      <c r="N357" s="275">
        <v>1.31</v>
      </c>
      <c r="O357" s="273" t="s">
        <v>67</v>
      </c>
      <c r="P357" s="273" t="s">
        <v>63</v>
      </c>
      <c r="Q357" s="273" t="s">
        <v>362</v>
      </c>
      <c r="R357" s="273" t="s">
        <v>1782</v>
      </c>
      <c r="S357" s="276" t="s">
        <v>1783</v>
      </c>
      <c r="T357" s="277">
        <v>45880</v>
      </c>
      <c r="U357" s="278"/>
      <c r="V357" s="279">
        <f>M357-Z357-AB357-AD357-AF357-AH357-AJ357-AL357-AN357-AP357-AR357-AT357-AV357-AX357-AZ357-BB357-BD357-BF357-BH357-U357</f>
        <v>0</v>
      </c>
      <c r="W357" s="280" t="s">
        <v>1785</v>
      </c>
      <c r="X357" s="281" t="s">
        <v>29</v>
      </c>
      <c r="Y357" s="281" t="s">
        <v>1790</v>
      </c>
      <c r="Z357" s="281"/>
      <c r="AA357" s="281"/>
      <c r="AB357" s="281"/>
      <c r="AC357" s="281"/>
      <c r="AD357" s="281"/>
      <c r="AE357" s="281"/>
      <c r="AF357" s="281"/>
      <c r="AG357" s="281"/>
      <c r="AH357" s="281"/>
      <c r="AI357" s="281"/>
      <c r="AJ357" s="281"/>
      <c r="AK357" s="281"/>
      <c r="AL357" s="281"/>
      <c r="AM357" s="281"/>
      <c r="AN357" s="281"/>
      <c r="AO357" s="281"/>
      <c r="AP357" s="281"/>
      <c r="AQ357" s="281"/>
      <c r="AR357" s="281"/>
      <c r="AS357" s="281"/>
      <c r="AT357" s="281"/>
      <c r="AU357" s="281"/>
      <c r="AV357" s="281"/>
      <c r="AW357" s="281"/>
      <c r="AX357" s="281"/>
      <c r="AY357" s="281"/>
      <c r="AZ357" s="281"/>
      <c r="BA357" s="281"/>
      <c r="BB357" s="281"/>
      <c r="BC357" s="281"/>
      <c r="BD357" s="281"/>
      <c r="BE357" s="281"/>
      <c r="BF357" s="282"/>
      <c r="BG357" s="282"/>
      <c r="BH357" s="282"/>
      <c r="BI357" s="282"/>
      <c r="BJ357" s="282"/>
      <c r="BK357" s="282"/>
      <c r="BL357" s="282"/>
      <c r="BM357" s="282"/>
      <c r="BN357" s="282"/>
      <c r="BO357" s="282"/>
    </row>
    <row r="358" spans="1:67" s="36" customFormat="1" ht="20.25" customHeight="1">
      <c r="A358" s="11">
        <v>45860</v>
      </c>
      <c r="B358" s="16" t="s">
        <v>1794</v>
      </c>
      <c r="C358" s="16" t="s">
        <v>267</v>
      </c>
      <c r="D358" s="16" t="s">
        <v>212</v>
      </c>
      <c r="E358" s="16" t="s">
        <v>25</v>
      </c>
      <c r="F358" s="16" t="s">
        <v>1795</v>
      </c>
      <c r="G358" s="16" t="s">
        <v>71</v>
      </c>
      <c r="H358" s="16" t="s">
        <v>31</v>
      </c>
      <c r="I358" s="16" t="s">
        <v>63</v>
      </c>
      <c r="J358" s="16" t="s">
        <v>27</v>
      </c>
      <c r="K358" s="16" t="s">
        <v>218</v>
      </c>
      <c r="L358" s="16" t="s">
        <v>35</v>
      </c>
      <c r="M358" s="17">
        <v>3925</v>
      </c>
      <c r="N358" s="23">
        <v>1.31</v>
      </c>
      <c r="O358" s="16" t="s">
        <v>67</v>
      </c>
      <c r="P358" s="16" t="s">
        <v>29</v>
      </c>
      <c r="Q358" s="16" t="s">
        <v>1576</v>
      </c>
      <c r="R358" s="16" t="s">
        <v>29</v>
      </c>
      <c r="S358" s="12" t="s">
        <v>1776</v>
      </c>
      <c r="T358" s="13">
        <v>45877</v>
      </c>
      <c r="U358" s="19"/>
      <c r="V358" s="53">
        <f>M358-Z358-AB358-AD358-AF358-AH358-AJ358-AL358-AN358-AP358-AR358-AT358-AV358-AX358-AZ358-BB358-BD358-BF358-BH358-U358</f>
        <v>-3.2000000000000455</v>
      </c>
      <c r="W358" s="22" t="s">
        <v>1805</v>
      </c>
      <c r="X358" s="88" t="s">
        <v>594</v>
      </c>
      <c r="Y358" s="88"/>
      <c r="Z358" s="19">
        <v>2347.9</v>
      </c>
      <c r="AA358" s="227">
        <v>45866</v>
      </c>
      <c r="AB358" s="19">
        <v>1580.3</v>
      </c>
      <c r="AC358" s="227">
        <v>45882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</row>
    <row r="359" spans="1:67" s="36" customFormat="1" ht="20.25" customHeight="1">
      <c r="A359" s="11">
        <v>45860</v>
      </c>
      <c r="B359" s="16" t="s">
        <v>1792</v>
      </c>
      <c r="C359" s="16" t="s">
        <v>267</v>
      </c>
      <c r="D359" s="16" t="s">
        <v>212</v>
      </c>
      <c r="E359" s="16" t="s">
        <v>25</v>
      </c>
      <c r="F359" s="16" t="s">
        <v>1793</v>
      </c>
      <c r="G359" s="16" t="s">
        <v>71</v>
      </c>
      <c r="H359" s="16" t="s">
        <v>31</v>
      </c>
      <c r="I359" s="16" t="s">
        <v>63</v>
      </c>
      <c r="J359" s="16" t="s">
        <v>27</v>
      </c>
      <c r="K359" s="16" t="s">
        <v>1796</v>
      </c>
      <c r="L359" s="16" t="s">
        <v>35</v>
      </c>
      <c r="M359" s="17">
        <v>440</v>
      </c>
      <c r="N359" s="23">
        <v>1.31</v>
      </c>
      <c r="O359" s="16" t="s">
        <v>67</v>
      </c>
      <c r="P359" s="16" t="s">
        <v>29</v>
      </c>
      <c r="Q359" s="16" t="s">
        <v>1574</v>
      </c>
      <c r="R359" s="16" t="s">
        <v>29</v>
      </c>
      <c r="S359" s="12" t="s">
        <v>1776</v>
      </c>
      <c r="T359" s="13">
        <v>45877</v>
      </c>
      <c r="U359" s="19"/>
      <c r="V359" s="53">
        <f>M359-Z359-AB359-AD359-AF359-AH359-AJ359-AL359-AN359-AP359-AR359-AT359-AV359-AX359-AZ359-BB359-BD359-BF359-BH359-U359</f>
        <v>-1.1999999999999886</v>
      </c>
      <c r="W359" s="22" t="s">
        <v>1804</v>
      </c>
      <c r="X359" s="88" t="s">
        <v>1806</v>
      </c>
      <c r="Y359" s="88"/>
      <c r="Z359" s="19">
        <v>441.2</v>
      </c>
      <c r="AA359" s="227">
        <v>45876</v>
      </c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</row>
    <row r="360" spans="1:67" s="28" customFormat="1" ht="20.25" customHeight="1">
      <c r="A360" s="11">
        <v>45862</v>
      </c>
      <c r="B360" s="16" t="s">
        <v>1843</v>
      </c>
      <c r="C360" s="16" t="s">
        <v>243</v>
      </c>
      <c r="D360" s="16" t="s">
        <v>212</v>
      </c>
      <c r="E360" s="16" t="s">
        <v>25</v>
      </c>
      <c r="F360" s="16" t="s">
        <v>1859</v>
      </c>
      <c r="G360" s="16" t="s">
        <v>71</v>
      </c>
      <c r="H360" s="16" t="s">
        <v>31</v>
      </c>
      <c r="I360" s="16"/>
      <c r="J360" s="16" t="s">
        <v>27</v>
      </c>
      <c r="K360" s="16" t="s">
        <v>384</v>
      </c>
      <c r="L360" s="16" t="s">
        <v>75</v>
      </c>
      <c r="M360" s="17">
        <v>450</v>
      </c>
      <c r="N360" s="23">
        <v>1.31</v>
      </c>
      <c r="O360" s="16" t="s">
        <v>67</v>
      </c>
      <c r="P360" s="16" t="s">
        <v>63</v>
      </c>
      <c r="Q360" s="16" t="s">
        <v>932</v>
      </c>
      <c r="R360" s="16" t="s">
        <v>525</v>
      </c>
      <c r="S360" s="12" t="s">
        <v>1872</v>
      </c>
      <c r="T360" s="13">
        <v>45883</v>
      </c>
      <c r="U360" s="19"/>
      <c r="V360" s="53">
        <f>M360-Z360-AB360-AD360-AF360-AH360-AJ360-AL360-AN360-AP360-AR360-AT360-AV360-AX360-AZ360-BB360-BD360-BF360-BH360-U360</f>
        <v>-0.80000000000001137</v>
      </c>
      <c r="W360" s="22" t="s">
        <v>1884</v>
      </c>
      <c r="X360" s="88"/>
      <c r="Y360" s="88"/>
      <c r="Z360" s="19">
        <v>450.8</v>
      </c>
      <c r="AA360" s="227">
        <v>45881</v>
      </c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</row>
    <row r="361" spans="1:67" s="28" customFormat="1" ht="20.25" customHeight="1">
      <c r="A361" s="11">
        <v>45862</v>
      </c>
      <c r="B361" s="16" t="s">
        <v>1844</v>
      </c>
      <c r="C361" s="16" t="s">
        <v>243</v>
      </c>
      <c r="D361" s="16" t="s">
        <v>212</v>
      </c>
      <c r="E361" s="16" t="s">
        <v>25</v>
      </c>
      <c r="F361" s="16" t="s">
        <v>1860</v>
      </c>
      <c r="G361" s="16" t="s">
        <v>71</v>
      </c>
      <c r="H361" s="16" t="s">
        <v>31</v>
      </c>
      <c r="I361" s="16"/>
      <c r="J361" s="16" t="s">
        <v>27</v>
      </c>
      <c r="K361" s="16" t="s">
        <v>384</v>
      </c>
      <c r="L361" s="16" t="s">
        <v>75</v>
      </c>
      <c r="M361" s="17">
        <v>128</v>
      </c>
      <c r="N361" s="23">
        <v>1.31</v>
      </c>
      <c r="O361" s="16" t="s">
        <v>67</v>
      </c>
      <c r="P361" s="16" t="s">
        <v>63</v>
      </c>
      <c r="Q361" s="16" t="s">
        <v>932</v>
      </c>
      <c r="R361" s="16" t="s">
        <v>1869</v>
      </c>
      <c r="S361" s="12" t="s">
        <v>1872</v>
      </c>
      <c r="T361" s="13">
        <v>45883</v>
      </c>
      <c r="U361" s="19"/>
      <c r="V361" s="53">
        <f>M361-Z361-AB361-AD361-AF361-AH361-AJ361-AL361-AN361-AP361-AR361-AT361-AV361-AX361-AZ361-BB361-BD361-BF361-BH361-U361</f>
        <v>-4.9000000000000057</v>
      </c>
      <c r="W361" s="22" t="s">
        <v>1885</v>
      </c>
      <c r="X361" s="88"/>
      <c r="Y361" s="88"/>
      <c r="Z361" s="19">
        <v>132.9</v>
      </c>
      <c r="AA361" s="227">
        <v>45881</v>
      </c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</row>
    <row r="362" spans="1:67" s="36" customFormat="1" ht="20.25" customHeight="1">
      <c r="A362" s="11">
        <v>45862</v>
      </c>
      <c r="B362" s="16" t="s">
        <v>1845</v>
      </c>
      <c r="C362" s="16" t="s">
        <v>243</v>
      </c>
      <c r="D362" s="16" t="s">
        <v>212</v>
      </c>
      <c r="E362" s="16" t="s">
        <v>25</v>
      </c>
      <c r="F362" s="16" t="s">
        <v>1861</v>
      </c>
      <c r="G362" s="16" t="s">
        <v>71</v>
      </c>
      <c r="H362" s="16" t="s">
        <v>31</v>
      </c>
      <c r="I362" s="16"/>
      <c r="J362" s="16" t="s">
        <v>27</v>
      </c>
      <c r="K362" s="16" t="s">
        <v>384</v>
      </c>
      <c r="L362" s="16" t="s">
        <v>75</v>
      </c>
      <c r="M362" s="17">
        <v>150</v>
      </c>
      <c r="N362" s="23">
        <v>1.31</v>
      </c>
      <c r="O362" s="16" t="s">
        <v>67</v>
      </c>
      <c r="P362" s="16" t="s">
        <v>63</v>
      </c>
      <c r="Q362" s="16" t="s">
        <v>938</v>
      </c>
      <c r="R362" s="16" t="s">
        <v>1870</v>
      </c>
      <c r="S362" s="12" t="s">
        <v>1872</v>
      </c>
      <c r="T362" s="13">
        <v>45883</v>
      </c>
      <c r="U362" s="19"/>
      <c r="V362" s="53">
        <f>M362-Z362-AB362-AD362-AF362-AH362-AJ362-AL362-AN362-AP362-AR362-AT362-AV362-AX362-AZ362-BB362-BD362-BF362-BH362-U362</f>
        <v>-8.4000000000000057</v>
      </c>
      <c r="W362" s="22" t="s">
        <v>1886</v>
      </c>
      <c r="X362" s="88"/>
      <c r="Y362" s="88"/>
      <c r="Z362" s="19">
        <v>158.4</v>
      </c>
      <c r="AA362" s="227">
        <v>45881</v>
      </c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</row>
    <row r="363" spans="1:67" s="28" customFormat="1" ht="20.25" customHeight="1">
      <c r="A363" s="11">
        <v>45862</v>
      </c>
      <c r="B363" s="16" t="s">
        <v>1846</v>
      </c>
      <c r="C363" s="16" t="s">
        <v>243</v>
      </c>
      <c r="D363" s="16" t="s">
        <v>212</v>
      </c>
      <c r="E363" s="16" t="s">
        <v>25</v>
      </c>
      <c r="F363" s="16" t="s">
        <v>1862</v>
      </c>
      <c r="G363" s="16" t="s">
        <v>71</v>
      </c>
      <c r="H363" s="16" t="s">
        <v>31</v>
      </c>
      <c r="I363" s="16"/>
      <c r="J363" s="16" t="s">
        <v>27</v>
      </c>
      <c r="K363" s="16" t="s">
        <v>384</v>
      </c>
      <c r="L363" s="16" t="s">
        <v>75</v>
      </c>
      <c r="M363" s="17">
        <v>59</v>
      </c>
      <c r="N363" s="23">
        <v>1.31</v>
      </c>
      <c r="O363" s="16" t="s">
        <v>67</v>
      </c>
      <c r="P363" s="16" t="s">
        <v>63</v>
      </c>
      <c r="Q363" s="16" t="s">
        <v>932</v>
      </c>
      <c r="R363" s="16" t="s">
        <v>935</v>
      </c>
      <c r="S363" s="12" t="s">
        <v>1872</v>
      </c>
      <c r="T363" s="13">
        <v>45883</v>
      </c>
      <c r="U363" s="19"/>
      <c r="V363" s="53">
        <f>M363-Z363-AB363-AD363-AF363-AH363-AJ363-AL363-AN363-AP363-AR363-AT363-AV363-AX363-AZ363-BB363-BD363-BF363-BH363-U363</f>
        <v>-1.2999999999999972</v>
      </c>
      <c r="W363" s="22" t="s">
        <v>1887</v>
      </c>
      <c r="X363" s="88"/>
      <c r="Y363" s="88"/>
      <c r="Z363" s="19">
        <v>60.3</v>
      </c>
      <c r="AA363" s="227">
        <v>45881</v>
      </c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</row>
    <row r="364" spans="1:67" s="28" customFormat="1" ht="20.25" customHeight="1">
      <c r="A364" s="11">
        <v>45862</v>
      </c>
      <c r="B364" s="16" t="s">
        <v>1835</v>
      </c>
      <c r="C364" s="16" t="s">
        <v>243</v>
      </c>
      <c r="D364" s="16" t="s">
        <v>212</v>
      </c>
      <c r="E364" s="16" t="s">
        <v>25</v>
      </c>
      <c r="F364" s="16" t="s">
        <v>1851</v>
      </c>
      <c r="G364" s="16" t="s">
        <v>71</v>
      </c>
      <c r="H364" s="16" t="s">
        <v>31</v>
      </c>
      <c r="I364" s="16"/>
      <c r="J364" s="16" t="s">
        <v>27</v>
      </c>
      <c r="K364" s="16" t="s">
        <v>245</v>
      </c>
      <c r="L364" s="16" t="s">
        <v>35</v>
      </c>
      <c r="M364" s="17">
        <v>216</v>
      </c>
      <c r="N364" s="23">
        <v>1.31</v>
      </c>
      <c r="O364" s="16" t="s">
        <v>67</v>
      </c>
      <c r="P364" s="16" t="s">
        <v>29</v>
      </c>
      <c r="Q364" s="16" t="s">
        <v>1866</v>
      </c>
      <c r="R364" s="16" t="s">
        <v>29</v>
      </c>
      <c r="S364" s="12" t="s">
        <v>1871</v>
      </c>
      <c r="T364" s="13">
        <v>45883</v>
      </c>
      <c r="U364" s="19"/>
      <c r="V364" s="53">
        <f>M364-Z364-AB364-AD364-AF364-AH364-AJ364-AL364-AN364-AP364-AR364-AT364-AV364-AX364-AZ364-BB364-BD364-BF364-BH364-U364</f>
        <v>-1.3000000000000114</v>
      </c>
      <c r="W364" s="22" t="s">
        <v>1874</v>
      </c>
      <c r="X364" s="88"/>
      <c r="Y364" s="88"/>
      <c r="Z364" s="19">
        <v>217.3</v>
      </c>
      <c r="AA364" s="227">
        <v>45881</v>
      </c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</row>
    <row r="365" spans="1:67" s="28" customFormat="1" ht="20.25" customHeight="1">
      <c r="A365" s="11">
        <v>45862</v>
      </c>
      <c r="B365" s="16" t="s">
        <v>1837</v>
      </c>
      <c r="C365" s="16" t="s">
        <v>243</v>
      </c>
      <c r="D365" s="16" t="s">
        <v>212</v>
      </c>
      <c r="E365" s="16" t="s">
        <v>25</v>
      </c>
      <c r="F365" s="16" t="s">
        <v>1853</v>
      </c>
      <c r="G365" s="16" t="s">
        <v>71</v>
      </c>
      <c r="H365" s="16" t="s">
        <v>31</v>
      </c>
      <c r="I365" s="16"/>
      <c r="J365" s="16" t="s">
        <v>27</v>
      </c>
      <c r="K365" s="16" t="s">
        <v>245</v>
      </c>
      <c r="L365" s="16" t="s">
        <v>35</v>
      </c>
      <c r="M365" s="17">
        <v>1100</v>
      </c>
      <c r="N365" s="23">
        <v>1.31</v>
      </c>
      <c r="O365" s="16" t="s">
        <v>67</v>
      </c>
      <c r="P365" s="16" t="s">
        <v>29</v>
      </c>
      <c r="Q365" s="16" t="s">
        <v>1867</v>
      </c>
      <c r="R365" s="16" t="s">
        <v>29</v>
      </c>
      <c r="S365" s="12" t="s">
        <v>1871</v>
      </c>
      <c r="T365" s="13">
        <v>45883</v>
      </c>
      <c r="U365" s="19"/>
      <c r="V365" s="53">
        <f>M365-Z365-AB365-AD365-AF365-AH365-AJ365-AL365-AN365-AP365-AR365-AT365-AV365-AX365-AZ365-BB365-BD365-BF365-BH365-U365</f>
        <v>-4.5999999999999091</v>
      </c>
      <c r="W365" s="22" t="s">
        <v>1877</v>
      </c>
      <c r="X365" s="88"/>
      <c r="Y365" s="88"/>
      <c r="Z365" s="19">
        <v>1104.5999999999999</v>
      </c>
      <c r="AA365" s="227">
        <v>45881</v>
      </c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</row>
    <row r="366" spans="1:67" s="28" customFormat="1" ht="20.25" customHeight="1">
      <c r="A366" s="11">
        <v>45862</v>
      </c>
      <c r="B366" s="16" t="s">
        <v>1839</v>
      </c>
      <c r="C366" s="16" t="s">
        <v>243</v>
      </c>
      <c r="D366" s="16" t="s">
        <v>212</v>
      </c>
      <c r="E366" s="16" t="s">
        <v>25</v>
      </c>
      <c r="F366" s="16" t="s">
        <v>1855</v>
      </c>
      <c r="G366" s="16" t="s">
        <v>71</v>
      </c>
      <c r="H366" s="16" t="s">
        <v>31</v>
      </c>
      <c r="I366" s="16"/>
      <c r="J366" s="16" t="s">
        <v>27</v>
      </c>
      <c r="K366" s="16" t="s">
        <v>245</v>
      </c>
      <c r="L366" s="16" t="s">
        <v>35</v>
      </c>
      <c r="M366" s="17">
        <v>181</v>
      </c>
      <c r="N366" s="23">
        <v>1.31</v>
      </c>
      <c r="O366" s="16" t="s">
        <v>67</v>
      </c>
      <c r="P366" s="16" t="s">
        <v>29</v>
      </c>
      <c r="Q366" s="16" t="s">
        <v>1866</v>
      </c>
      <c r="R366" s="16" t="s">
        <v>29</v>
      </c>
      <c r="S366" s="12" t="s">
        <v>1871</v>
      </c>
      <c r="T366" s="13">
        <v>45883</v>
      </c>
      <c r="U366" s="19"/>
      <c r="V366" s="53">
        <f>M366-Z366-AB366-AD366-AF366-AH366-AJ366-AL366-AN366-AP366-AR366-AT366-AV366-AX366-AZ366-BB366-BD366-BF366-BH366-U366</f>
        <v>-1.1999999999999886</v>
      </c>
      <c r="W366" s="22" t="s">
        <v>1879</v>
      </c>
      <c r="X366" s="88"/>
      <c r="Y366" s="88"/>
      <c r="Z366" s="19">
        <v>182.2</v>
      </c>
      <c r="AA366" s="227">
        <v>45881</v>
      </c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</row>
    <row r="367" spans="1:67" s="28" customFormat="1" ht="20.25" customHeight="1">
      <c r="A367" s="11">
        <v>45862</v>
      </c>
      <c r="B367" s="16" t="s">
        <v>1840</v>
      </c>
      <c r="C367" s="16" t="s">
        <v>243</v>
      </c>
      <c r="D367" s="16" t="s">
        <v>212</v>
      </c>
      <c r="E367" s="16" t="s">
        <v>25</v>
      </c>
      <c r="F367" s="16" t="s">
        <v>1856</v>
      </c>
      <c r="G367" s="16" t="s">
        <v>71</v>
      </c>
      <c r="H367" s="16" t="s">
        <v>31</v>
      </c>
      <c r="I367" s="16" t="s">
        <v>63</v>
      </c>
      <c r="J367" s="16" t="s">
        <v>27</v>
      </c>
      <c r="K367" s="16" t="s">
        <v>245</v>
      </c>
      <c r="L367" s="16" t="s">
        <v>35</v>
      </c>
      <c r="M367" s="17">
        <v>120</v>
      </c>
      <c r="N367" s="23">
        <v>1.31</v>
      </c>
      <c r="O367" s="16" t="s">
        <v>67</v>
      </c>
      <c r="P367" s="16" t="s">
        <v>29</v>
      </c>
      <c r="Q367" s="16" t="s">
        <v>1868</v>
      </c>
      <c r="R367" s="16" t="s">
        <v>29</v>
      </c>
      <c r="S367" s="12" t="s">
        <v>1558</v>
      </c>
      <c r="T367" s="13">
        <v>45883</v>
      </c>
      <c r="U367" s="19"/>
      <c r="V367" s="53">
        <f>M367-Z367-AB367-AD367-AF367-AH367-AJ367-AL367-AN367-AP367-AR367-AT367-AV367-AX367-AZ367-BB367-BD367-BF367-BH367-U367</f>
        <v>-2.7000000000000028</v>
      </c>
      <c r="W367" s="22" t="s">
        <v>1881</v>
      </c>
      <c r="X367" s="88"/>
      <c r="Y367" s="88"/>
      <c r="Z367" s="19">
        <v>122.7</v>
      </c>
      <c r="AA367" s="227">
        <v>45881</v>
      </c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</row>
    <row r="368" spans="1:67" s="28" customFormat="1" ht="20.25" customHeight="1">
      <c r="A368" s="11">
        <v>45862</v>
      </c>
      <c r="B368" s="16" t="s">
        <v>1834</v>
      </c>
      <c r="C368" s="16" t="s">
        <v>243</v>
      </c>
      <c r="D368" s="16" t="s">
        <v>212</v>
      </c>
      <c r="E368" s="16" t="s">
        <v>25</v>
      </c>
      <c r="F368" s="16" t="s">
        <v>1850</v>
      </c>
      <c r="G368" s="16" t="s">
        <v>71</v>
      </c>
      <c r="H368" s="16" t="s">
        <v>31</v>
      </c>
      <c r="I368" s="16"/>
      <c r="J368" s="16" t="s">
        <v>27</v>
      </c>
      <c r="K368" s="16" t="s">
        <v>1729</v>
      </c>
      <c r="L368" s="16" t="s">
        <v>35</v>
      </c>
      <c r="M368" s="17">
        <v>267</v>
      </c>
      <c r="N368" s="23">
        <v>1.31</v>
      </c>
      <c r="O368" s="16" t="s">
        <v>67</v>
      </c>
      <c r="P368" s="16" t="s">
        <v>29</v>
      </c>
      <c r="Q368" s="16" t="s">
        <v>29</v>
      </c>
      <c r="R368" s="16" t="s">
        <v>29</v>
      </c>
      <c r="S368" s="12" t="s">
        <v>1871</v>
      </c>
      <c r="T368" s="13">
        <v>45883</v>
      </c>
      <c r="U368" s="19"/>
      <c r="V368" s="53">
        <f>M368-Z368-AB368-AD368-AF368-AH368-AJ368-AL368-AN368-AP368-AR368-AT368-AV368-AX368-AZ368-BB368-BD368-BF368-BH368-U368</f>
        <v>-24.099999999999994</v>
      </c>
      <c r="W368" s="22" t="s">
        <v>1873</v>
      </c>
      <c r="X368" s="88"/>
      <c r="Y368" s="88"/>
      <c r="Z368" s="19">
        <f>72.6+44</f>
        <v>116.6</v>
      </c>
      <c r="AA368" s="227">
        <v>45874</v>
      </c>
      <c r="AB368" s="19">
        <v>174.5</v>
      </c>
      <c r="AC368" s="227">
        <v>45881</v>
      </c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</row>
    <row r="369" spans="1:67" s="28" customFormat="1" ht="20.25" customHeight="1">
      <c r="A369" s="11">
        <v>45862</v>
      </c>
      <c r="B369" s="16" t="s">
        <v>1836</v>
      </c>
      <c r="C369" s="16" t="s">
        <v>243</v>
      </c>
      <c r="D369" s="16" t="s">
        <v>212</v>
      </c>
      <c r="E369" s="16" t="s">
        <v>25</v>
      </c>
      <c r="F369" s="16" t="s">
        <v>1852</v>
      </c>
      <c r="G369" s="16" t="s">
        <v>71</v>
      </c>
      <c r="H369" s="16" t="s">
        <v>31</v>
      </c>
      <c r="I369" s="16"/>
      <c r="J369" s="16" t="s">
        <v>27</v>
      </c>
      <c r="K369" s="16" t="s">
        <v>1729</v>
      </c>
      <c r="L369" s="16" t="s">
        <v>35</v>
      </c>
      <c r="M369" s="17">
        <v>64</v>
      </c>
      <c r="N369" s="23">
        <v>1.31</v>
      </c>
      <c r="O369" s="16" t="s">
        <v>67</v>
      </c>
      <c r="P369" s="16" t="s">
        <v>29</v>
      </c>
      <c r="Q369" s="16" t="s">
        <v>1125</v>
      </c>
      <c r="R369" s="16" t="s">
        <v>29</v>
      </c>
      <c r="S369" s="12" t="s">
        <v>1558</v>
      </c>
      <c r="T369" s="13">
        <v>45883</v>
      </c>
      <c r="U369" s="19"/>
      <c r="V369" s="53">
        <f>M369-Z369-AB369-AD369-AF369-AH369-AJ369-AL369-AN369-AP369-AR369-AT369-AV369-AX369-AZ369-BB369-BD369-BF369-BH369-U369</f>
        <v>-5</v>
      </c>
      <c r="W369" s="22" t="s">
        <v>1876</v>
      </c>
      <c r="X369" s="88"/>
      <c r="Y369" s="88"/>
      <c r="Z369" s="19">
        <v>69</v>
      </c>
      <c r="AA369" s="227">
        <v>45881</v>
      </c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</row>
    <row r="370" spans="1:67" s="28" customFormat="1" ht="20.25" customHeight="1">
      <c r="A370" s="11">
        <v>45862</v>
      </c>
      <c r="B370" s="16" t="s">
        <v>1838</v>
      </c>
      <c r="C370" s="16" t="s">
        <v>243</v>
      </c>
      <c r="D370" s="16" t="s">
        <v>212</v>
      </c>
      <c r="E370" s="16" t="s">
        <v>25</v>
      </c>
      <c r="F370" s="16" t="s">
        <v>1854</v>
      </c>
      <c r="G370" s="16" t="s">
        <v>71</v>
      </c>
      <c r="H370" s="16" t="s">
        <v>31</v>
      </c>
      <c r="I370" s="16"/>
      <c r="J370" s="16" t="s">
        <v>27</v>
      </c>
      <c r="K370" s="16" t="s">
        <v>1729</v>
      </c>
      <c r="L370" s="16" t="s">
        <v>35</v>
      </c>
      <c r="M370" s="17">
        <v>290</v>
      </c>
      <c r="N370" s="23">
        <v>1.31</v>
      </c>
      <c r="O370" s="16" t="s">
        <v>67</v>
      </c>
      <c r="P370" s="16" t="s">
        <v>29</v>
      </c>
      <c r="Q370" s="16" t="s">
        <v>1866</v>
      </c>
      <c r="R370" s="16" t="s">
        <v>29</v>
      </c>
      <c r="S370" s="12" t="s">
        <v>1871</v>
      </c>
      <c r="T370" s="13">
        <v>45883</v>
      </c>
      <c r="U370" s="19"/>
      <c r="V370" s="53">
        <f>M370-Z370-AB370-AD370-AF370-AH370-AJ370-AL370-AN370-AP370-AR370-AT370-AV370-AX370-AZ370-BB370-BD370-BF370-BH370-U370</f>
        <v>-0.5</v>
      </c>
      <c r="W370" s="22" t="s">
        <v>1878</v>
      </c>
      <c r="X370" s="88"/>
      <c r="Y370" s="88"/>
      <c r="Z370" s="19">
        <v>290.5</v>
      </c>
      <c r="AA370" s="227">
        <v>45881</v>
      </c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</row>
    <row r="371" spans="1:67" s="28" customFormat="1" ht="20.25" customHeight="1">
      <c r="A371" s="11">
        <v>45862</v>
      </c>
      <c r="B371" s="16" t="s">
        <v>1841</v>
      </c>
      <c r="C371" s="16" t="s">
        <v>243</v>
      </c>
      <c r="D371" s="16" t="s">
        <v>212</v>
      </c>
      <c r="E371" s="16" t="s">
        <v>25</v>
      </c>
      <c r="F371" s="16" t="s">
        <v>1857</v>
      </c>
      <c r="G371" s="16" t="s">
        <v>71</v>
      </c>
      <c r="H371" s="16" t="s">
        <v>31</v>
      </c>
      <c r="I371" s="16"/>
      <c r="J371" s="16" t="s">
        <v>27</v>
      </c>
      <c r="K371" s="16" t="s">
        <v>1729</v>
      </c>
      <c r="L371" s="16" t="s">
        <v>35</v>
      </c>
      <c r="M371" s="17">
        <v>250</v>
      </c>
      <c r="N371" s="23">
        <v>1.31</v>
      </c>
      <c r="O371" s="16" t="s">
        <v>67</v>
      </c>
      <c r="P371" s="16" t="s">
        <v>29</v>
      </c>
      <c r="Q371" s="16" t="s">
        <v>1867</v>
      </c>
      <c r="R371" s="16" t="s">
        <v>29</v>
      </c>
      <c r="S371" s="12" t="s">
        <v>1558</v>
      </c>
      <c r="T371" s="13">
        <v>45883</v>
      </c>
      <c r="U371" s="19"/>
      <c r="V371" s="53">
        <f>M371-Z371-AB371-AD371-AF371-AH371-AJ371-AL371-AN371-AP371-AR371-AT371-AV371-AX371-AZ371-BB371-BD371-BF371-BH371-U371</f>
        <v>-1.1999999999999886</v>
      </c>
      <c r="W371" s="22" t="s">
        <v>1882</v>
      </c>
      <c r="X371" s="88"/>
      <c r="Y371" s="88"/>
      <c r="Z371" s="19">
        <v>251.2</v>
      </c>
      <c r="AA371" s="227">
        <v>45881</v>
      </c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</row>
    <row r="372" spans="1:67" s="28" customFormat="1" ht="20.25" customHeight="1">
      <c r="A372" s="11">
        <v>45862</v>
      </c>
      <c r="B372" s="16" t="s">
        <v>1842</v>
      </c>
      <c r="C372" s="16" t="s">
        <v>243</v>
      </c>
      <c r="D372" s="16" t="s">
        <v>212</v>
      </c>
      <c r="E372" s="16" t="s">
        <v>25</v>
      </c>
      <c r="F372" s="16" t="s">
        <v>1858</v>
      </c>
      <c r="G372" s="16" t="s">
        <v>71</v>
      </c>
      <c r="H372" s="16" t="s">
        <v>31</v>
      </c>
      <c r="I372" s="16"/>
      <c r="J372" s="16" t="s">
        <v>27</v>
      </c>
      <c r="K372" s="16" t="s">
        <v>1729</v>
      </c>
      <c r="L372" s="16" t="s">
        <v>35</v>
      </c>
      <c r="M372" s="17">
        <v>807</v>
      </c>
      <c r="N372" s="23">
        <v>1.31</v>
      </c>
      <c r="O372" s="16" t="s">
        <v>67</v>
      </c>
      <c r="P372" s="16" t="s">
        <v>29</v>
      </c>
      <c r="Q372" s="16" t="s">
        <v>1867</v>
      </c>
      <c r="R372" s="16" t="s">
        <v>29</v>
      </c>
      <c r="S372" s="12" t="s">
        <v>1558</v>
      </c>
      <c r="T372" s="13">
        <v>45883</v>
      </c>
      <c r="U372" s="19"/>
      <c r="V372" s="53">
        <f>M372-Z372-AB372-AD372-AF372-AH372-AJ372-AL372-AN372-AP372-AR372-AT372-AV372-AX372-AZ372-BB372-BD372-BF372-BH372-U372</f>
        <v>-3</v>
      </c>
      <c r="W372" s="22" t="s">
        <v>1883</v>
      </c>
      <c r="X372" s="88"/>
      <c r="Y372" s="88"/>
      <c r="Z372" s="19">
        <v>810</v>
      </c>
      <c r="AA372" s="227">
        <v>45881</v>
      </c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</row>
    <row r="373" spans="1:67" s="36" customFormat="1" ht="20.25" customHeight="1">
      <c r="A373" s="11">
        <v>45862</v>
      </c>
      <c r="B373" s="16" t="s">
        <v>1839</v>
      </c>
      <c r="C373" s="16" t="s">
        <v>243</v>
      </c>
      <c r="D373" s="16" t="s">
        <v>212</v>
      </c>
      <c r="E373" s="16" t="s">
        <v>25</v>
      </c>
      <c r="F373" s="16" t="s">
        <v>1855</v>
      </c>
      <c r="G373" s="16" t="s">
        <v>71</v>
      </c>
      <c r="H373" s="16" t="s">
        <v>31</v>
      </c>
      <c r="I373" s="16"/>
      <c r="J373" s="16" t="s">
        <v>27</v>
      </c>
      <c r="K373" s="16" t="s">
        <v>537</v>
      </c>
      <c r="L373" s="16" t="s">
        <v>35</v>
      </c>
      <c r="M373" s="17">
        <v>53</v>
      </c>
      <c r="N373" s="23">
        <v>1.31</v>
      </c>
      <c r="O373" s="16" t="s">
        <v>67</v>
      </c>
      <c r="P373" s="16" t="s">
        <v>29</v>
      </c>
      <c r="Q373" s="16" t="s">
        <v>1866</v>
      </c>
      <c r="R373" s="16" t="s">
        <v>29</v>
      </c>
      <c r="S373" s="12" t="s">
        <v>1871</v>
      </c>
      <c r="T373" s="13">
        <v>45883</v>
      </c>
      <c r="U373" s="19"/>
      <c r="V373" s="53">
        <f>M373-Z373-AB373-AD373-AF373-AH373-AJ373-AL373-AN373-AP373-AR373-AT373-AV373-AX373-AZ373-BB373-BD373-BF373-BH373-U373</f>
        <v>-3.1000000000000014</v>
      </c>
      <c r="W373" s="22" t="s">
        <v>1880</v>
      </c>
      <c r="X373" s="88"/>
      <c r="Y373" s="88"/>
      <c r="Z373" s="19">
        <f>18.4+37.7</f>
        <v>56.1</v>
      </c>
      <c r="AA373" s="227">
        <v>45881</v>
      </c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</row>
    <row r="374" spans="1:67" s="28" customFormat="1" ht="20.25" customHeight="1">
      <c r="A374" s="7">
        <v>45862</v>
      </c>
      <c r="B374" s="19" t="s">
        <v>1835</v>
      </c>
      <c r="C374" s="19" t="s">
        <v>243</v>
      </c>
      <c r="D374" s="19" t="s">
        <v>212</v>
      </c>
      <c r="E374" s="19" t="s">
        <v>25</v>
      </c>
      <c r="F374" s="19" t="s">
        <v>1851</v>
      </c>
      <c r="G374" s="19" t="s">
        <v>71</v>
      </c>
      <c r="H374" s="19" t="s">
        <v>31</v>
      </c>
      <c r="I374" s="19"/>
      <c r="J374" s="19" t="s">
        <v>27</v>
      </c>
      <c r="K374" s="19" t="s">
        <v>975</v>
      </c>
      <c r="L374" s="19" t="s">
        <v>35</v>
      </c>
      <c r="M374" s="20">
        <v>61</v>
      </c>
      <c r="N374" s="25">
        <v>1.31</v>
      </c>
      <c r="O374" s="19" t="s">
        <v>67</v>
      </c>
      <c r="P374" s="19" t="s">
        <v>29</v>
      </c>
      <c r="Q374" s="19" t="s">
        <v>1866</v>
      </c>
      <c r="R374" s="19" t="s">
        <v>29</v>
      </c>
      <c r="S374" s="45" t="s">
        <v>1871</v>
      </c>
      <c r="T374" s="8">
        <v>45883</v>
      </c>
      <c r="U374" s="19"/>
      <c r="V374" s="55">
        <f>M374-Z374-AB374-AD374-AF374-AH374-AJ374-AL374-AN374-AP374-AR374-AT374-AV374-AX374-AZ374-BB374-BD374-BF374-BH374-U374</f>
        <v>-2.1000000000000014</v>
      </c>
      <c r="W374" s="15" t="s">
        <v>1875</v>
      </c>
      <c r="X374" s="46"/>
      <c r="Y374" s="46"/>
      <c r="Z374" s="19">
        <v>63.1</v>
      </c>
      <c r="AA374" s="138">
        <v>45874</v>
      </c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</row>
    <row r="375" spans="1:67" s="28" customFormat="1" ht="20.25" customHeight="1">
      <c r="A375" s="11">
        <v>45862</v>
      </c>
      <c r="B375" s="16" t="s">
        <v>1849</v>
      </c>
      <c r="C375" s="16" t="s">
        <v>298</v>
      </c>
      <c r="D375" s="16" t="s">
        <v>212</v>
      </c>
      <c r="E375" s="16" t="s">
        <v>25</v>
      </c>
      <c r="F375" s="16" t="s">
        <v>1865</v>
      </c>
      <c r="G375" s="16" t="s">
        <v>71</v>
      </c>
      <c r="H375" s="16" t="s">
        <v>31</v>
      </c>
      <c r="I375" s="16"/>
      <c r="J375" s="16" t="s">
        <v>27</v>
      </c>
      <c r="K375" s="16" t="s">
        <v>214</v>
      </c>
      <c r="L375" s="16" t="s">
        <v>75</v>
      </c>
      <c r="M375" s="17">
        <v>96</v>
      </c>
      <c r="N375" s="23">
        <v>1.31</v>
      </c>
      <c r="O375" s="16" t="s">
        <v>67</v>
      </c>
      <c r="P375" s="16" t="s">
        <v>63</v>
      </c>
      <c r="Q375" s="16" t="s">
        <v>29</v>
      </c>
      <c r="R375" s="16" t="s">
        <v>1618</v>
      </c>
      <c r="S375" s="12" t="s">
        <v>1872</v>
      </c>
      <c r="T375" s="13"/>
      <c r="U375" s="19"/>
      <c r="V375" s="53">
        <f>M375-Z375-AB375-AD375-AF375-AH375-AJ375-AL375-AN375-AP375-AR375-AT375-AV375-AX375-AZ375-BB375-BD375-BF375-BH375-U375</f>
        <v>-0.5</v>
      </c>
      <c r="W375" s="22" t="s">
        <v>1890</v>
      </c>
      <c r="X375" s="88"/>
      <c r="Y375" s="88"/>
      <c r="Z375" s="19">
        <v>96.5</v>
      </c>
      <c r="AA375" s="227">
        <v>45866</v>
      </c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</row>
    <row r="376" spans="1:67" s="28" customFormat="1" ht="20.25" customHeight="1">
      <c r="A376" s="11">
        <v>45862</v>
      </c>
      <c r="B376" s="16" t="s">
        <v>1848</v>
      </c>
      <c r="C376" s="16" t="s">
        <v>298</v>
      </c>
      <c r="D376" s="16" t="s">
        <v>212</v>
      </c>
      <c r="E376" s="16" t="s">
        <v>25</v>
      </c>
      <c r="F376" s="16" t="s">
        <v>1864</v>
      </c>
      <c r="G376" s="16" t="s">
        <v>71</v>
      </c>
      <c r="H376" s="16" t="s">
        <v>31</v>
      </c>
      <c r="I376" s="16"/>
      <c r="J376" s="16" t="s">
        <v>27</v>
      </c>
      <c r="K376" s="16" t="s">
        <v>529</v>
      </c>
      <c r="L376" s="16" t="s">
        <v>75</v>
      </c>
      <c r="M376" s="17">
        <v>32</v>
      </c>
      <c r="N376" s="23">
        <v>1.31</v>
      </c>
      <c r="O376" s="16" t="s">
        <v>67</v>
      </c>
      <c r="P376" s="16" t="s">
        <v>63</v>
      </c>
      <c r="Q376" s="16" t="s">
        <v>29</v>
      </c>
      <c r="R376" s="16" t="s">
        <v>1087</v>
      </c>
      <c r="S376" s="12" t="s">
        <v>1872</v>
      </c>
      <c r="T376" s="13">
        <v>45883</v>
      </c>
      <c r="U376" s="19"/>
      <c r="V376" s="53">
        <f>M376-Z376-AB376-AD376-AF376-AH376-AJ376-AL376-AN376-AP376-AR376-AT376-AV376-AX376-AZ376-BB376-BD376-BF376-BH376-U376</f>
        <v>-2.7999999999999972</v>
      </c>
      <c r="W376" s="22" t="s">
        <v>1889</v>
      </c>
      <c r="X376" s="88"/>
      <c r="Y376" s="88"/>
      <c r="Z376" s="19">
        <v>34.799999999999997</v>
      </c>
      <c r="AA376" s="227">
        <v>45880</v>
      </c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</row>
    <row r="377" spans="1:67" s="28" customFormat="1" ht="20.25" customHeight="1">
      <c r="A377" s="11">
        <v>45862</v>
      </c>
      <c r="B377" s="16" t="s">
        <v>1847</v>
      </c>
      <c r="C377" s="16" t="s">
        <v>211</v>
      </c>
      <c r="D377" s="16" t="s">
        <v>212</v>
      </c>
      <c r="E377" s="16" t="s">
        <v>25</v>
      </c>
      <c r="F377" s="16" t="s">
        <v>1863</v>
      </c>
      <c r="G377" s="16" t="s">
        <v>71</v>
      </c>
      <c r="H377" s="16" t="s">
        <v>31</v>
      </c>
      <c r="I377" s="16"/>
      <c r="J377" s="16" t="s">
        <v>27</v>
      </c>
      <c r="K377" s="16" t="s">
        <v>1647</v>
      </c>
      <c r="L377" s="16" t="s">
        <v>75</v>
      </c>
      <c r="M377" s="17">
        <v>5000</v>
      </c>
      <c r="N377" s="23">
        <v>1.31</v>
      </c>
      <c r="O377" s="16" t="s">
        <v>67</v>
      </c>
      <c r="P377" s="16" t="s">
        <v>63</v>
      </c>
      <c r="Q377" s="16" t="s">
        <v>29</v>
      </c>
      <c r="R377" s="16" t="s">
        <v>1648</v>
      </c>
      <c r="S377" s="12" t="s">
        <v>1872</v>
      </c>
      <c r="T377" s="13">
        <v>45883</v>
      </c>
      <c r="U377" s="19"/>
      <c r="V377" s="53">
        <f>M377-Z377-AB377-AD377-AF377-AH377-AJ377-AL377-AN377-AP377-AR377-AT377-AV377-AX377-AZ377-BB377-BD377-BF377-BH377-U377</f>
        <v>-3.1999999999998181</v>
      </c>
      <c r="W377" s="22" t="s">
        <v>1888</v>
      </c>
      <c r="X377" s="319"/>
      <c r="Y377" s="88"/>
      <c r="Z377" s="19">
        <v>1264.0999999999999</v>
      </c>
      <c r="AA377" s="227">
        <v>45876</v>
      </c>
      <c r="AB377" s="19">
        <f>130.7+270.7+431.7</f>
        <v>833.09999999999991</v>
      </c>
      <c r="AC377" s="227">
        <v>45880</v>
      </c>
      <c r="AD377" s="19">
        <f>86.7+911.2</f>
        <v>997.90000000000009</v>
      </c>
      <c r="AE377" s="227">
        <v>45882</v>
      </c>
      <c r="AF377" s="19">
        <v>117.1</v>
      </c>
      <c r="AG377" s="227">
        <v>45884</v>
      </c>
      <c r="AH377" s="19">
        <f>860.9+558.9+371.2</f>
        <v>1791</v>
      </c>
      <c r="AI377" s="227">
        <v>45888</v>
      </c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</row>
    <row r="378" spans="1:67" s="122" customFormat="1" ht="20.25" customHeight="1">
      <c r="A378" s="11">
        <v>45863</v>
      </c>
      <c r="B378" s="16" t="s">
        <v>1893</v>
      </c>
      <c r="C378" s="16" t="s">
        <v>267</v>
      </c>
      <c r="D378" s="16" t="s">
        <v>212</v>
      </c>
      <c r="E378" s="16" t="s">
        <v>25</v>
      </c>
      <c r="F378" s="16" t="s">
        <v>1897</v>
      </c>
      <c r="G378" s="16" t="s">
        <v>71</v>
      </c>
      <c r="H378" s="16" t="s">
        <v>31</v>
      </c>
      <c r="I378" s="16"/>
      <c r="J378" s="16" t="s">
        <v>27</v>
      </c>
      <c r="K378" s="16" t="s">
        <v>239</v>
      </c>
      <c r="L378" s="16" t="s">
        <v>35</v>
      </c>
      <c r="M378" s="17">
        <v>14200</v>
      </c>
      <c r="N378" s="23">
        <v>1.31</v>
      </c>
      <c r="O378" s="16" t="s">
        <v>67</v>
      </c>
      <c r="P378" s="16" t="s">
        <v>63</v>
      </c>
      <c r="Q378" s="16" t="s">
        <v>29</v>
      </c>
      <c r="R378" s="16" t="s">
        <v>1900</v>
      </c>
      <c r="S378" s="12" t="s">
        <v>1901</v>
      </c>
      <c r="T378" s="13">
        <v>45884</v>
      </c>
      <c r="U378" s="19"/>
      <c r="V378" s="53">
        <f>M378-Z378-AB378-AD378-AF378-AH378-AJ378-AL378-AN378-AP378-AR378-AT378-AV378-AX378-AZ378-BB378-BD378-BF378-BH378-U378</f>
        <v>-0.90000000000100044</v>
      </c>
      <c r="W378" s="22" t="s">
        <v>1904</v>
      </c>
      <c r="X378" s="88" t="s">
        <v>594</v>
      </c>
      <c r="Y378" s="88"/>
      <c r="Z378" s="19">
        <f>67.5+2074+3106.3+3093.4+4608.1</f>
        <v>12949.300000000001</v>
      </c>
      <c r="AA378" s="227">
        <v>45873</v>
      </c>
      <c r="AB378" s="19">
        <v>1251.5999999999999</v>
      </c>
      <c r="AC378" s="227">
        <v>45876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</row>
    <row r="379" spans="1:67" s="28" customFormat="1" ht="20.25" customHeight="1">
      <c r="A379" s="300">
        <v>45863</v>
      </c>
      <c r="B379" s="301" t="s">
        <v>1892</v>
      </c>
      <c r="C379" s="301" t="s">
        <v>267</v>
      </c>
      <c r="D379" s="16" t="s">
        <v>212</v>
      </c>
      <c r="E379" s="301" t="s">
        <v>25</v>
      </c>
      <c r="F379" s="301" t="s">
        <v>1896</v>
      </c>
      <c r="G379" s="301" t="s">
        <v>71</v>
      </c>
      <c r="H379" s="301" t="s">
        <v>31</v>
      </c>
      <c r="I379" s="301"/>
      <c r="J379" s="301" t="s">
        <v>27</v>
      </c>
      <c r="K379" s="301" t="s">
        <v>673</v>
      </c>
      <c r="L379" s="301" t="s">
        <v>35</v>
      </c>
      <c r="M379" s="302">
        <v>20000</v>
      </c>
      <c r="N379" s="303">
        <v>1.31</v>
      </c>
      <c r="O379" s="301" t="s">
        <v>67</v>
      </c>
      <c r="P379" s="301" t="s">
        <v>63</v>
      </c>
      <c r="Q379" s="301" t="s">
        <v>29</v>
      </c>
      <c r="R379" s="301" t="s">
        <v>1576</v>
      </c>
      <c r="S379" s="304" t="s">
        <v>1718</v>
      </c>
      <c r="T379" s="305">
        <v>45884</v>
      </c>
      <c r="U379" s="301"/>
      <c r="V379" s="306">
        <f>M379-Z379-AB379-AD379-AF379-AH379-AJ379-AL379-AN379-AP379-AR379-AT379-AV379-AX379-AZ379-BB379-BD379-BF379-BH379-U379</f>
        <v>-2.4000000000014552</v>
      </c>
      <c r="W379" s="307" t="s">
        <v>1902</v>
      </c>
      <c r="X379" s="308" t="s">
        <v>594</v>
      </c>
      <c r="Y379" s="308" t="s">
        <v>1908</v>
      </c>
      <c r="Z379" s="301">
        <f>2028.4+2896.8</f>
        <v>4925.2000000000007</v>
      </c>
      <c r="AA379" s="309">
        <v>45870</v>
      </c>
      <c r="AB379" s="301">
        <f>2903.9+4143.3+3042.6+3365.7+258.5+1363.2</f>
        <v>15077.2</v>
      </c>
      <c r="AC379" s="309">
        <v>45873</v>
      </c>
      <c r="AD379" s="308"/>
      <c r="AE379" s="308"/>
      <c r="AF379" s="308"/>
      <c r="AG379" s="308"/>
      <c r="AH379" s="308"/>
      <c r="AI379" s="308"/>
      <c r="AJ379" s="308"/>
      <c r="AK379" s="308"/>
      <c r="AL379" s="308"/>
      <c r="AM379" s="308"/>
      <c r="AN379" s="308"/>
      <c r="AO379" s="308"/>
      <c r="AP379" s="308"/>
      <c r="AQ379" s="308"/>
      <c r="AR379" s="308"/>
      <c r="AS379" s="308"/>
      <c r="AT379" s="308"/>
      <c r="AU379" s="308"/>
      <c r="AV379" s="308"/>
      <c r="AW379" s="308"/>
      <c r="AX379" s="308"/>
      <c r="AY379" s="308"/>
      <c r="AZ379" s="308"/>
      <c r="BA379" s="308"/>
      <c r="BB379" s="308"/>
      <c r="BC379" s="308"/>
      <c r="BD379" s="308"/>
      <c r="BE379" s="308"/>
      <c r="BF379" s="122"/>
      <c r="BG379" s="122"/>
      <c r="BH379" s="122"/>
      <c r="BI379" s="122"/>
      <c r="BJ379" s="122"/>
      <c r="BK379" s="122"/>
      <c r="BL379" s="122"/>
      <c r="BM379" s="122"/>
      <c r="BN379" s="122"/>
      <c r="BO379" s="122"/>
    </row>
    <row r="380" spans="1:67" s="28" customFormat="1" ht="20.25" customHeight="1">
      <c r="A380" s="11">
        <v>45863</v>
      </c>
      <c r="B380" s="16" t="s">
        <v>1895</v>
      </c>
      <c r="C380" s="16" t="s">
        <v>1568</v>
      </c>
      <c r="D380" s="16" t="s">
        <v>212</v>
      </c>
      <c r="E380" s="16" t="s">
        <v>25</v>
      </c>
      <c r="F380" s="16" t="s">
        <v>1863</v>
      </c>
      <c r="G380" s="16" t="s">
        <v>71</v>
      </c>
      <c r="H380" s="16" t="s">
        <v>26</v>
      </c>
      <c r="I380" s="16"/>
      <c r="J380" s="16" t="s">
        <v>27</v>
      </c>
      <c r="K380" s="16" t="s">
        <v>214</v>
      </c>
      <c r="L380" s="16" t="s">
        <v>75</v>
      </c>
      <c r="M380" s="17">
        <v>11395</v>
      </c>
      <c r="N380" s="23">
        <v>1.31</v>
      </c>
      <c r="O380" s="16" t="s">
        <v>67</v>
      </c>
      <c r="P380" s="16" t="s">
        <v>63</v>
      </c>
      <c r="Q380" s="16" t="s">
        <v>29</v>
      </c>
      <c r="R380" s="16" t="s">
        <v>29</v>
      </c>
      <c r="S380" s="12" t="s">
        <v>1901</v>
      </c>
      <c r="T380" s="13">
        <v>45884</v>
      </c>
      <c r="U380" s="19"/>
      <c r="V380" s="53">
        <f>M380-Z380-AB380-AD380-AF380-AH380-AJ380-AL380-AN380-AP380-AR380-AT380-AV380-AX380-AZ380-BB380-BD380-BF380-BH380-U380</f>
        <v>-6.6000000000003638</v>
      </c>
      <c r="W380" s="22" t="s">
        <v>1907</v>
      </c>
      <c r="X380" s="88" t="s">
        <v>29</v>
      </c>
      <c r="Y380" s="88"/>
      <c r="Z380" s="19">
        <f>1060.7+1881.4</f>
        <v>2942.1000000000004</v>
      </c>
      <c r="AA380" s="227">
        <v>45870</v>
      </c>
      <c r="AB380" s="19">
        <f>3357.6+1393+2694.7+1014.2</f>
        <v>8459.5</v>
      </c>
      <c r="AC380" s="227">
        <v>45874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</row>
    <row r="381" spans="1:67" s="28" customFormat="1" ht="20.25" customHeight="1">
      <c r="A381" s="11">
        <v>45863</v>
      </c>
      <c r="B381" s="16" t="s">
        <v>1893</v>
      </c>
      <c r="C381" s="16" t="s">
        <v>267</v>
      </c>
      <c r="D381" s="16" t="s">
        <v>212</v>
      </c>
      <c r="E381" s="16" t="s">
        <v>25</v>
      </c>
      <c r="F381" s="16" t="s">
        <v>1897</v>
      </c>
      <c r="G381" s="16" t="s">
        <v>71</v>
      </c>
      <c r="H381" s="16" t="s">
        <v>31</v>
      </c>
      <c r="I381" s="16"/>
      <c r="J381" s="16" t="s">
        <v>27</v>
      </c>
      <c r="K381" s="16" t="s">
        <v>760</v>
      </c>
      <c r="L381" s="16" t="s">
        <v>75</v>
      </c>
      <c r="M381" s="17">
        <v>2100</v>
      </c>
      <c r="N381" s="23">
        <v>1.31</v>
      </c>
      <c r="O381" s="16" t="s">
        <v>67</v>
      </c>
      <c r="P381" s="16" t="s">
        <v>63</v>
      </c>
      <c r="Q381" s="16" t="s">
        <v>29</v>
      </c>
      <c r="R381" s="16" t="s">
        <v>1899</v>
      </c>
      <c r="S381" s="12" t="s">
        <v>1901</v>
      </c>
      <c r="T381" s="13">
        <v>45884</v>
      </c>
      <c r="U381" s="19"/>
      <c r="V381" s="53">
        <f>M381-Z381-AB381-AD381-AF381-AH381-AJ381-AL381-AN381-AP381-AR381-AT381-AV381-AX381-AZ381-BB381-BD381-BF381-BH381-U381</f>
        <v>-1.1000000000000227</v>
      </c>
      <c r="W381" s="22" t="s">
        <v>1903</v>
      </c>
      <c r="X381" s="319" t="s">
        <v>1420</v>
      </c>
      <c r="Y381" s="88"/>
      <c r="Z381" s="19">
        <v>1682.5</v>
      </c>
      <c r="AA381" s="227">
        <v>45882</v>
      </c>
      <c r="AB381" s="19">
        <v>418.6</v>
      </c>
      <c r="AC381" s="227">
        <v>45890</v>
      </c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</row>
    <row r="382" spans="1:67" s="28" customFormat="1" ht="20.25" customHeight="1">
      <c r="A382" s="11">
        <v>45863</v>
      </c>
      <c r="B382" s="16" t="s">
        <v>1894</v>
      </c>
      <c r="C382" s="16" t="s">
        <v>267</v>
      </c>
      <c r="D382" s="16" t="s">
        <v>212</v>
      </c>
      <c r="E382" s="16" t="s">
        <v>25</v>
      </c>
      <c r="F382" s="16" t="s">
        <v>1898</v>
      </c>
      <c r="G382" s="16" t="s">
        <v>71</v>
      </c>
      <c r="H382" s="16" t="s">
        <v>31</v>
      </c>
      <c r="I382" s="16"/>
      <c r="J382" s="16" t="s">
        <v>27</v>
      </c>
      <c r="K382" s="16" t="s">
        <v>760</v>
      </c>
      <c r="L382" s="16" t="s">
        <v>75</v>
      </c>
      <c r="M382" s="17">
        <v>75</v>
      </c>
      <c r="N382" s="23">
        <v>1.31</v>
      </c>
      <c r="O382" s="16" t="s">
        <v>67</v>
      </c>
      <c r="P382" s="16" t="s">
        <v>63</v>
      </c>
      <c r="Q382" s="16" t="s">
        <v>29</v>
      </c>
      <c r="R382" s="16" t="s">
        <v>29</v>
      </c>
      <c r="S382" s="12" t="s">
        <v>1901</v>
      </c>
      <c r="T382" s="13">
        <v>45884</v>
      </c>
      <c r="U382" s="19"/>
      <c r="V382" s="53">
        <f>M382-Z382-AB382-AD382-AF382-AH382-AJ382-AL382-AN382-AP382-AR382-AT382-AV382-AX382-AZ382-BB382-BD382-BF382-BH382-U382</f>
        <v>0</v>
      </c>
      <c r="W382" s="22" t="s">
        <v>1905</v>
      </c>
      <c r="X382" s="88" t="s">
        <v>29</v>
      </c>
      <c r="Y382" s="88"/>
      <c r="Z382" s="19">
        <v>75</v>
      </c>
      <c r="AA382" s="227">
        <v>45876</v>
      </c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</row>
    <row r="383" spans="1:67" s="28" customFormat="1" ht="20.25" customHeight="1">
      <c r="A383" s="11">
        <v>45863</v>
      </c>
      <c r="B383" s="16" t="s">
        <v>1895</v>
      </c>
      <c r="C383" s="16" t="s">
        <v>1568</v>
      </c>
      <c r="D383" s="16" t="s">
        <v>212</v>
      </c>
      <c r="E383" s="16" t="s">
        <v>25</v>
      </c>
      <c r="F383" s="16" t="s">
        <v>1863</v>
      </c>
      <c r="G383" s="16" t="s">
        <v>71</v>
      </c>
      <c r="H383" s="16" t="s">
        <v>31</v>
      </c>
      <c r="I383" s="16"/>
      <c r="J383" s="16" t="s">
        <v>27</v>
      </c>
      <c r="K383" s="16" t="s">
        <v>645</v>
      </c>
      <c r="L383" s="16" t="s">
        <v>75</v>
      </c>
      <c r="M383" s="17">
        <v>2000</v>
      </c>
      <c r="N383" s="23">
        <v>1.31</v>
      </c>
      <c r="O383" s="16" t="s">
        <v>67</v>
      </c>
      <c r="P383" s="16" t="s">
        <v>63</v>
      </c>
      <c r="Q383" s="16" t="s">
        <v>29</v>
      </c>
      <c r="R383" s="16" t="s">
        <v>29</v>
      </c>
      <c r="S383" s="12" t="s">
        <v>1901</v>
      </c>
      <c r="T383" s="13">
        <v>45884</v>
      </c>
      <c r="U383" s="19"/>
      <c r="V383" s="53">
        <f>M383-Z383-AB383-AD383-AF383-AH383-AJ383-AL383-AN383-AP383-AR383-AT383-AV383-AX383-AZ383-BB383-BD383-BF383-BH383-U383</f>
        <v>-1.4000000000000909</v>
      </c>
      <c r="W383" s="22" t="s">
        <v>1906</v>
      </c>
      <c r="X383" s="88" t="s">
        <v>29</v>
      </c>
      <c r="Y383" s="88"/>
      <c r="Z383" s="19">
        <v>2001.4</v>
      </c>
      <c r="AA383" s="227">
        <v>45876</v>
      </c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</row>
    <row r="384" spans="1:67" s="28" customFormat="1" ht="20.25" customHeight="1">
      <c r="A384" s="11">
        <v>45867</v>
      </c>
      <c r="B384" s="16" t="s">
        <v>1915</v>
      </c>
      <c r="C384" s="16" t="s">
        <v>243</v>
      </c>
      <c r="D384" s="16" t="s">
        <v>212</v>
      </c>
      <c r="E384" s="16" t="s">
        <v>25</v>
      </c>
      <c r="F384" s="16" t="s">
        <v>1920</v>
      </c>
      <c r="G384" s="16" t="s">
        <v>71</v>
      </c>
      <c r="H384" s="16" t="s">
        <v>31</v>
      </c>
      <c r="I384" s="16" t="s">
        <v>63</v>
      </c>
      <c r="J384" s="16" t="s">
        <v>27</v>
      </c>
      <c r="K384" s="16" t="s">
        <v>245</v>
      </c>
      <c r="L384" s="16" t="s">
        <v>35</v>
      </c>
      <c r="M384" s="17">
        <v>1103</v>
      </c>
      <c r="N384" s="23">
        <v>1.29</v>
      </c>
      <c r="O384" s="16" t="s">
        <v>67</v>
      </c>
      <c r="P384" s="16" t="s">
        <v>63</v>
      </c>
      <c r="Q384" s="16" t="s">
        <v>920</v>
      </c>
      <c r="R384" s="16" t="s">
        <v>921</v>
      </c>
      <c r="S384" s="12" t="s">
        <v>1924</v>
      </c>
      <c r="T384" s="13">
        <v>45887</v>
      </c>
      <c r="U384" s="19"/>
      <c r="V384" s="53">
        <f>M384-Z384-AB384-AD384-AF384-AH384-AJ384-AL384-AN384-AP384-AR384-AT384-AV384-AX384-AZ384-BB384-BD384-BF384-BH384-U384</f>
        <v>-0.79999999999995453</v>
      </c>
      <c r="W384" s="22" t="s">
        <v>1926</v>
      </c>
      <c r="X384" s="88"/>
      <c r="Y384" s="88"/>
      <c r="Z384" s="19">
        <v>1103.8</v>
      </c>
      <c r="AA384" s="227">
        <v>45881</v>
      </c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</row>
    <row r="385" spans="1:67" s="28" customFormat="1" ht="20.25" customHeight="1">
      <c r="A385" s="11">
        <v>45867</v>
      </c>
      <c r="B385" s="16" t="s">
        <v>1916</v>
      </c>
      <c r="C385" s="16" t="s">
        <v>243</v>
      </c>
      <c r="D385" s="16" t="s">
        <v>212</v>
      </c>
      <c r="E385" s="16" t="s">
        <v>25</v>
      </c>
      <c r="F385" s="16" t="s">
        <v>1921</v>
      </c>
      <c r="G385" s="16" t="s">
        <v>71</v>
      </c>
      <c r="H385" s="16" t="s">
        <v>31</v>
      </c>
      <c r="I385" s="16" t="s">
        <v>63</v>
      </c>
      <c r="J385" s="16" t="s">
        <v>27</v>
      </c>
      <c r="K385" s="16" t="s">
        <v>245</v>
      </c>
      <c r="L385" s="16" t="s">
        <v>35</v>
      </c>
      <c r="M385" s="17">
        <v>49.7</v>
      </c>
      <c r="N385" s="23">
        <v>1.29</v>
      </c>
      <c r="O385" s="16" t="s">
        <v>67</v>
      </c>
      <c r="P385" s="16" t="s">
        <v>63</v>
      </c>
      <c r="Q385" s="16" t="s">
        <v>932</v>
      </c>
      <c r="R385" s="16" t="s">
        <v>525</v>
      </c>
      <c r="S385" s="12" t="s">
        <v>1924</v>
      </c>
      <c r="T385" s="13">
        <v>45887</v>
      </c>
      <c r="U385" s="19"/>
      <c r="V385" s="53">
        <f>M385-Z385-AB385-AD385-AF385-AH385-AJ385-AL385-AN385-AP385-AR385-AT385-AV385-AX385-AZ385-BB385-BD385-BF385-BH385-U385</f>
        <v>-2.0999999999999943</v>
      </c>
      <c r="W385" s="22" t="s">
        <v>1927</v>
      </c>
      <c r="X385" s="88"/>
      <c r="Y385" s="88"/>
      <c r="Z385" s="19">
        <v>51.8</v>
      </c>
      <c r="AA385" s="227">
        <v>45881</v>
      </c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</row>
    <row r="386" spans="1:67" s="28" customFormat="1" ht="20.25" customHeight="1">
      <c r="A386" s="11">
        <v>45867</v>
      </c>
      <c r="B386" s="16" t="s">
        <v>1917</v>
      </c>
      <c r="C386" s="16" t="s">
        <v>243</v>
      </c>
      <c r="D386" s="16" t="s">
        <v>212</v>
      </c>
      <c r="E386" s="16" t="s">
        <v>25</v>
      </c>
      <c r="F386" s="16" t="s">
        <v>1922</v>
      </c>
      <c r="G386" s="16" t="s">
        <v>71</v>
      </c>
      <c r="H386" s="16" t="s">
        <v>31</v>
      </c>
      <c r="I386" s="16" t="s">
        <v>63</v>
      </c>
      <c r="J386" s="16" t="s">
        <v>27</v>
      </c>
      <c r="K386" s="16" t="s">
        <v>1729</v>
      </c>
      <c r="L386" s="16" t="s">
        <v>35</v>
      </c>
      <c r="M386" s="17">
        <v>100</v>
      </c>
      <c r="N386" s="23">
        <v>1.29</v>
      </c>
      <c r="O386" s="16" t="s">
        <v>67</v>
      </c>
      <c r="P386" s="16" t="s">
        <v>63</v>
      </c>
      <c r="Q386" s="16" t="s">
        <v>920</v>
      </c>
      <c r="R386" s="16" t="s">
        <v>791</v>
      </c>
      <c r="S386" s="12" t="s">
        <v>1924</v>
      </c>
      <c r="T386" s="13">
        <v>45887</v>
      </c>
      <c r="U386" s="19"/>
      <c r="V386" s="53">
        <f>M386-Z386-AB386-AD386-AF386-AH386-AJ386-AL386-AN386-AP386-AR386-AT386-AV386-AX386-AZ386-BB386-BD386-BF386-BH386-U386</f>
        <v>-0.90000000000000568</v>
      </c>
      <c r="W386" s="22" t="s">
        <v>1928</v>
      </c>
      <c r="X386" s="88"/>
      <c r="Y386" s="88"/>
      <c r="Z386" s="19">
        <v>100.9</v>
      </c>
      <c r="AA386" s="227">
        <v>45881</v>
      </c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</row>
    <row r="387" spans="1:67" s="28" customFormat="1" ht="20.25" customHeight="1">
      <c r="A387" s="11">
        <v>45867</v>
      </c>
      <c r="B387" s="16" t="s">
        <v>1918</v>
      </c>
      <c r="C387" s="16" t="s">
        <v>243</v>
      </c>
      <c r="D387" s="16" t="s">
        <v>212</v>
      </c>
      <c r="E387" s="16" t="s">
        <v>25</v>
      </c>
      <c r="F387" s="16" t="s">
        <v>1923</v>
      </c>
      <c r="G387" s="16" t="s">
        <v>71</v>
      </c>
      <c r="H387" s="16" t="s">
        <v>31</v>
      </c>
      <c r="I387" s="16" t="s">
        <v>63</v>
      </c>
      <c r="J387" s="16" t="s">
        <v>27</v>
      </c>
      <c r="K387" s="16" t="s">
        <v>1729</v>
      </c>
      <c r="L387" s="16" t="s">
        <v>35</v>
      </c>
      <c r="M387" s="17">
        <v>100</v>
      </c>
      <c r="N387" s="23">
        <v>1.29</v>
      </c>
      <c r="O387" s="16" t="s">
        <v>67</v>
      </c>
      <c r="P387" s="16" t="s">
        <v>63</v>
      </c>
      <c r="Q387" s="16" t="s">
        <v>920</v>
      </c>
      <c r="R387" s="16" t="s">
        <v>921</v>
      </c>
      <c r="S387" s="12" t="s">
        <v>1924</v>
      </c>
      <c r="T387" s="13">
        <v>45887</v>
      </c>
      <c r="U387" s="19"/>
      <c r="V387" s="53">
        <f>M387-Z387-AB387-AD387-AF387-AH387-AJ387-AL387-AN387-AP387-AR387-AT387-AV387-AX387-AZ387-BB387-BD387-BF387-BH387-U387</f>
        <v>-1.2999999999999972</v>
      </c>
      <c r="W387" s="22" t="s">
        <v>1929</v>
      </c>
      <c r="X387" s="88"/>
      <c r="Y387" s="88"/>
      <c r="Z387" s="19">
        <v>101.3</v>
      </c>
      <c r="AA387" s="227">
        <v>45881</v>
      </c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</row>
    <row r="388" spans="1:67" s="28" customFormat="1" ht="20.25" customHeight="1">
      <c r="A388" s="11">
        <v>45867</v>
      </c>
      <c r="B388" s="16" t="s">
        <v>1914</v>
      </c>
      <c r="C388" s="16" t="s">
        <v>298</v>
      </c>
      <c r="D388" s="16" t="s">
        <v>212</v>
      </c>
      <c r="E388" s="16" t="s">
        <v>25</v>
      </c>
      <c r="F388" s="16" t="s">
        <v>1919</v>
      </c>
      <c r="G388" s="16" t="s">
        <v>71</v>
      </c>
      <c r="H388" s="16" t="s">
        <v>31</v>
      </c>
      <c r="I388" s="16" t="s">
        <v>63</v>
      </c>
      <c r="J388" s="16" t="s">
        <v>27</v>
      </c>
      <c r="K388" s="16" t="s">
        <v>239</v>
      </c>
      <c r="L388" s="16" t="s">
        <v>35</v>
      </c>
      <c r="M388" s="17">
        <v>3585</v>
      </c>
      <c r="N388" s="23">
        <v>1.31</v>
      </c>
      <c r="O388" s="16" t="s">
        <v>1063</v>
      </c>
      <c r="P388" s="16" t="s">
        <v>63</v>
      </c>
      <c r="Q388" s="16" t="s">
        <v>29</v>
      </c>
      <c r="R388" s="16" t="s">
        <v>1618</v>
      </c>
      <c r="S388" s="12" t="s">
        <v>1823</v>
      </c>
      <c r="T388" s="13">
        <v>45874</v>
      </c>
      <c r="U388" s="19"/>
      <c r="V388" s="53">
        <f>M388-Z388-AB388-AD388-AF388-AH388-AJ388-AL388-AN388-AP388-AR388-AT388-AV388-AX388-AZ388-BB388-BD388-BF388-BH388-U388</f>
        <v>-2</v>
      </c>
      <c r="W388" s="22" t="s">
        <v>1925</v>
      </c>
      <c r="X388" s="88"/>
      <c r="Y388" s="88"/>
      <c r="Z388" s="19">
        <v>3587</v>
      </c>
      <c r="AA388" s="227">
        <v>45873</v>
      </c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</row>
    <row r="389" spans="1:67" s="28" customFormat="1" ht="20.25" customHeight="1">
      <c r="A389" s="11">
        <v>45869</v>
      </c>
      <c r="B389" s="16" t="s">
        <v>1951</v>
      </c>
      <c r="C389" s="16" t="s">
        <v>243</v>
      </c>
      <c r="D389" s="16" t="s">
        <v>212</v>
      </c>
      <c r="E389" s="16" t="s">
        <v>25</v>
      </c>
      <c r="F389" s="16" t="s">
        <v>1957</v>
      </c>
      <c r="G389" s="16" t="s">
        <v>71</v>
      </c>
      <c r="H389" s="16" t="s">
        <v>31</v>
      </c>
      <c r="I389" s="16" t="s">
        <v>63</v>
      </c>
      <c r="J389" s="16" t="s">
        <v>27</v>
      </c>
      <c r="K389" s="16" t="s">
        <v>384</v>
      </c>
      <c r="L389" s="16" t="s">
        <v>35</v>
      </c>
      <c r="M389" s="17">
        <v>131</v>
      </c>
      <c r="N389" s="23">
        <v>1.31</v>
      </c>
      <c r="O389" s="16" t="s">
        <v>67</v>
      </c>
      <c r="P389" s="16" t="s">
        <v>63</v>
      </c>
      <c r="Q389" s="16" t="s">
        <v>932</v>
      </c>
      <c r="R389" s="16" t="s">
        <v>1963</v>
      </c>
      <c r="S389" s="12" t="s">
        <v>1968</v>
      </c>
      <c r="T389" s="13">
        <v>45910</v>
      </c>
      <c r="U389" s="19"/>
      <c r="V389" s="53">
        <f>M389-Z389-AB389-AD389-AF389-AH389-AJ389-AL389-AN389-AP389-AR389-AT389-AV389-AX389-AZ389-BB389-BD389-BF389-BH389-U389</f>
        <v>-1.0999999999999943</v>
      </c>
      <c r="W389" s="22" t="s">
        <v>1969</v>
      </c>
      <c r="X389" s="319"/>
      <c r="Y389" s="88"/>
      <c r="Z389" s="19">
        <v>68.8</v>
      </c>
      <c r="AA389" s="227">
        <v>45881</v>
      </c>
      <c r="AB389" s="19">
        <v>63.3</v>
      </c>
      <c r="AC389" s="227">
        <v>45894</v>
      </c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</row>
    <row r="390" spans="1:67" s="28" customFormat="1" ht="20.25" customHeight="1">
      <c r="A390" s="272">
        <v>45869</v>
      </c>
      <c r="B390" s="273" t="s">
        <v>1952</v>
      </c>
      <c r="C390" s="273" t="s">
        <v>243</v>
      </c>
      <c r="D390" s="273" t="s">
        <v>212</v>
      </c>
      <c r="E390" s="273" t="s">
        <v>25</v>
      </c>
      <c r="F390" s="273" t="s">
        <v>1958</v>
      </c>
      <c r="G390" s="273" t="s">
        <v>71</v>
      </c>
      <c r="H390" s="273" t="s">
        <v>31</v>
      </c>
      <c r="I390" s="273"/>
      <c r="J390" s="273" t="s">
        <v>27</v>
      </c>
      <c r="K390" s="273" t="s">
        <v>384</v>
      </c>
      <c r="L390" s="273" t="s">
        <v>35</v>
      </c>
      <c r="M390" s="274"/>
      <c r="N390" s="275">
        <v>1.31</v>
      </c>
      <c r="O390" s="273" t="s">
        <v>67</v>
      </c>
      <c r="P390" s="273" t="s">
        <v>63</v>
      </c>
      <c r="Q390" s="273" t="s">
        <v>920</v>
      </c>
      <c r="R390" s="273" t="s">
        <v>791</v>
      </c>
      <c r="S390" s="276" t="s">
        <v>1968</v>
      </c>
      <c r="T390" s="277">
        <v>45910</v>
      </c>
      <c r="U390" s="278"/>
      <c r="V390" s="279">
        <f>M390-Z390-AB390-AD390-AF390-AH390-AJ390-AL390-AN390-AP390-AR390-AT390-AV390-AX390-AZ390-BB390-BD390-BF390-BH390-U390</f>
        <v>0</v>
      </c>
      <c r="W390" s="280" t="s">
        <v>1970</v>
      </c>
      <c r="X390" s="281"/>
      <c r="Y390" s="281"/>
      <c r="Z390" s="281"/>
      <c r="AA390" s="281"/>
      <c r="AB390" s="281"/>
      <c r="AC390" s="281"/>
      <c r="AD390" s="281"/>
      <c r="AE390" s="281"/>
      <c r="AF390" s="281"/>
      <c r="AG390" s="281"/>
      <c r="AH390" s="281"/>
      <c r="AI390" s="281"/>
      <c r="AJ390" s="281"/>
      <c r="AK390" s="281"/>
      <c r="AL390" s="281"/>
      <c r="AM390" s="281"/>
      <c r="AN390" s="281"/>
      <c r="AO390" s="281"/>
      <c r="AP390" s="281"/>
      <c r="AQ390" s="281"/>
      <c r="AR390" s="281"/>
      <c r="AS390" s="281"/>
      <c r="AT390" s="281"/>
      <c r="AU390" s="281"/>
      <c r="AV390" s="281"/>
      <c r="AW390" s="281"/>
      <c r="AX390" s="281"/>
      <c r="AY390" s="281"/>
      <c r="AZ390" s="281"/>
      <c r="BA390" s="281"/>
      <c r="BB390" s="281"/>
      <c r="BC390" s="281"/>
      <c r="BD390" s="281"/>
      <c r="BE390" s="281"/>
      <c r="BF390" s="282"/>
      <c r="BG390" s="282"/>
      <c r="BH390" s="282"/>
      <c r="BI390" s="282"/>
      <c r="BJ390" s="282"/>
      <c r="BK390" s="282"/>
      <c r="BL390" s="282"/>
      <c r="BM390" s="282"/>
      <c r="BN390" s="282"/>
      <c r="BO390" s="282"/>
    </row>
    <row r="391" spans="1:67" s="36" customFormat="1" ht="20.25" customHeight="1">
      <c r="A391" s="7">
        <v>45869</v>
      </c>
      <c r="B391" s="19" t="s">
        <v>1953</v>
      </c>
      <c r="C391" s="19" t="s">
        <v>228</v>
      </c>
      <c r="D391" s="19" t="s">
        <v>212</v>
      </c>
      <c r="E391" s="19" t="s">
        <v>25</v>
      </c>
      <c r="F391" s="19" t="s">
        <v>1959</v>
      </c>
      <c r="G391" s="19" t="s">
        <v>71</v>
      </c>
      <c r="H391" s="19" t="s">
        <v>31</v>
      </c>
      <c r="I391" s="19" t="s">
        <v>63</v>
      </c>
      <c r="J391" s="19" t="s">
        <v>27</v>
      </c>
      <c r="K391" s="19" t="s">
        <v>214</v>
      </c>
      <c r="L391" s="19" t="s">
        <v>35</v>
      </c>
      <c r="M391" s="20">
        <v>629.38</v>
      </c>
      <c r="N391" s="25">
        <v>1.31</v>
      </c>
      <c r="O391" s="19" t="s">
        <v>1063</v>
      </c>
      <c r="P391" s="19" t="s">
        <v>63</v>
      </c>
      <c r="Q391" s="19" t="s">
        <v>474</v>
      </c>
      <c r="R391" s="19" t="s">
        <v>1964</v>
      </c>
      <c r="S391" s="45" t="s">
        <v>1799</v>
      </c>
      <c r="T391" s="8">
        <v>45891</v>
      </c>
      <c r="U391" s="19"/>
      <c r="V391" s="55">
        <f>M391-Z391-AB391-AD391-AF391-AH391-AJ391-AL391-AN391-AP391-AR391-AT391-AV391-AX391-AZ391-BB391-BD391-BF391-BH391-U391</f>
        <v>-2.0199999999999818</v>
      </c>
      <c r="W391" s="15" t="s">
        <v>1971</v>
      </c>
      <c r="X391" s="143"/>
      <c r="Y391" s="46" t="s">
        <v>2061</v>
      </c>
      <c r="Z391" s="19">
        <f>207.4+424</f>
        <v>631.4</v>
      </c>
      <c r="AA391" s="138">
        <v>45895</v>
      </c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</row>
    <row r="392" spans="1:67" s="36" customFormat="1" ht="20.25" customHeight="1">
      <c r="A392" s="11">
        <v>45869</v>
      </c>
      <c r="B392" s="16" t="s">
        <v>1954</v>
      </c>
      <c r="C392" s="16" t="s">
        <v>228</v>
      </c>
      <c r="D392" s="16" t="s">
        <v>212</v>
      </c>
      <c r="E392" s="16" t="s">
        <v>25</v>
      </c>
      <c r="F392" s="16" t="s">
        <v>1960</v>
      </c>
      <c r="G392" s="16" t="s">
        <v>71</v>
      </c>
      <c r="H392" s="16" t="s">
        <v>31</v>
      </c>
      <c r="I392" s="16"/>
      <c r="J392" s="16" t="s">
        <v>27</v>
      </c>
      <c r="K392" s="16" t="s">
        <v>1048</v>
      </c>
      <c r="L392" s="16" t="s">
        <v>75</v>
      </c>
      <c r="M392" s="17">
        <v>231.6</v>
      </c>
      <c r="N392" s="23">
        <v>1.31</v>
      </c>
      <c r="O392" s="16" t="s">
        <v>67</v>
      </c>
      <c r="P392" s="16" t="s">
        <v>63</v>
      </c>
      <c r="Q392" s="16" t="s">
        <v>474</v>
      </c>
      <c r="R392" s="16" t="s">
        <v>475</v>
      </c>
      <c r="S392" s="12" t="s">
        <v>1799</v>
      </c>
      <c r="T392" s="13">
        <v>45897</v>
      </c>
      <c r="U392" s="19"/>
      <c r="V392" s="53">
        <f>M392-Z392-AB392-AD392-AF392-AH392-AJ392-AL392-AN392-AP392-AR392-AT392-AV392-AX392-AZ392-BB392-BD392-BF392-BH392-U392</f>
        <v>0</v>
      </c>
      <c r="W392" s="22" t="s">
        <v>1972</v>
      </c>
      <c r="X392" s="319"/>
      <c r="Y392" s="88"/>
      <c r="Z392" s="19">
        <v>231.6</v>
      </c>
      <c r="AA392" s="227">
        <v>45888</v>
      </c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</row>
    <row r="393" spans="1:67" s="36" customFormat="1" ht="20.25" customHeight="1">
      <c r="A393" s="11">
        <v>45869</v>
      </c>
      <c r="B393" s="16" t="s">
        <v>1956</v>
      </c>
      <c r="C393" s="16" t="s">
        <v>228</v>
      </c>
      <c r="D393" s="16" t="s">
        <v>212</v>
      </c>
      <c r="E393" s="16" t="s">
        <v>25</v>
      </c>
      <c r="F393" s="16" t="s">
        <v>1962</v>
      </c>
      <c r="G393" s="16" t="s">
        <v>71</v>
      </c>
      <c r="H393" s="16" t="s">
        <v>31</v>
      </c>
      <c r="I393" s="16"/>
      <c r="J393" s="16" t="s">
        <v>27</v>
      </c>
      <c r="K393" s="16" t="s">
        <v>1048</v>
      </c>
      <c r="L393" s="16" t="s">
        <v>75</v>
      </c>
      <c r="M393" s="17">
        <v>76.349999999999994</v>
      </c>
      <c r="N393" s="23">
        <v>1.31</v>
      </c>
      <c r="O393" s="16" t="s">
        <v>67</v>
      </c>
      <c r="P393" s="16" t="s">
        <v>63</v>
      </c>
      <c r="Q393" s="16" t="s">
        <v>362</v>
      </c>
      <c r="R393" s="16" t="s">
        <v>235</v>
      </c>
      <c r="S393" s="12" t="s">
        <v>1799</v>
      </c>
      <c r="T393" s="13">
        <v>45897</v>
      </c>
      <c r="U393" s="19"/>
      <c r="V393" s="53">
        <f>M393-Z393-AB393-AD393-AF393-AH393-AJ393-AL393-AN393-AP393-AR393-AT393-AV393-AX393-AZ393-BB393-BD393-BF393-BH393-U393</f>
        <v>-4.3500000000000085</v>
      </c>
      <c r="W393" s="22" t="s">
        <v>1975</v>
      </c>
      <c r="X393" s="319"/>
      <c r="Y393" s="88"/>
      <c r="Z393" s="19">
        <v>80.7</v>
      </c>
      <c r="AA393" s="227">
        <v>45888</v>
      </c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</row>
    <row r="394" spans="1:67" s="36" customFormat="1" ht="20.25" customHeight="1">
      <c r="A394" s="11">
        <v>45869</v>
      </c>
      <c r="B394" s="16" t="s">
        <v>1955</v>
      </c>
      <c r="C394" s="16" t="s">
        <v>228</v>
      </c>
      <c r="D394" s="16" t="s">
        <v>212</v>
      </c>
      <c r="E394" s="16" t="s">
        <v>25</v>
      </c>
      <c r="F394" s="16" t="s">
        <v>1961</v>
      </c>
      <c r="G394" s="16" t="s">
        <v>71</v>
      </c>
      <c r="H394" s="16" t="s">
        <v>31</v>
      </c>
      <c r="I394" s="16"/>
      <c r="J394" s="16" t="s">
        <v>27</v>
      </c>
      <c r="K394" s="16" t="s">
        <v>230</v>
      </c>
      <c r="L394" s="16" t="s">
        <v>75</v>
      </c>
      <c r="M394" s="17">
        <v>310.48</v>
      </c>
      <c r="N394" s="23">
        <v>1.31</v>
      </c>
      <c r="O394" s="16" t="s">
        <v>67</v>
      </c>
      <c r="P394" s="16" t="s">
        <v>63</v>
      </c>
      <c r="Q394" s="16" t="s">
        <v>1965</v>
      </c>
      <c r="R394" s="16" t="s">
        <v>1966</v>
      </c>
      <c r="S394" s="12" t="s">
        <v>1799</v>
      </c>
      <c r="T394" s="13">
        <v>45897</v>
      </c>
      <c r="U394" s="19"/>
      <c r="V394" s="53">
        <f>M394-Z394-AB394-AD394-AF394-AH394-AJ394-AL394-AN394-AP394-AR394-AT394-AV394-AX394-AZ394-BB394-BD394-BF394-BH394-U394</f>
        <v>-4.1200000000000045</v>
      </c>
      <c r="W394" s="22" t="s">
        <v>1973</v>
      </c>
      <c r="X394" s="319"/>
      <c r="Y394" s="88"/>
      <c r="Z394" s="19">
        <v>314.60000000000002</v>
      </c>
      <c r="AA394" s="227">
        <v>45888</v>
      </c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</row>
    <row r="395" spans="1:67" s="36" customFormat="1" ht="20.25" customHeight="1">
      <c r="A395" s="11">
        <v>45869</v>
      </c>
      <c r="B395" s="16" t="s">
        <v>1956</v>
      </c>
      <c r="C395" s="16" t="s">
        <v>228</v>
      </c>
      <c r="D395" s="16" t="s">
        <v>212</v>
      </c>
      <c r="E395" s="16" t="s">
        <v>25</v>
      </c>
      <c r="F395" s="16" t="s">
        <v>1962</v>
      </c>
      <c r="G395" s="16" t="s">
        <v>71</v>
      </c>
      <c r="H395" s="16" t="s">
        <v>31</v>
      </c>
      <c r="I395" s="16"/>
      <c r="J395" s="16" t="s">
        <v>27</v>
      </c>
      <c r="K395" s="16" t="s">
        <v>230</v>
      </c>
      <c r="L395" s="16" t="s">
        <v>75</v>
      </c>
      <c r="M395" s="17">
        <v>2270.27</v>
      </c>
      <c r="N395" s="23">
        <v>1.31</v>
      </c>
      <c r="O395" s="16" t="s">
        <v>67</v>
      </c>
      <c r="P395" s="16" t="s">
        <v>63</v>
      </c>
      <c r="Q395" s="16" t="s">
        <v>480</v>
      </c>
      <c r="R395" s="16" t="s">
        <v>1967</v>
      </c>
      <c r="S395" s="12" t="s">
        <v>1799</v>
      </c>
      <c r="T395" s="13">
        <v>45897</v>
      </c>
      <c r="U395" s="19"/>
      <c r="V395" s="53">
        <f>M395-Z395-AB395-AD395-AF395-AH395-AJ395-AL395-AN395-AP395-AR395-AT395-AV395-AX395-AZ395-BB395-BD395-BF395-BH395-U395</f>
        <v>-1.5299999999997453</v>
      </c>
      <c r="W395" s="22" t="s">
        <v>1974</v>
      </c>
      <c r="X395" s="319"/>
      <c r="Y395" s="88"/>
      <c r="Z395" s="19">
        <f>1904.1+367.7</f>
        <v>2271.7999999999997</v>
      </c>
      <c r="AA395" s="227">
        <v>45888</v>
      </c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</row>
    <row r="396" spans="1:67" s="36" customFormat="1" ht="20.25" customHeight="1">
      <c r="A396" s="11">
        <v>45870</v>
      </c>
      <c r="B396" s="16" t="s">
        <v>1984</v>
      </c>
      <c r="C396" s="16" t="s">
        <v>382</v>
      </c>
      <c r="D396" s="16" t="s">
        <v>212</v>
      </c>
      <c r="E396" s="16" t="s">
        <v>25</v>
      </c>
      <c r="F396" s="16" t="s">
        <v>1992</v>
      </c>
      <c r="G396" s="16" t="s">
        <v>71</v>
      </c>
      <c r="H396" s="16" t="s">
        <v>31</v>
      </c>
      <c r="I396" s="16" t="s">
        <v>63</v>
      </c>
      <c r="J396" s="16" t="s">
        <v>27</v>
      </c>
      <c r="K396" s="16" t="s">
        <v>245</v>
      </c>
      <c r="L396" s="16" t="s">
        <v>75</v>
      </c>
      <c r="M396" s="325">
        <v>452.22</v>
      </c>
      <c r="N396" s="23">
        <v>1.31</v>
      </c>
      <c r="O396" s="16" t="s">
        <v>67</v>
      </c>
      <c r="P396" s="16" t="s">
        <v>63</v>
      </c>
      <c r="Q396" s="16" t="s">
        <v>1997</v>
      </c>
      <c r="R396" s="16" t="s">
        <v>1998</v>
      </c>
      <c r="S396" s="12" t="s">
        <v>2001</v>
      </c>
      <c r="T396" s="13">
        <v>45895</v>
      </c>
      <c r="U396" s="19"/>
      <c r="V396" s="53">
        <f>M396-Z396-AB396-AD396-AF396-AH396-AJ396-AL396-AN396-AP396-AR396-AT396-AV396-AX396-AZ396-BB396-BD396-BF396-BH396-U396</f>
        <v>-0.37999999999999545</v>
      </c>
      <c r="W396" s="22" t="s">
        <v>2006</v>
      </c>
      <c r="X396" s="319" t="s">
        <v>29</v>
      </c>
      <c r="Y396" s="88"/>
      <c r="Z396" s="19">
        <v>452.6</v>
      </c>
      <c r="AA396" s="227">
        <v>45898</v>
      </c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</row>
    <row r="397" spans="1:67" s="28" customFormat="1" ht="20.25" customHeight="1">
      <c r="A397" s="11">
        <v>45870</v>
      </c>
      <c r="B397" s="16" t="s">
        <v>1981</v>
      </c>
      <c r="C397" s="16" t="s">
        <v>304</v>
      </c>
      <c r="D397" s="16" t="s">
        <v>212</v>
      </c>
      <c r="E397" s="16" t="s">
        <v>25</v>
      </c>
      <c r="F397" s="16" t="s">
        <v>1989</v>
      </c>
      <c r="G397" s="16" t="s">
        <v>71</v>
      </c>
      <c r="H397" s="16" t="s">
        <v>26</v>
      </c>
      <c r="I397" s="16" t="s">
        <v>63</v>
      </c>
      <c r="J397" s="16" t="s">
        <v>27</v>
      </c>
      <c r="K397" s="16" t="s">
        <v>214</v>
      </c>
      <c r="L397" s="16" t="s">
        <v>35</v>
      </c>
      <c r="M397" s="17">
        <v>50</v>
      </c>
      <c r="N397" s="23">
        <v>1.29</v>
      </c>
      <c r="O397" s="16" t="s">
        <v>67</v>
      </c>
      <c r="P397" s="16" t="s">
        <v>63</v>
      </c>
      <c r="Q397" s="16" t="s">
        <v>29</v>
      </c>
      <c r="R397" s="16" t="s">
        <v>1203</v>
      </c>
      <c r="S397" s="12" t="s">
        <v>2001</v>
      </c>
      <c r="T397" s="13">
        <v>45891</v>
      </c>
      <c r="U397" s="19"/>
      <c r="V397" s="53">
        <f>M397-Z397-AB397-AD397-AF397-AH397-AJ397-AL397-AN397-AP397-AR397-AT397-AV397-AX397-AZ397-BB397-BD397-BF397-BH397-U397</f>
        <v>-3.7999999999999972</v>
      </c>
      <c r="W397" s="22" t="s">
        <v>2003</v>
      </c>
      <c r="X397" s="319" t="s">
        <v>511</v>
      </c>
      <c r="Y397" s="88" t="s">
        <v>2372</v>
      </c>
      <c r="Z397" s="19">
        <v>53.8</v>
      </c>
      <c r="AA397" s="227">
        <v>45894</v>
      </c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</row>
    <row r="398" spans="1:67" s="36" customFormat="1" ht="20.25" customHeight="1">
      <c r="A398" s="11">
        <v>45870</v>
      </c>
      <c r="B398" s="16" t="s">
        <v>1982</v>
      </c>
      <c r="C398" s="16" t="s">
        <v>304</v>
      </c>
      <c r="D398" s="16" t="s">
        <v>212</v>
      </c>
      <c r="E398" s="16" t="s">
        <v>25</v>
      </c>
      <c r="F398" s="16" t="s">
        <v>1990</v>
      </c>
      <c r="G398" s="16" t="s">
        <v>71</v>
      </c>
      <c r="H398" s="16" t="s">
        <v>26</v>
      </c>
      <c r="I398" s="16" t="s">
        <v>63</v>
      </c>
      <c r="J398" s="16" t="s">
        <v>27</v>
      </c>
      <c r="K398" s="16" t="s">
        <v>214</v>
      </c>
      <c r="L398" s="16" t="s">
        <v>35</v>
      </c>
      <c r="M398" s="17">
        <v>250</v>
      </c>
      <c r="N398" s="23">
        <v>1.29</v>
      </c>
      <c r="O398" s="16" t="s">
        <v>67</v>
      </c>
      <c r="P398" s="16" t="s">
        <v>63</v>
      </c>
      <c r="Q398" s="16" t="s">
        <v>29</v>
      </c>
      <c r="R398" s="16" t="s">
        <v>1203</v>
      </c>
      <c r="S398" s="12" t="s">
        <v>2001</v>
      </c>
      <c r="T398" s="13">
        <v>45891</v>
      </c>
      <c r="U398" s="19"/>
      <c r="V398" s="53">
        <f>M398-Z398-AB398-AD398-AF398-AH398-AJ398-AL398-AN398-AP398-AR398-AT398-AV398-AX398-AZ398-BB398-BD398-BF398-BH398-U398</f>
        <v>0</v>
      </c>
      <c r="W398" s="22" t="s">
        <v>2004</v>
      </c>
      <c r="X398" s="319" t="s">
        <v>511</v>
      </c>
      <c r="Y398" s="88" t="s">
        <v>2373</v>
      </c>
      <c r="Z398" s="19">
        <v>250</v>
      </c>
      <c r="AA398" s="227">
        <v>45894</v>
      </c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</row>
    <row r="399" spans="1:67" s="28" customFormat="1" ht="20.25" customHeight="1">
      <c r="A399" s="11">
        <v>45870</v>
      </c>
      <c r="B399" s="16" t="s">
        <v>1983</v>
      </c>
      <c r="C399" s="16" t="s">
        <v>304</v>
      </c>
      <c r="D399" s="16" t="s">
        <v>212</v>
      </c>
      <c r="E399" s="16" t="s">
        <v>25</v>
      </c>
      <c r="F399" s="16" t="s">
        <v>1991</v>
      </c>
      <c r="G399" s="16" t="s">
        <v>71</v>
      </c>
      <c r="H399" s="16" t="s">
        <v>26</v>
      </c>
      <c r="I399" s="16" t="s">
        <v>63</v>
      </c>
      <c r="J399" s="16" t="s">
        <v>27</v>
      </c>
      <c r="K399" s="16" t="s">
        <v>214</v>
      </c>
      <c r="L399" s="16" t="s">
        <v>35</v>
      </c>
      <c r="M399" s="17">
        <v>50</v>
      </c>
      <c r="N399" s="23">
        <v>1.29</v>
      </c>
      <c r="O399" s="16" t="s">
        <v>67</v>
      </c>
      <c r="P399" s="16" t="s">
        <v>63</v>
      </c>
      <c r="Q399" s="16" t="s">
        <v>29</v>
      </c>
      <c r="R399" s="16" t="s">
        <v>810</v>
      </c>
      <c r="S399" s="12" t="s">
        <v>2001</v>
      </c>
      <c r="T399" s="13">
        <v>45891</v>
      </c>
      <c r="U399" s="19"/>
      <c r="V399" s="53">
        <f>M399-Z399-AB399-AD399-AF399-AH399-AJ399-AL399-AN399-AP399-AR399-AT399-AV399-AX399-AZ399-BB399-BD399-BF399-BH399-U399</f>
        <v>-2.5</v>
      </c>
      <c r="W399" s="22" t="s">
        <v>2005</v>
      </c>
      <c r="X399" s="319" t="s">
        <v>511</v>
      </c>
      <c r="Y399" s="88" t="s">
        <v>2372</v>
      </c>
      <c r="Z399" s="19">
        <v>52.5</v>
      </c>
      <c r="AA399" s="227">
        <v>45894</v>
      </c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</row>
    <row r="400" spans="1:67" s="28" customFormat="1" ht="20.25" customHeight="1">
      <c r="A400" s="11">
        <v>45870</v>
      </c>
      <c r="B400" s="16" t="s">
        <v>1986</v>
      </c>
      <c r="C400" s="16" t="s">
        <v>1568</v>
      </c>
      <c r="D400" s="16" t="s">
        <v>212</v>
      </c>
      <c r="E400" s="16" t="s">
        <v>25</v>
      </c>
      <c r="F400" s="16" t="s">
        <v>1994</v>
      </c>
      <c r="G400" s="16" t="s">
        <v>71</v>
      </c>
      <c r="H400" s="16" t="s">
        <v>26</v>
      </c>
      <c r="I400" s="16"/>
      <c r="J400" s="16" t="s">
        <v>27</v>
      </c>
      <c r="K400" s="16" t="s">
        <v>214</v>
      </c>
      <c r="L400" s="16" t="s">
        <v>75</v>
      </c>
      <c r="M400" s="17">
        <v>13303</v>
      </c>
      <c r="N400" s="23">
        <v>1.31</v>
      </c>
      <c r="O400" s="16" t="s">
        <v>67</v>
      </c>
      <c r="P400" s="16" t="s">
        <v>63</v>
      </c>
      <c r="Q400" s="16" t="s">
        <v>29</v>
      </c>
      <c r="R400" s="16" t="s">
        <v>1999</v>
      </c>
      <c r="S400" s="12" t="s">
        <v>1941</v>
      </c>
      <c r="T400" s="13">
        <v>45891</v>
      </c>
      <c r="U400" s="19"/>
      <c r="V400" s="53">
        <f>M400-Z400-AB400-AD400-AF400-AH400-AJ400-AL400-AN400-AP400-AR400-AT400-AV400-AX400-AZ400-BB400-BD400-BF400-BH400-U400</f>
        <v>-0.1000000000003638</v>
      </c>
      <c r="W400" s="22" t="s">
        <v>2009</v>
      </c>
      <c r="X400" s="319" t="s">
        <v>29</v>
      </c>
      <c r="Y400" s="88"/>
      <c r="Z400" s="19">
        <f>2671.3+4210.3</f>
        <v>6881.6</v>
      </c>
      <c r="AA400" s="227">
        <v>45880</v>
      </c>
      <c r="AB400" s="19">
        <f>2929.7+645.7</f>
        <v>3575.3999999999996</v>
      </c>
      <c r="AC400" s="227">
        <v>45882</v>
      </c>
      <c r="AD400" s="19">
        <f>904.7+1941.4</f>
        <v>2846.1000000000004</v>
      </c>
      <c r="AE400" s="227">
        <v>45884</v>
      </c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</row>
    <row r="401" spans="1:67" s="36" customFormat="1" ht="20.25" customHeight="1">
      <c r="A401" s="11">
        <v>45870</v>
      </c>
      <c r="B401" s="16" t="s">
        <v>1985</v>
      </c>
      <c r="C401" s="16" t="s">
        <v>267</v>
      </c>
      <c r="D401" s="16" t="s">
        <v>212</v>
      </c>
      <c r="E401" s="16" t="s">
        <v>25</v>
      </c>
      <c r="F401" s="16" t="s">
        <v>1993</v>
      </c>
      <c r="G401" s="16" t="s">
        <v>71</v>
      </c>
      <c r="H401" s="16" t="s">
        <v>31</v>
      </c>
      <c r="I401" s="16" t="s">
        <v>63</v>
      </c>
      <c r="J401" s="16" t="s">
        <v>27</v>
      </c>
      <c r="K401" s="16" t="s">
        <v>218</v>
      </c>
      <c r="L401" s="16" t="s">
        <v>75</v>
      </c>
      <c r="M401" s="17">
        <v>125</v>
      </c>
      <c r="N401" s="23">
        <v>1.29</v>
      </c>
      <c r="O401" s="16" t="s">
        <v>67</v>
      </c>
      <c r="P401" s="16" t="s">
        <v>63</v>
      </c>
      <c r="Q401" s="16" t="s">
        <v>29</v>
      </c>
      <c r="R401" s="16" t="s">
        <v>1576</v>
      </c>
      <c r="S401" s="12" t="s">
        <v>2001</v>
      </c>
      <c r="T401" s="13">
        <v>45891</v>
      </c>
      <c r="U401" s="19"/>
      <c r="V401" s="53">
        <f>M401-Z401-AB401-AD401-AF401-AH401-AJ401-AL401-AN401-AP401-AR401-AT401-AV401-AX401-AZ401-BB401-BD401-BF401-BH401-U401</f>
        <v>-1.7000000000000028</v>
      </c>
      <c r="W401" s="22" t="s">
        <v>2008</v>
      </c>
      <c r="X401" s="319" t="s">
        <v>594</v>
      </c>
      <c r="Y401" s="88"/>
      <c r="Z401" s="19">
        <v>126.7</v>
      </c>
      <c r="AA401" s="227">
        <v>45890</v>
      </c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</row>
    <row r="402" spans="1:67" s="36" customFormat="1" ht="20.25" customHeight="1">
      <c r="A402" s="11">
        <v>45870</v>
      </c>
      <c r="B402" s="16" t="s">
        <v>1980</v>
      </c>
      <c r="C402" s="16" t="s">
        <v>304</v>
      </c>
      <c r="D402" s="16" t="s">
        <v>212</v>
      </c>
      <c r="E402" s="16" t="s">
        <v>25</v>
      </c>
      <c r="F402" s="16" t="s">
        <v>1988</v>
      </c>
      <c r="G402" s="16" t="s">
        <v>71</v>
      </c>
      <c r="H402" s="16" t="s">
        <v>26</v>
      </c>
      <c r="I402" s="16"/>
      <c r="J402" s="16" t="s">
        <v>27</v>
      </c>
      <c r="K402" s="16" t="s">
        <v>239</v>
      </c>
      <c r="L402" s="16" t="s">
        <v>35</v>
      </c>
      <c r="M402" s="17">
        <v>25</v>
      </c>
      <c r="N402" s="23">
        <v>1.29</v>
      </c>
      <c r="O402" s="16" t="s">
        <v>67</v>
      </c>
      <c r="P402" s="16" t="s">
        <v>63</v>
      </c>
      <c r="Q402" s="16" t="s">
        <v>29</v>
      </c>
      <c r="R402" s="16" t="s">
        <v>1203</v>
      </c>
      <c r="S402" s="12" t="s">
        <v>2001</v>
      </c>
      <c r="T402" s="13">
        <v>45891</v>
      </c>
      <c r="U402" s="19"/>
      <c r="V402" s="53">
        <f>M402-Z402-AB402-AD402-AF402-AH402-AJ402-AL402-AN402-AP402-AR402-AT402-AV402-AX402-AZ402-BB402-BD402-BF402-BH402-U402</f>
        <v>-1.3000000000000007</v>
      </c>
      <c r="W402" s="22" t="s">
        <v>2002</v>
      </c>
      <c r="X402" s="319" t="s">
        <v>511</v>
      </c>
      <c r="Y402" s="88" t="s">
        <v>2375</v>
      </c>
      <c r="Z402" s="19">
        <v>26.3</v>
      </c>
      <c r="AA402" s="8">
        <v>45894</v>
      </c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</row>
    <row r="403" spans="1:67" s="36" customFormat="1" ht="20.25" customHeight="1">
      <c r="A403" s="11">
        <v>45870</v>
      </c>
      <c r="B403" s="16" t="s">
        <v>1987</v>
      </c>
      <c r="C403" s="16" t="s">
        <v>243</v>
      </c>
      <c r="D403" s="16" t="s">
        <v>212</v>
      </c>
      <c r="E403" s="16" t="s">
        <v>25</v>
      </c>
      <c r="F403" s="16" t="s">
        <v>1995</v>
      </c>
      <c r="G403" s="16" t="s">
        <v>71</v>
      </c>
      <c r="H403" s="16" t="s">
        <v>31</v>
      </c>
      <c r="I403" s="16"/>
      <c r="J403" s="16" t="s">
        <v>27</v>
      </c>
      <c r="K403" s="16" t="s">
        <v>913</v>
      </c>
      <c r="L403" s="16" t="s">
        <v>35</v>
      </c>
      <c r="M403" s="17">
        <v>124.4</v>
      </c>
      <c r="N403" s="23">
        <v>1.31</v>
      </c>
      <c r="O403" s="16" t="s">
        <v>1063</v>
      </c>
      <c r="P403" s="16" t="s">
        <v>63</v>
      </c>
      <c r="Q403" s="16" t="s">
        <v>920</v>
      </c>
      <c r="R403" s="16" t="s">
        <v>2000</v>
      </c>
      <c r="S403" s="12" t="s">
        <v>2001</v>
      </c>
      <c r="T403" s="13">
        <v>45891</v>
      </c>
      <c r="U403" s="19"/>
      <c r="V403" s="53">
        <f>M403-Z403-AB403-AD403-AF403-AH403-AJ403-AL403-AN403-AP403-AR403-AT403-AV403-AX403-AZ403-BB403-BD403-BF403-BH403-U403</f>
        <v>0</v>
      </c>
      <c r="W403" s="22" t="s">
        <v>2010</v>
      </c>
      <c r="X403" s="319" t="s">
        <v>29</v>
      </c>
      <c r="Y403" s="88"/>
      <c r="Z403" s="19">
        <v>124.4</v>
      </c>
      <c r="AA403" s="227">
        <v>45894</v>
      </c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</row>
    <row r="404" spans="1:67" s="36" customFormat="1" ht="20.25" customHeight="1">
      <c r="A404" s="11">
        <v>45870</v>
      </c>
      <c r="B404" s="16" t="s">
        <v>1985</v>
      </c>
      <c r="C404" s="16" t="s">
        <v>267</v>
      </c>
      <c r="D404" s="16" t="s">
        <v>212</v>
      </c>
      <c r="E404" s="16" t="s">
        <v>25</v>
      </c>
      <c r="F404" s="16" t="s">
        <v>1993</v>
      </c>
      <c r="G404" s="16" t="s">
        <v>71</v>
      </c>
      <c r="H404" s="16" t="s">
        <v>31</v>
      </c>
      <c r="I404" s="16"/>
      <c r="J404" s="16" t="s">
        <v>27</v>
      </c>
      <c r="K404" s="16" t="s">
        <v>1996</v>
      </c>
      <c r="L404" s="16" t="s">
        <v>35</v>
      </c>
      <c r="M404" s="17">
        <v>50</v>
      </c>
      <c r="N404" s="23">
        <v>1.29</v>
      </c>
      <c r="O404" s="16" t="s">
        <v>67</v>
      </c>
      <c r="P404" s="16" t="s">
        <v>63</v>
      </c>
      <c r="Q404" s="16" t="s">
        <v>29</v>
      </c>
      <c r="R404" s="16" t="s">
        <v>1580</v>
      </c>
      <c r="S404" s="12" t="s">
        <v>2001</v>
      </c>
      <c r="T404" s="13">
        <v>45891</v>
      </c>
      <c r="U404" s="301"/>
      <c r="V404" s="53">
        <f>M404-Z404-AB404-AD404-AF404-AH404-AJ404-AL404-AN404-AP404-AR404-AT404-AV404-AX404-AZ404-BB404-BD404-BF404-BH404-U404</f>
        <v>-4.7999999999999972</v>
      </c>
      <c r="W404" s="22" t="s">
        <v>2007</v>
      </c>
      <c r="X404" s="319" t="s">
        <v>1806</v>
      </c>
      <c r="Y404" s="88"/>
      <c r="Z404" s="301">
        <v>54.8</v>
      </c>
      <c r="AA404" s="227">
        <v>45902</v>
      </c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</row>
    <row r="405" spans="1:67" s="28" customFormat="1" ht="20.25" customHeight="1">
      <c r="A405" s="11">
        <v>45873</v>
      </c>
      <c r="B405" s="16" t="s">
        <v>2018</v>
      </c>
      <c r="C405" s="16" t="s">
        <v>304</v>
      </c>
      <c r="D405" s="16" t="s">
        <v>212</v>
      </c>
      <c r="E405" s="16" t="s">
        <v>25</v>
      </c>
      <c r="F405" s="16" t="s">
        <v>2023</v>
      </c>
      <c r="G405" s="16" t="s">
        <v>71</v>
      </c>
      <c r="H405" s="16" t="s">
        <v>31</v>
      </c>
      <c r="I405" s="16" t="s">
        <v>63</v>
      </c>
      <c r="J405" s="16" t="s">
        <v>27</v>
      </c>
      <c r="K405" s="16" t="s">
        <v>218</v>
      </c>
      <c r="L405" s="16" t="s">
        <v>35</v>
      </c>
      <c r="M405" s="17">
        <v>400</v>
      </c>
      <c r="N405" s="23">
        <v>1.29</v>
      </c>
      <c r="O405" s="16" t="s">
        <v>67</v>
      </c>
      <c r="P405" s="16" t="s">
        <v>63</v>
      </c>
      <c r="Q405" s="16" t="s">
        <v>29</v>
      </c>
      <c r="R405" s="16" t="s">
        <v>29</v>
      </c>
      <c r="S405" s="12" t="s">
        <v>2027</v>
      </c>
      <c r="T405" s="13">
        <v>45894</v>
      </c>
      <c r="U405" s="19"/>
      <c r="V405" s="53">
        <f>M405-Z405-AB405-AD405-AF405-AH405-AJ405-AL405-AN405-AP405-AR405-AT405-AV405-AX405-AZ405-BB405-BD405-BF405-BH405-U405</f>
        <v>-0.10000000000002274</v>
      </c>
      <c r="W405" s="22" t="s">
        <v>2033</v>
      </c>
      <c r="X405" s="319" t="s">
        <v>506</v>
      </c>
      <c r="Y405" s="88" t="s">
        <v>2374</v>
      </c>
      <c r="Z405" s="19">
        <v>400.1</v>
      </c>
      <c r="AA405" s="227">
        <v>45894</v>
      </c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</row>
    <row r="406" spans="1:67" s="28" customFormat="1" ht="20.25" customHeight="1">
      <c r="A406" s="11">
        <v>45873</v>
      </c>
      <c r="B406" s="16" t="s">
        <v>2016</v>
      </c>
      <c r="C406" s="16" t="s">
        <v>228</v>
      </c>
      <c r="D406" s="16" t="s">
        <v>212</v>
      </c>
      <c r="E406" s="16" t="s">
        <v>25</v>
      </c>
      <c r="F406" s="16" t="s">
        <v>2021</v>
      </c>
      <c r="G406" s="16" t="s">
        <v>71</v>
      </c>
      <c r="H406" s="16" t="s">
        <v>31</v>
      </c>
      <c r="I406" s="16"/>
      <c r="J406" s="16" t="s">
        <v>27</v>
      </c>
      <c r="K406" s="16" t="s">
        <v>683</v>
      </c>
      <c r="L406" s="16" t="s">
        <v>35</v>
      </c>
      <c r="M406" s="17">
        <v>20</v>
      </c>
      <c r="N406" s="23">
        <v>1.31</v>
      </c>
      <c r="O406" s="16" t="s">
        <v>1063</v>
      </c>
      <c r="P406" s="16" t="s">
        <v>63</v>
      </c>
      <c r="Q406" s="16" t="s">
        <v>474</v>
      </c>
      <c r="R406" s="16" t="s">
        <v>1351</v>
      </c>
      <c r="S406" s="12" t="s">
        <v>1924</v>
      </c>
      <c r="T406" s="13">
        <v>45891</v>
      </c>
      <c r="U406" s="19"/>
      <c r="V406" s="53">
        <f>M406-Z406-AB406-AD406-AF406-AH406-AJ406-AL406-AN406-AP406-AR406-AT406-AV406-AX406-AZ406-BB406-BD406-BF406-BH406-U406</f>
        <v>-2.8000000000000007</v>
      </c>
      <c r="W406" s="22" t="s">
        <v>2031</v>
      </c>
      <c r="X406" s="319" t="s">
        <v>2034</v>
      </c>
      <c r="Y406" s="88" t="s">
        <v>2061</v>
      </c>
      <c r="Z406" s="19">
        <v>22.8</v>
      </c>
      <c r="AA406" s="227">
        <v>45895</v>
      </c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</row>
    <row r="407" spans="1:67" s="28" customFormat="1" ht="20.25" customHeight="1">
      <c r="A407" s="11">
        <v>45873</v>
      </c>
      <c r="B407" s="16" t="s">
        <v>2017</v>
      </c>
      <c r="C407" s="16" t="s">
        <v>304</v>
      </c>
      <c r="D407" s="16" t="s">
        <v>212</v>
      </c>
      <c r="E407" s="16" t="s">
        <v>25</v>
      </c>
      <c r="F407" s="16" t="s">
        <v>2022</v>
      </c>
      <c r="G407" s="16" t="s">
        <v>71</v>
      </c>
      <c r="H407" s="16" t="s">
        <v>26</v>
      </c>
      <c r="I407" s="16"/>
      <c r="J407" s="16" t="s">
        <v>27</v>
      </c>
      <c r="K407" s="16" t="s">
        <v>683</v>
      </c>
      <c r="L407" s="16" t="s">
        <v>35</v>
      </c>
      <c r="M407" s="17">
        <v>3020</v>
      </c>
      <c r="N407" s="23">
        <v>1.29</v>
      </c>
      <c r="O407" s="16" t="s">
        <v>67</v>
      </c>
      <c r="P407" s="16" t="s">
        <v>63</v>
      </c>
      <c r="Q407" s="16" t="s">
        <v>29</v>
      </c>
      <c r="R407" s="16" t="s">
        <v>810</v>
      </c>
      <c r="S407" s="12" t="s">
        <v>2027</v>
      </c>
      <c r="T407" s="13">
        <v>45894</v>
      </c>
      <c r="U407" s="19"/>
      <c r="V407" s="53">
        <f>M407-Z407-AB407-AD407-AF407-AH407-AJ407-AL407-AN407-AP407-AR407-AT407-AV407-AX407-AZ407-BB407-BD407-BF407-BH407-U407</f>
        <v>-0.1999999999998181</v>
      </c>
      <c r="W407" s="22" t="s">
        <v>2032</v>
      </c>
      <c r="X407" s="319" t="s">
        <v>511</v>
      </c>
      <c r="Y407" s="88"/>
      <c r="Z407" s="19">
        <f>246.3+1254.5+1519.4</f>
        <v>3020.2</v>
      </c>
      <c r="AA407" s="227">
        <v>45894</v>
      </c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</row>
    <row r="408" spans="1:67" s="28" customFormat="1" ht="20.25" customHeight="1">
      <c r="A408" s="11">
        <v>45873</v>
      </c>
      <c r="B408" s="16" t="s">
        <v>2014</v>
      </c>
      <c r="C408" s="16" t="s">
        <v>228</v>
      </c>
      <c r="D408" s="16" t="s">
        <v>212</v>
      </c>
      <c r="E408" s="16" t="s">
        <v>25</v>
      </c>
      <c r="F408" s="16" t="s">
        <v>2019</v>
      </c>
      <c r="G408" s="16" t="s">
        <v>71</v>
      </c>
      <c r="H408" s="16" t="s">
        <v>31</v>
      </c>
      <c r="I408" s="16"/>
      <c r="J408" s="16" t="s">
        <v>27</v>
      </c>
      <c r="K408" s="16" t="s">
        <v>230</v>
      </c>
      <c r="L408" s="16" t="s">
        <v>35</v>
      </c>
      <c r="M408" s="17">
        <v>1930.6</v>
      </c>
      <c r="N408" s="23">
        <v>1.31</v>
      </c>
      <c r="O408" s="16" t="s">
        <v>67</v>
      </c>
      <c r="P408" s="16" t="s">
        <v>63</v>
      </c>
      <c r="Q408" s="16" t="s">
        <v>2024</v>
      </c>
      <c r="R408" s="16" t="s">
        <v>2025</v>
      </c>
      <c r="S408" s="12" t="s">
        <v>2027</v>
      </c>
      <c r="T408" s="13">
        <v>45894</v>
      </c>
      <c r="U408" s="19"/>
      <c r="V408" s="53">
        <f>M408-Z408-AB408-AD408-AF408-AH408-AJ408-AL408-AN408-AP408-AR408-AT408-AV408-AX408-AZ408-BB408-BD408-BF408-BH408-U408</f>
        <v>-0.90000000000014779</v>
      </c>
      <c r="W408" s="22" t="s">
        <v>2028</v>
      </c>
      <c r="X408" s="319" t="s">
        <v>29</v>
      </c>
      <c r="Y408" s="88" t="s">
        <v>2258</v>
      </c>
      <c r="Z408" s="19">
        <v>1515.7</v>
      </c>
      <c r="AA408" s="227">
        <v>45888</v>
      </c>
      <c r="AB408" s="19">
        <v>415.8</v>
      </c>
      <c r="AC408" s="227">
        <v>45902</v>
      </c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</row>
    <row r="409" spans="1:67" s="28" customFormat="1" ht="20.25" customHeight="1">
      <c r="A409" s="11">
        <v>45873</v>
      </c>
      <c r="B409" s="16" t="s">
        <v>2015</v>
      </c>
      <c r="C409" s="16" t="s">
        <v>228</v>
      </c>
      <c r="D409" s="16" t="s">
        <v>212</v>
      </c>
      <c r="E409" s="16" t="s">
        <v>25</v>
      </c>
      <c r="F409" s="16" t="s">
        <v>2020</v>
      </c>
      <c r="G409" s="16" t="s">
        <v>71</v>
      </c>
      <c r="H409" s="16" t="s">
        <v>31</v>
      </c>
      <c r="I409" s="16"/>
      <c r="J409" s="16" t="s">
        <v>27</v>
      </c>
      <c r="K409" s="16" t="s">
        <v>230</v>
      </c>
      <c r="L409" s="16" t="s">
        <v>35</v>
      </c>
      <c r="M409" s="17">
        <v>370.39</v>
      </c>
      <c r="N409" s="23">
        <v>1.31</v>
      </c>
      <c r="O409" s="16" t="s">
        <v>67</v>
      </c>
      <c r="P409" s="16" t="s">
        <v>63</v>
      </c>
      <c r="Q409" s="16" t="s">
        <v>1965</v>
      </c>
      <c r="R409" s="16" t="s">
        <v>1966</v>
      </c>
      <c r="S409" s="12" t="s">
        <v>2027</v>
      </c>
      <c r="T409" s="13">
        <v>45894</v>
      </c>
      <c r="U409" s="19"/>
      <c r="V409" s="53">
        <f>M409-Z409-AB409-AD409-AF409-AH409-AJ409-AL409-AN409-AP409-AR409-AT409-AV409-AX409-AZ409-BB409-BD409-BF409-BH409-U409</f>
        <v>-0.71000000000003638</v>
      </c>
      <c r="W409" s="22" t="s">
        <v>2029</v>
      </c>
      <c r="X409" s="319" t="s">
        <v>29</v>
      </c>
      <c r="Y409" s="88" t="s">
        <v>2258</v>
      </c>
      <c r="Z409" s="19">
        <v>371.1</v>
      </c>
      <c r="AA409" s="227">
        <v>45902</v>
      </c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</row>
    <row r="410" spans="1:67" s="28" customFormat="1" ht="20.25" customHeight="1">
      <c r="A410" s="11">
        <v>45873</v>
      </c>
      <c r="B410" s="16" t="s">
        <v>2016</v>
      </c>
      <c r="C410" s="16" t="s">
        <v>228</v>
      </c>
      <c r="D410" s="16" t="s">
        <v>212</v>
      </c>
      <c r="E410" s="16" t="s">
        <v>25</v>
      </c>
      <c r="F410" s="16" t="s">
        <v>2021</v>
      </c>
      <c r="G410" s="16" t="s">
        <v>71</v>
      </c>
      <c r="H410" s="16" t="s">
        <v>31</v>
      </c>
      <c r="I410" s="16"/>
      <c r="J410" s="16" t="s">
        <v>27</v>
      </c>
      <c r="K410" s="16" t="s">
        <v>1116</v>
      </c>
      <c r="L410" s="16" t="s">
        <v>35</v>
      </c>
      <c r="M410" s="17">
        <v>60</v>
      </c>
      <c r="N410" s="23">
        <v>1.31</v>
      </c>
      <c r="O410" s="16" t="s">
        <v>67</v>
      </c>
      <c r="P410" s="16" t="s">
        <v>63</v>
      </c>
      <c r="Q410" s="16" t="s">
        <v>480</v>
      </c>
      <c r="R410" s="16" t="s">
        <v>2026</v>
      </c>
      <c r="S410" s="12" t="s">
        <v>1924</v>
      </c>
      <c r="T410" s="13">
        <v>45894</v>
      </c>
      <c r="U410" s="19"/>
      <c r="V410" s="53">
        <f>M410-Z410-AB410-AD410-AF410-AH410-AJ410-AL410-AN410-AP410-AR410-AT410-AV410-AX410-AZ410-BB410-BD410-BF410-BH410-U410</f>
        <v>0</v>
      </c>
      <c r="W410" s="22" t="s">
        <v>2030</v>
      </c>
      <c r="X410" s="319" t="s">
        <v>2034</v>
      </c>
      <c r="Y410" s="88" t="s">
        <v>2258</v>
      </c>
      <c r="Z410" s="19">
        <v>60</v>
      </c>
      <c r="AA410" s="227">
        <v>45902</v>
      </c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</row>
    <row r="411" spans="1:67" s="28" customFormat="1" ht="20.25" customHeight="1">
      <c r="A411" s="11">
        <v>45874</v>
      </c>
      <c r="B411" s="16" t="s">
        <v>2036</v>
      </c>
      <c r="C411" s="16" t="s">
        <v>243</v>
      </c>
      <c r="D411" s="16" t="s">
        <v>212</v>
      </c>
      <c r="E411" s="16" t="s">
        <v>25</v>
      </c>
      <c r="F411" s="16" t="s">
        <v>2043</v>
      </c>
      <c r="G411" s="16" t="s">
        <v>71</v>
      </c>
      <c r="H411" s="16" t="s">
        <v>31</v>
      </c>
      <c r="I411" s="16" t="s">
        <v>63</v>
      </c>
      <c r="J411" s="16" t="s">
        <v>27</v>
      </c>
      <c r="K411" s="16" t="s">
        <v>2050</v>
      </c>
      <c r="L411" s="16" t="s">
        <v>75</v>
      </c>
      <c r="M411" s="17">
        <v>160</v>
      </c>
      <c r="N411" s="23">
        <v>1.31</v>
      </c>
      <c r="O411" s="16" t="s">
        <v>67</v>
      </c>
      <c r="P411" s="16" t="s">
        <v>63</v>
      </c>
      <c r="Q411" s="16" t="s">
        <v>920</v>
      </c>
      <c r="R411" s="16" t="s">
        <v>791</v>
      </c>
      <c r="S411" s="12" t="s">
        <v>1800</v>
      </c>
      <c r="T411" s="13">
        <v>45895</v>
      </c>
      <c r="U411" s="19"/>
      <c r="V411" s="53">
        <f>M411-Z411-AB411-AD411-AF411-AH411-AJ411-AL411-AN411-AP411-AR411-AT411-AV411-AX411-AZ411-BB411-BD411-BF411-BH411-U411</f>
        <v>-1.3000000000000114</v>
      </c>
      <c r="W411" s="22" t="s">
        <v>2054</v>
      </c>
      <c r="X411" s="319" t="s">
        <v>29</v>
      </c>
      <c r="Y411" s="88"/>
      <c r="Z411" s="19">
        <v>161.30000000000001</v>
      </c>
      <c r="AA411" s="227">
        <v>45894</v>
      </c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</row>
    <row r="412" spans="1:67" s="28" customFormat="1" ht="20.25" customHeight="1">
      <c r="A412" s="11">
        <v>45874</v>
      </c>
      <c r="B412" s="16" t="s">
        <v>2042</v>
      </c>
      <c r="C412" s="16" t="s">
        <v>1568</v>
      </c>
      <c r="D412" s="16" t="s">
        <v>212</v>
      </c>
      <c r="E412" s="16" t="s">
        <v>25</v>
      </c>
      <c r="F412" s="16" t="s">
        <v>2049</v>
      </c>
      <c r="G412" s="16" t="s">
        <v>71</v>
      </c>
      <c r="H412" s="16" t="s">
        <v>26</v>
      </c>
      <c r="I412" s="16" t="s">
        <v>63</v>
      </c>
      <c r="J412" s="16" t="s">
        <v>27</v>
      </c>
      <c r="K412" s="16" t="s">
        <v>214</v>
      </c>
      <c r="L412" s="16" t="s">
        <v>75</v>
      </c>
      <c r="M412" s="17">
        <v>2859</v>
      </c>
      <c r="N412" s="23">
        <v>1.31</v>
      </c>
      <c r="O412" s="16" t="s">
        <v>1063</v>
      </c>
      <c r="P412" s="16" t="s">
        <v>63</v>
      </c>
      <c r="Q412" s="16" t="s">
        <v>29</v>
      </c>
      <c r="R412" s="16" t="s">
        <v>2052</v>
      </c>
      <c r="S412" s="12" t="s">
        <v>1800</v>
      </c>
      <c r="T412" s="13">
        <v>45895</v>
      </c>
      <c r="U412" s="19"/>
      <c r="V412" s="53">
        <f>M412-Z412-AB412-AD412-AF412-AH412-AJ412-AL412-AN412-AP412-AR412-AT412-AV412-AX412-AZ412-BB412-BD412-BF412-BH412-U412</f>
        <v>-4.4000000000000909</v>
      </c>
      <c r="W412" s="22" t="s">
        <v>2060</v>
      </c>
      <c r="X412" s="319" t="s">
        <v>29</v>
      </c>
      <c r="Y412" s="88"/>
      <c r="Z412" s="19">
        <v>2863.4</v>
      </c>
      <c r="AA412" s="227">
        <v>45889</v>
      </c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</row>
    <row r="413" spans="1:67" s="28" customFormat="1" ht="20.25" customHeight="1">
      <c r="A413" s="11">
        <v>45874</v>
      </c>
      <c r="B413" s="16" t="s">
        <v>2038</v>
      </c>
      <c r="C413" s="16" t="s">
        <v>243</v>
      </c>
      <c r="D413" s="16" t="s">
        <v>212</v>
      </c>
      <c r="E413" s="16" t="s">
        <v>25</v>
      </c>
      <c r="F413" s="16" t="s">
        <v>2045</v>
      </c>
      <c r="G413" s="16" t="s">
        <v>71</v>
      </c>
      <c r="H413" s="16" t="s">
        <v>31</v>
      </c>
      <c r="I413" s="16"/>
      <c r="J413" s="16" t="s">
        <v>27</v>
      </c>
      <c r="K413" s="16" t="s">
        <v>683</v>
      </c>
      <c r="L413" s="16" t="s">
        <v>75</v>
      </c>
      <c r="M413" s="17">
        <v>90.3</v>
      </c>
      <c r="N413" s="23">
        <v>1.31</v>
      </c>
      <c r="O413" s="16" t="s">
        <v>1063</v>
      </c>
      <c r="P413" s="16" t="s">
        <v>63</v>
      </c>
      <c r="Q413" s="16" t="s">
        <v>920</v>
      </c>
      <c r="R413" s="16" t="s">
        <v>2000</v>
      </c>
      <c r="S413" s="12" t="s">
        <v>1800</v>
      </c>
      <c r="T413" s="13">
        <v>45895</v>
      </c>
      <c r="U413" s="19"/>
      <c r="V413" s="53">
        <f>M413-Z413-AB413-AD413-AF413-AH413-AJ413-AL413-AN413-AP413-AR413-AT413-AV413-AX413-AZ413-BB413-BD413-BF413-BH413-U413</f>
        <v>-1</v>
      </c>
      <c r="W413" s="22" t="s">
        <v>2056</v>
      </c>
      <c r="X413" s="319" t="s">
        <v>29</v>
      </c>
      <c r="Y413" s="88"/>
      <c r="Z413" s="19">
        <v>91.3</v>
      </c>
      <c r="AA413" s="227">
        <v>45901</v>
      </c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</row>
    <row r="414" spans="1:67" s="28" customFormat="1" ht="20.25" customHeight="1">
      <c r="A414" s="11">
        <v>45874</v>
      </c>
      <c r="B414" s="16" t="s">
        <v>2039</v>
      </c>
      <c r="C414" s="16" t="s">
        <v>243</v>
      </c>
      <c r="D414" s="16" t="s">
        <v>212</v>
      </c>
      <c r="E414" s="16" t="s">
        <v>25</v>
      </c>
      <c r="F414" s="16" t="s">
        <v>2046</v>
      </c>
      <c r="G414" s="16" t="s">
        <v>71</v>
      </c>
      <c r="H414" s="16" t="s">
        <v>31</v>
      </c>
      <c r="I414" s="16"/>
      <c r="J414" s="16" t="s">
        <v>27</v>
      </c>
      <c r="K414" s="16" t="s">
        <v>1476</v>
      </c>
      <c r="L414" s="16" t="s">
        <v>75</v>
      </c>
      <c r="M414" s="17">
        <v>2263</v>
      </c>
      <c r="N414" s="23">
        <v>1.31</v>
      </c>
      <c r="O414" s="16" t="s">
        <v>1063</v>
      </c>
      <c r="P414" s="16" t="s">
        <v>63</v>
      </c>
      <c r="Q414" s="16" t="s">
        <v>920</v>
      </c>
      <c r="R414" s="16" t="s">
        <v>2000</v>
      </c>
      <c r="S414" s="12" t="s">
        <v>1800</v>
      </c>
      <c r="T414" s="13">
        <v>45895</v>
      </c>
      <c r="U414" s="19"/>
      <c r="V414" s="53">
        <f>M414-Z414-AB414-AD414-AF414-AH414-AJ414-AL414-AN414-AP414-AR414-AT414-AV414-AX414-AZ414-BB414-BD414-BF414-BH414-U414</f>
        <v>-0.1000000000003638</v>
      </c>
      <c r="W414" s="22" t="s">
        <v>2057</v>
      </c>
      <c r="X414" s="319" t="s">
        <v>29</v>
      </c>
      <c r="Y414" s="88"/>
      <c r="Z414" s="19">
        <f>87.3+2175.8</f>
        <v>2263.1000000000004</v>
      </c>
      <c r="AA414" s="227">
        <v>45901</v>
      </c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</row>
    <row r="415" spans="1:67" s="28" customFormat="1" ht="20.25" customHeight="1">
      <c r="A415" s="11">
        <v>45874</v>
      </c>
      <c r="B415" s="16" t="s">
        <v>2041</v>
      </c>
      <c r="C415" s="16" t="s">
        <v>243</v>
      </c>
      <c r="D415" s="16" t="s">
        <v>212</v>
      </c>
      <c r="E415" s="16" t="s">
        <v>25</v>
      </c>
      <c r="F415" s="16" t="s">
        <v>2048</v>
      </c>
      <c r="G415" s="16" t="s">
        <v>71</v>
      </c>
      <c r="H415" s="16" t="s">
        <v>31</v>
      </c>
      <c r="I415" s="16"/>
      <c r="J415" s="16" t="s">
        <v>27</v>
      </c>
      <c r="K415" s="16" t="s">
        <v>537</v>
      </c>
      <c r="L415" s="16" t="s">
        <v>75</v>
      </c>
      <c r="M415" s="17">
        <v>4800</v>
      </c>
      <c r="N415" s="23">
        <v>1.31</v>
      </c>
      <c r="O415" s="16" t="s">
        <v>1063</v>
      </c>
      <c r="P415" s="16" t="s">
        <v>63</v>
      </c>
      <c r="Q415" s="16" t="s">
        <v>920</v>
      </c>
      <c r="R415" s="16" t="s">
        <v>2000</v>
      </c>
      <c r="S415" s="12" t="s">
        <v>1800</v>
      </c>
      <c r="T415" s="13">
        <v>45895</v>
      </c>
      <c r="U415" s="19"/>
      <c r="V415" s="53">
        <f>M415-Z415-AB415-AD415-AF415-AH415-AJ415-AL415-AN415-AP415-AR415-AT415-AV415-AX415-AZ415-BB415-BD415-BF415-BH415-U415</f>
        <v>-2.2000000000003155</v>
      </c>
      <c r="W415" s="22" t="s">
        <v>2059</v>
      </c>
      <c r="X415" s="319" t="s">
        <v>29</v>
      </c>
      <c r="Y415" s="88" t="s">
        <v>2255</v>
      </c>
      <c r="Z415" s="19">
        <v>1197.9000000000001</v>
      </c>
      <c r="AA415" s="227">
        <v>45881</v>
      </c>
      <c r="AB415" s="19">
        <f>820.1+61.1+1134.4</f>
        <v>2015.6000000000001</v>
      </c>
      <c r="AC415" s="227">
        <v>45894</v>
      </c>
      <c r="AD415" s="19">
        <f>633+130.2</f>
        <v>763.2</v>
      </c>
      <c r="AE415" s="227">
        <v>45901</v>
      </c>
      <c r="AF415" s="19">
        <v>714.7</v>
      </c>
      <c r="AG415" s="227">
        <v>45908</v>
      </c>
      <c r="AH415" s="19">
        <v>110.8</v>
      </c>
      <c r="AI415" s="227">
        <v>45917</v>
      </c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</row>
    <row r="416" spans="1:67" s="28" customFormat="1" ht="20.25" customHeight="1">
      <c r="A416" s="11">
        <v>45874</v>
      </c>
      <c r="B416" s="16" t="s">
        <v>2037</v>
      </c>
      <c r="C416" s="16" t="s">
        <v>243</v>
      </c>
      <c r="D416" s="16" t="s">
        <v>212</v>
      </c>
      <c r="E416" s="16" t="s">
        <v>25</v>
      </c>
      <c r="F416" s="16" t="s">
        <v>2044</v>
      </c>
      <c r="G416" s="16" t="s">
        <v>71</v>
      </c>
      <c r="H416" s="16" t="s">
        <v>31</v>
      </c>
      <c r="I416" s="16"/>
      <c r="J416" s="16" t="s">
        <v>27</v>
      </c>
      <c r="K416" s="16" t="s">
        <v>332</v>
      </c>
      <c r="L416" s="16" t="s">
        <v>75</v>
      </c>
      <c r="M416" s="17">
        <v>1403</v>
      </c>
      <c r="N416" s="23">
        <v>1.31</v>
      </c>
      <c r="O416" s="16" t="s">
        <v>67</v>
      </c>
      <c r="P416" s="16" t="s">
        <v>63</v>
      </c>
      <c r="Q416" s="16" t="s">
        <v>29</v>
      </c>
      <c r="R416" s="16" t="s">
        <v>2051</v>
      </c>
      <c r="S416" s="12" t="s">
        <v>1800</v>
      </c>
      <c r="T416" s="13">
        <v>45895</v>
      </c>
      <c r="U416" s="19"/>
      <c r="V416" s="53">
        <f>M416-Z416-AB416-AD416-AF416-AH416-AJ416-AL416-AN416-AP416-AR416-AT416-AV416-AX416-AZ416-BB416-BD416-BF416-BH416-U416</f>
        <v>-2.2000000000000455</v>
      </c>
      <c r="W416" s="22" t="s">
        <v>2055</v>
      </c>
      <c r="X416" s="319" t="s">
        <v>29</v>
      </c>
      <c r="Y416" s="88"/>
      <c r="Z416" s="19">
        <v>1405.2</v>
      </c>
      <c r="AA416" s="227">
        <v>45894</v>
      </c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</row>
    <row r="417" spans="1:67" s="28" customFormat="1" ht="20.25" customHeight="1">
      <c r="A417" s="11">
        <v>45874</v>
      </c>
      <c r="B417" s="16" t="s">
        <v>2040</v>
      </c>
      <c r="C417" s="16" t="s">
        <v>243</v>
      </c>
      <c r="D417" s="16" t="s">
        <v>212</v>
      </c>
      <c r="E417" s="16" t="s">
        <v>25</v>
      </c>
      <c r="F417" s="16" t="s">
        <v>2047</v>
      </c>
      <c r="G417" s="16" t="s">
        <v>71</v>
      </c>
      <c r="H417" s="16" t="s">
        <v>31</v>
      </c>
      <c r="I417" s="16"/>
      <c r="J417" s="16" t="s">
        <v>27</v>
      </c>
      <c r="K417" s="16" t="s">
        <v>340</v>
      </c>
      <c r="L417" s="16" t="s">
        <v>75</v>
      </c>
      <c r="M417" s="17">
        <v>1633</v>
      </c>
      <c r="N417" s="23">
        <v>1.31</v>
      </c>
      <c r="O417" s="16" t="s">
        <v>67</v>
      </c>
      <c r="P417" s="16" t="s">
        <v>63</v>
      </c>
      <c r="Q417" s="16" t="s">
        <v>920</v>
      </c>
      <c r="R417" s="16" t="s">
        <v>2051</v>
      </c>
      <c r="S417" s="12" t="s">
        <v>1800</v>
      </c>
      <c r="T417" s="13">
        <v>45895</v>
      </c>
      <c r="U417" s="19"/>
      <c r="V417" s="53">
        <f>M417-Z417-AB417-AD417-AF417-AH417-AJ417-AL417-AN417-AP417-AR417-AT417-AV417-AX417-AZ417-BB417-BD417-BF417-BH417-U417</f>
        <v>-0.90000000000009095</v>
      </c>
      <c r="W417" s="22" t="s">
        <v>2058</v>
      </c>
      <c r="X417" s="319" t="s">
        <v>29</v>
      </c>
      <c r="Y417" s="88"/>
      <c r="Z417" s="19">
        <v>1633.9</v>
      </c>
      <c r="AA417" s="227">
        <v>45894</v>
      </c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</row>
    <row r="418" spans="1:67" s="28" customFormat="1" ht="20.25" customHeight="1">
      <c r="A418" s="11">
        <v>45876</v>
      </c>
      <c r="B418" s="16" t="s">
        <v>2063</v>
      </c>
      <c r="C418" s="16" t="s">
        <v>298</v>
      </c>
      <c r="D418" s="16" t="s">
        <v>212</v>
      </c>
      <c r="E418" s="19" t="s">
        <v>25</v>
      </c>
      <c r="F418" s="16" t="s">
        <v>2066</v>
      </c>
      <c r="G418" s="16" t="s">
        <v>71</v>
      </c>
      <c r="H418" s="16" t="s">
        <v>31</v>
      </c>
      <c r="I418" s="16"/>
      <c r="J418" s="16" t="s">
        <v>27</v>
      </c>
      <c r="K418" s="16" t="s">
        <v>923</v>
      </c>
      <c r="L418" s="16" t="s">
        <v>75</v>
      </c>
      <c r="M418" s="17">
        <v>3497</v>
      </c>
      <c r="N418" s="23">
        <v>1.31</v>
      </c>
      <c r="O418" s="16" t="s">
        <v>67</v>
      </c>
      <c r="P418" s="16" t="s">
        <v>63</v>
      </c>
      <c r="Q418" s="16" t="s">
        <v>29</v>
      </c>
      <c r="R418" s="16" t="s">
        <v>2070</v>
      </c>
      <c r="S418" s="12" t="s">
        <v>2072</v>
      </c>
      <c r="T418" s="13">
        <v>45897</v>
      </c>
      <c r="U418" s="19"/>
      <c r="V418" s="53">
        <f>M418-Z418-AB418-AD418-AF418-AH418-AJ418-AL418-AN418-AP418-AR418-AT418-AV418-AX418-AZ418-BB418-BD418-BF418-BH418-U418</f>
        <v>0</v>
      </c>
      <c r="W418" s="22" t="s">
        <v>2075</v>
      </c>
      <c r="X418" s="319" t="s">
        <v>29</v>
      </c>
      <c r="Y418" s="88"/>
      <c r="Z418" s="19">
        <f>2060+652.9+784.1</f>
        <v>3497</v>
      </c>
      <c r="AA418" s="227">
        <v>45888</v>
      </c>
      <c r="AB418" s="19"/>
      <c r="AC418" s="227"/>
      <c r="AD418" s="19"/>
      <c r="AE418" s="227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G418" s="29"/>
      <c r="BH418" s="29"/>
      <c r="BI418" s="29"/>
      <c r="BJ418" s="29"/>
      <c r="BK418" s="29"/>
      <c r="BL418" s="29"/>
      <c r="BM418" s="29"/>
      <c r="BN418" s="29"/>
      <c r="BO418" s="29"/>
    </row>
    <row r="419" spans="1:67" s="28" customFormat="1" ht="20.25" customHeight="1">
      <c r="A419" s="11">
        <v>45876</v>
      </c>
      <c r="B419" s="16" t="s">
        <v>2064</v>
      </c>
      <c r="C419" s="16" t="s">
        <v>298</v>
      </c>
      <c r="D419" s="16" t="s">
        <v>212</v>
      </c>
      <c r="E419" s="19" t="s">
        <v>25</v>
      </c>
      <c r="F419" s="16" t="s">
        <v>2067</v>
      </c>
      <c r="G419" s="16" t="s">
        <v>71</v>
      </c>
      <c r="H419" s="16" t="s">
        <v>31</v>
      </c>
      <c r="I419" s="16"/>
      <c r="J419" s="16" t="s">
        <v>27</v>
      </c>
      <c r="K419" s="16" t="s">
        <v>923</v>
      </c>
      <c r="L419" s="16" t="s">
        <v>35</v>
      </c>
      <c r="M419" s="17">
        <v>4958</v>
      </c>
      <c r="N419" s="23">
        <v>1.31</v>
      </c>
      <c r="O419" s="16" t="s">
        <v>67</v>
      </c>
      <c r="P419" s="16" t="s">
        <v>63</v>
      </c>
      <c r="Q419" s="16" t="s">
        <v>29</v>
      </c>
      <c r="R419" s="16" t="s">
        <v>29</v>
      </c>
      <c r="S419" s="12" t="s">
        <v>2072</v>
      </c>
      <c r="T419" s="13">
        <v>45897</v>
      </c>
      <c r="U419" s="19"/>
      <c r="V419" s="53">
        <f>M419-Z419-AB419-AD419-AF419-AH419-AJ419-AL419-AN419-AP419-AR419-AT419-AV419-AX419-AZ419-BB419-BD419-BF419-BH419-U419</f>
        <v>-0.5</v>
      </c>
      <c r="W419" s="22" t="s">
        <v>2076</v>
      </c>
      <c r="X419" s="319" t="s">
        <v>29</v>
      </c>
      <c r="Y419" s="88" t="s">
        <v>2257</v>
      </c>
      <c r="Z419" s="19">
        <v>1277.2</v>
      </c>
      <c r="AA419" s="227">
        <v>45888</v>
      </c>
      <c r="AB419" s="19">
        <f>2005.5+1675.8</f>
        <v>3681.3</v>
      </c>
      <c r="AC419" s="227">
        <v>45895</v>
      </c>
      <c r="AD419" s="19"/>
      <c r="AE419" s="227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G419" s="29"/>
      <c r="BH419" s="29"/>
      <c r="BI419" s="29"/>
      <c r="BJ419" s="29"/>
      <c r="BK419" s="29"/>
      <c r="BL419" s="29"/>
      <c r="BM419" s="29"/>
      <c r="BN419" s="29"/>
      <c r="BO419" s="29"/>
    </row>
    <row r="420" spans="1:67" s="28" customFormat="1" ht="20.25" customHeight="1">
      <c r="A420" s="11">
        <v>45876</v>
      </c>
      <c r="B420" s="16" t="s">
        <v>2065</v>
      </c>
      <c r="C420" s="16" t="s">
        <v>1568</v>
      </c>
      <c r="D420" s="16" t="s">
        <v>212</v>
      </c>
      <c r="E420" s="19" t="s">
        <v>25</v>
      </c>
      <c r="F420" s="16" t="s">
        <v>2069</v>
      </c>
      <c r="G420" s="16" t="s">
        <v>71</v>
      </c>
      <c r="H420" s="16" t="s">
        <v>26</v>
      </c>
      <c r="I420" s="16"/>
      <c r="J420" s="16" t="s">
        <v>27</v>
      </c>
      <c r="K420" s="16" t="s">
        <v>214</v>
      </c>
      <c r="L420" s="16" t="s">
        <v>35</v>
      </c>
      <c r="M420" s="17">
        <v>1244</v>
      </c>
      <c r="N420" s="23">
        <v>1.31</v>
      </c>
      <c r="O420" s="16" t="s">
        <v>1063</v>
      </c>
      <c r="P420" s="16" t="s">
        <v>63</v>
      </c>
      <c r="Q420" s="16" t="s">
        <v>29</v>
      </c>
      <c r="R420" s="16" t="s">
        <v>2052</v>
      </c>
      <c r="S420" s="12" t="s">
        <v>1800</v>
      </c>
      <c r="T420" s="13">
        <v>45897</v>
      </c>
      <c r="U420" s="19"/>
      <c r="V420" s="53">
        <f>M420-Z420-AB420-AD420-AF420-AH420-AJ420-AL420-AN420-AP420-AR420-AT420-AV420-AX420-AZ420-BB420-BD420-BF420-BH420-U420</f>
        <v>-1.3999999999999773</v>
      </c>
      <c r="W420" s="22" t="s">
        <v>2077</v>
      </c>
      <c r="X420" s="319" t="s">
        <v>29</v>
      </c>
      <c r="Y420" s="88"/>
      <c r="Z420" s="19">
        <v>668.6</v>
      </c>
      <c r="AA420" s="227">
        <v>45889</v>
      </c>
      <c r="AB420" s="19">
        <v>576.79999999999995</v>
      </c>
      <c r="AC420" s="227">
        <v>45894</v>
      </c>
      <c r="AD420" s="19"/>
      <c r="AE420" s="227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G420" s="29"/>
      <c r="BH420" s="29"/>
      <c r="BI420" s="29"/>
      <c r="BJ420" s="29"/>
      <c r="BK420" s="29"/>
      <c r="BL420" s="29"/>
      <c r="BM420" s="29"/>
      <c r="BN420" s="29"/>
      <c r="BO420" s="29"/>
    </row>
    <row r="421" spans="1:67" s="28" customFormat="1" ht="20.25" customHeight="1">
      <c r="A421" s="11">
        <v>45877</v>
      </c>
      <c r="B421" s="16" t="s">
        <v>2084</v>
      </c>
      <c r="C421" s="16" t="s">
        <v>228</v>
      </c>
      <c r="D421" s="16" t="s">
        <v>212</v>
      </c>
      <c r="E421" s="19" t="s">
        <v>25</v>
      </c>
      <c r="F421" s="16" t="s">
        <v>2085</v>
      </c>
      <c r="G421" s="16" t="s">
        <v>71</v>
      </c>
      <c r="H421" s="16" t="s">
        <v>31</v>
      </c>
      <c r="I421" s="16"/>
      <c r="J421" s="16" t="s">
        <v>27</v>
      </c>
      <c r="K421" s="16" t="s">
        <v>1116</v>
      </c>
      <c r="L421" s="16" t="s">
        <v>35</v>
      </c>
      <c r="M421" s="17">
        <v>230.9</v>
      </c>
      <c r="N421" s="23">
        <v>1.31</v>
      </c>
      <c r="O421" s="16" t="s">
        <v>67</v>
      </c>
      <c r="P421" s="16"/>
      <c r="Q421" s="16" t="s">
        <v>2086</v>
      </c>
      <c r="R421" s="16" t="s">
        <v>1966</v>
      </c>
      <c r="S421" s="12" t="s">
        <v>1941</v>
      </c>
      <c r="T421" s="13">
        <v>45898</v>
      </c>
      <c r="U421" s="19"/>
      <c r="V421" s="53">
        <f>M421-Z421-AB421-AD421-AF421-AH421-AJ421-AL421-AN421-AP421-AR421-AT421-AV421-AX421-AZ421-BB421-BD421-BF421-BH421-U421</f>
        <v>-2.7999999999999829</v>
      </c>
      <c r="W421" s="22" t="s">
        <v>2087</v>
      </c>
      <c r="X421" s="319"/>
      <c r="Y421" s="88" t="s">
        <v>2258</v>
      </c>
      <c r="Z421" s="19">
        <v>233.7</v>
      </c>
      <c r="AA421" s="227">
        <v>45902</v>
      </c>
      <c r="AB421" s="19"/>
      <c r="AC421" s="227"/>
      <c r="AD421" s="19"/>
      <c r="AE421" s="227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G421" s="29"/>
      <c r="BH421" s="29"/>
      <c r="BI421" s="29"/>
      <c r="BJ421" s="29"/>
      <c r="BK421" s="29"/>
      <c r="BL421" s="29"/>
      <c r="BM421" s="29"/>
      <c r="BN421" s="29"/>
      <c r="BO421" s="29"/>
    </row>
    <row r="422" spans="1:67" s="28" customFormat="1" ht="20.25" customHeight="1">
      <c r="A422" s="11">
        <v>45877</v>
      </c>
      <c r="B422" s="16" t="s">
        <v>2246</v>
      </c>
      <c r="C422" s="16" t="s">
        <v>228</v>
      </c>
      <c r="D422" s="16" t="s">
        <v>212</v>
      </c>
      <c r="E422" s="19" t="s">
        <v>25</v>
      </c>
      <c r="F422" s="16" t="s">
        <v>2068</v>
      </c>
      <c r="G422" s="16" t="s">
        <v>72</v>
      </c>
      <c r="H422" s="16" t="s">
        <v>31</v>
      </c>
      <c r="I422" s="16"/>
      <c r="J422" s="16" t="s">
        <v>27</v>
      </c>
      <c r="K422" s="16" t="s">
        <v>483</v>
      </c>
      <c r="L422" s="16" t="s">
        <v>75</v>
      </c>
      <c r="M422" s="17">
        <v>68.180000000000007</v>
      </c>
      <c r="N422" s="23">
        <v>1.22</v>
      </c>
      <c r="O422" s="16" t="s">
        <v>67</v>
      </c>
      <c r="P422" s="16" t="s">
        <v>29</v>
      </c>
      <c r="Q422" s="16" t="s">
        <v>362</v>
      </c>
      <c r="R422" s="16" t="s">
        <v>2071</v>
      </c>
      <c r="S422" s="12" t="s">
        <v>1800</v>
      </c>
      <c r="T422" s="13">
        <v>45895</v>
      </c>
      <c r="U422" s="19"/>
      <c r="V422" s="53">
        <f>M422-Z422-AB422-AD422-AF422-AH422-AJ422-AL422-AN422-AP422-AR422-AT422-AV422-AX422-AZ422-BB422-BD422-BF422-BH422-U422</f>
        <v>-3.519999999999996</v>
      </c>
      <c r="W422" s="22" t="s">
        <v>2247</v>
      </c>
      <c r="X422" s="88" t="s">
        <v>29</v>
      </c>
      <c r="Y422" s="88"/>
      <c r="Z422" s="19">
        <v>71.7</v>
      </c>
      <c r="AA422" s="227">
        <v>45888</v>
      </c>
      <c r="AB422" s="19"/>
      <c r="AC422" s="227"/>
      <c r="AD422" s="19"/>
      <c r="AE422" s="227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G422" s="29"/>
      <c r="BH422" s="29"/>
      <c r="BI422" s="29"/>
      <c r="BJ422" s="29"/>
      <c r="BK422" s="29"/>
      <c r="BL422" s="29"/>
      <c r="BM422" s="29"/>
      <c r="BN422" s="29"/>
      <c r="BO422" s="29"/>
    </row>
    <row r="423" spans="1:67" s="282" customFormat="1" ht="20.25" customHeight="1">
      <c r="A423" s="11">
        <v>45880</v>
      </c>
      <c r="B423" s="16" t="s">
        <v>2088</v>
      </c>
      <c r="C423" s="16" t="s">
        <v>243</v>
      </c>
      <c r="D423" s="16" t="s">
        <v>212</v>
      </c>
      <c r="E423" s="19" t="s">
        <v>25</v>
      </c>
      <c r="F423" s="16" t="s">
        <v>2094</v>
      </c>
      <c r="G423" s="16" t="s">
        <v>71</v>
      </c>
      <c r="H423" s="16" t="s">
        <v>31</v>
      </c>
      <c r="I423" s="16"/>
      <c r="J423" s="16" t="s">
        <v>27</v>
      </c>
      <c r="K423" s="16" t="s">
        <v>218</v>
      </c>
      <c r="L423" s="16" t="s">
        <v>75</v>
      </c>
      <c r="M423" s="17">
        <v>496.8</v>
      </c>
      <c r="N423" s="23">
        <v>1.31</v>
      </c>
      <c r="O423" s="16" t="s">
        <v>67</v>
      </c>
      <c r="P423" s="16" t="s">
        <v>63</v>
      </c>
      <c r="Q423" s="16" t="s">
        <v>920</v>
      </c>
      <c r="R423" s="16" t="s">
        <v>2000</v>
      </c>
      <c r="S423" s="12" t="s">
        <v>1941</v>
      </c>
      <c r="T423" s="13">
        <v>45898</v>
      </c>
      <c r="U423" s="19"/>
      <c r="V423" s="53">
        <f>M423-Z423-AB423-AD423-AF423-AH423-AJ423-AL423-AN423-AP423-AR423-AT423-AV423-AX423-AZ423-BB423-BD423-BF423-BH423-U423</f>
        <v>-3.6999999999999886</v>
      </c>
      <c r="W423" s="22" t="s">
        <v>2100</v>
      </c>
      <c r="X423" s="319" t="s">
        <v>29</v>
      </c>
      <c r="Y423" s="88"/>
      <c r="Z423" s="19">
        <f>231.8+268.7</f>
        <v>500.5</v>
      </c>
      <c r="AA423" s="227">
        <v>45901</v>
      </c>
      <c r="AB423" s="19"/>
      <c r="AC423" s="227"/>
      <c r="AD423" s="19"/>
      <c r="AE423" s="227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28"/>
      <c r="BG423" s="29"/>
      <c r="BH423" s="29"/>
      <c r="BI423" s="29"/>
      <c r="BJ423" s="29"/>
      <c r="BK423" s="29"/>
      <c r="BL423" s="29"/>
      <c r="BM423" s="29"/>
      <c r="BN423" s="29"/>
      <c r="BO423" s="29"/>
    </row>
    <row r="424" spans="1:67" s="282" customFormat="1" ht="20.25" customHeight="1">
      <c r="A424" s="272">
        <v>45880</v>
      </c>
      <c r="B424" s="273" t="s">
        <v>2089</v>
      </c>
      <c r="C424" s="273" t="s">
        <v>315</v>
      </c>
      <c r="D424" s="273" t="s">
        <v>212</v>
      </c>
      <c r="E424" s="278" t="s">
        <v>25</v>
      </c>
      <c r="F424" s="273" t="s">
        <v>2095</v>
      </c>
      <c r="G424" s="273" t="s">
        <v>71</v>
      </c>
      <c r="H424" s="273" t="s">
        <v>31</v>
      </c>
      <c r="I424" s="273"/>
      <c r="J424" s="273" t="s">
        <v>27</v>
      </c>
      <c r="K424" s="273" t="s">
        <v>214</v>
      </c>
      <c r="L424" s="273" t="s">
        <v>75</v>
      </c>
      <c r="M424" s="274"/>
      <c r="N424" s="275">
        <v>1.31</v>
      </c>
      <c r="O424" s="273" t="s">
        <v>67</v>
      </c>
      <c r="P424" s="273" t="s">
        <v>63</v>
      </c>
      <c r="Q424" s="273" t="s">
        <v>29</v>
      </c>
      <c r="R424" s="273" t="s">
        <v>29</v>
      </c>
      <c r="S424" s="276" t="s">
        <v>2099</v>
      </c>
      <c r="T424" s="277">
        <v>45901</v>
      </c>
      <c r="U424" s="278">
        <f>3178.6+380.6+1516</f>
        <v>5075.2</v>
      </c>
      <c r="V424" s="279">
        <f>M424-Z424-AB424-AD424-AF424-AH424-AJ424-AL424-AN424-AP424-AR424-AT424-AV424-AX424-AZ424-BB424-BD424-BF424-BH424-U424</f>
        <v>-5075.2</v>
      </c>
      <c r="W424" s="280" t="s">
        <v>2101</v>
      </c>
      <c r="X424" s="323" t="s">
        <v>2516</v>
      </c>
      <c r="Y424" s="281"/>
      <c r="Z424" s="278"/>
      <c r="AA424" s="320"/>
      <c r="AB424" s="278"/>
      <c r="AC424" s="320"/>
      <c r="AD424" s="278"/>
      <c r="AE424" s="320"/>
      <c r="AF424" s="281"/>
      <c r="AG424" s="281"/>
      <c r="AH424" s="281"/>
      <c r="AI424" s="281"/>
      <c r="AJ424" s="281"/>
      <c r="AK424" s="281"/>
      <c r="AL424" s="281"/>
      <c r="AM424" s="281"/>
      <c r="AN424" s="281"/>
      <c r="AO424" s="281"/>
      <c r="AP424" s="281"/>
      <c r="AQ424" s="281"/>
      <c r="AR424" s="281"/>
      <c r="AS424" s="281"/>
      <c r="AT424" s="281"/>
      <c r="AU424" s="281"/>
      <c r="AV424" s="281"/>
      <c r="AW424" s="281"/>
      <c r="AX424" s="281"/>
      <c r="AY424" s="281"/>
      <c r="AZ424" s="281"/>
      <c r="BA424" s="281"/>
      <c r="BB424" s="281"/>
      <c r="BC424" s="281"/>
      <c r="BD424" s="281"/>
      <c r="BE424" s="281"/>
      <c r="BG424" s="286"/>
      <c r="BH424" s="286"/>
      <c r="BI424" s="286"/>
      <c r="BJ424" s="286"/>
      <c r="BK424" s="286"/>
      <c r="BL424" s="286"/>
      <c r="BM424" s="286"/>
      <c r="BN424" s="286"/>
      <c r="BO424" s="286"/>
    </row>
    <row r="425" spans="1:67" s="28" customFormat="1" ht="20.25" customHeight="1">
      <c r="A425" s="272">
        <v>45880</v>
      </c>
      <c r="B425" s="273" t="s">
        <v>2090</v>
      </c>
      <c r="C425" s="273" t="s">
        <v>315</v>
      </c>
      <c r="D425" s="273" t="s">
        <v>212</v>
      </c>
      <c r="E425" s="278" t="s">
        <v>25</v>
      </c>
      <c r="F425" s="273" t="s">
        <v>2096</v>
      </c>
      <c r="G425" s="273" t="s">
        <v>71</v>
      </c>
      <c r="H425" s="273" t="s">
        <v>31</v>
      </c>
      <c r="I425" s="273"/>
      <c r="J425" s="273" t="s">
        <v>27</v>
      </c>
      <c r="K425" s="273" t="s">
        <v>1647</v>
      </c>
      <c r="L425" s="273" t="s">
        <v>75</v>
      </c>
      <c r="M425" s="274"/>
      <c r="N425" s="275">
        <v>1.31</v>
      </c>
      <c r="O425" s="273" t="s">
        <v>67</v>
      </c>
      <c r="P425" s="273" t="s">
        <v>63</v>
      </c>
      <c r="Q425" s="273" t="s">
        <v>932</v>
      </c>
      <c r="R425" s="273" t="s">
        <v>525</v>
      </c>
      <c r="S425" s="276" t="s">
        <v>2099</v>
      </c>
      <c r="T425" s="277"/>
      <c r="U425" s="278"/>
      <c r="V425" s="279">
        <f>M425-Z425-AB425-AD425-AF425-AH425-AJ425-AL425-AN425-AP425-AR425-AT425-AV425-AX425-AZ425-BB425-BD425-BF425-BH425-U425</f>
        <v>0</v>
      </c>
      <c r="W425" s="280" t="s">
        <v>2102</v>
      </c>
      <c r="X425" s="281" t="s">
        <v>29</v>
      </c>
      <c r="Y425" s="281" t="s">
        <v>2136</v>
      </c>
      <c r="Z425" s="278"/>
      <c r="AA425" s="320"/>
      <c r="AB425" s="278"/>
      <c r="AC425" s="320"/>
      <c r="AD425" s="278"/>
      <c r="AE425" s="320"/>
      <c r="AF425" s="281"/>
      <c r="AG425" s="281"/>
      <c r="AH425" s="281"/>
      <c r="AI425" s="281"/>
      <c r="AJ425" s="281"/>
      <c r="AK425" s="281"/>
      <c r="AL425" s="281"/>
      <c r="AM425" s="281"/>
      <c r="AN425" s="281"/>
      <c r="AO425" s="281"/>
      <c r="AP425" s="281"/>
      <c r="AQ425" s="281"/>
      <c r="AR425" s="281"/>
      <c r="AS425" s="281"/>
      <c r="AT425" s="281"/>
      <c r="AU425" s="281"/>
      <c r="AV425" s="281"/>
      <c r="AW425" s="281"/>
      <c r="AX425" s="281"/>
      <c r="AY425" s="281"/>
      <c r="AZ425" s="281"/>
      <c r="BA425" s="281"/>
      <c r="BB425" s="281"/>
      <c r="BC425" s="281"/>
      <c r="BD425" s="281"/>
      <c r="BE425" s="281"/>
      <c r="BF425" s="282"/>
      <c r="BG425" s="286"/>
      <c r="BH425" s="286"/>
      <c r="BI425" s="286"/>
      <c r="BJ425" s="286"/>
      <c r="BK425" s="286"/>
      <c r="BL425" s="286"/>
      <c r="BM425" s="286"/>
      <c r="BN425" s="286"/>
      <c r="BO425" s="286"/>
    </row>
    <row r="426" spans="1:67" s="28" customFormat="1" ht="20.25" customHeight="1">
      <c r="A426" s="11">
        <v>45880</v>
      </c>
      <c r="B426" s="16" t="s">
        <v>2091</v>
      </c>
      <c r="C426" s="16" t="s">
        <v>2092</v>
      </c>
      <c r="D426" s="16" t="s">
        <v>212</v>
      </c>
      <c r="E426" s="19" t="s">
        <v>25</v>
      </c>
      <c r="F426" s="16">
        <v>4000002199</v>
      </c>
      <c r="G426" s="16" t="s">
        <v>71</v>
      </c>
      <c r="H426" s="16" t="s">
        <v>26</v>
      </c>
      <c r="I426" s="16"/>
      <c r="J426" s="16" t="s">
        <v>27</v>
      </c>
      <c r="K426" s="16" t="s">
        <v>214</v>
      </c>
      <c r="L426" s="16" t="s">
        <v>35</v>
      </c>
      <c r="M426" s="17">
        <v>208</v>
      </c>
      <c r="N426" s="23">
        <v>1.3</v>
      </c>
      <c r="O426" s="16" t="s">
        <v>1063</v>
      </c>
      <c r="P426" s="16" t="s">
        <v>63</v>
      </c>
      <c r="Q426" s="16" t="s">
        <v>29</v>
      </c>
      <c r="R426" s="16" t="s">
        <v>29</v>
      </c>
      <c r="S426" s="12" t="s">
        <v>2099</v>
      </c>
      <c r="T426" s="13">
        <v>45901</v>
      </c>
      <c r="U426" s="19"/>
      <c r="V426" s="53">
        <f>M426-Z426-AB426-AD426-AF426-AH426-AJ426-AL426-AN426-AP426-AR426-AT426-AV426-AX426-AZ426-BB426-BD426-BF426-BH426-U426</f>
        <v>-2.0999999999999943</v>
      </c>
      <c r="W426" s="22" t="s">
        <v>2103</v>
      </c>
      <c r="X426" s="319" t="s">
        <v>2105</v>
      </c>
      <c r="Y426" s="88"/>
      <c r="Z426" s="19">
        <v>210.1</v>
      </c>
      <c r="AA426" s="227">
        <v>45897</v>
      </c>
      <c r="AB426" s="19"/>
      <c r="AC426" s="227"/>
      <c r="AD426" s="19"/>
      <c r="AE426" s="227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G426" s="29"/>
      <c r="BH426" s="29"/>
      <c r="BI426" s="29"/>
      <c r="BJ426" s="29"/>
      <c r="BK426" s="29"/>
      <c r="BL426" s="29"/>
      <c r="BM426" s="29"/>
      <c r="BN426" s="29"/>
      <c r="BO426" s="29"/>
    </row>
    <row r="427" spans="1:67" s="28" customFormat="1" ht="20.25" customHeight="1">
      <c r="A427" s="11">
        <v>45880</v>
      </c>
      <c r="B427" s="16" t="s">
        <v>2093</v>
      </c>
      <c r="C427" s="16" t="s">
        <v>2092</v>
      </c>
      <c r="D427" s="16" t="s">
        <v>212</v>
      </c>
      <c r="E427" s="19" t="s">
        <v>25</v>
      </c>
      <c r="F427" s="16">
        <v>4000001647</v>
      </c>
      <c r="G427" s="16" t="s">
        <v>71</v>
      </c>
      <c r="H427" s="16" t="s">
        <v>26</v>
      </c>
      <c r="I427" s="16"/>
      <c r="J427" s="16" t="s">
        <v>27</v>
      </c>
      <c r="K427" s="16" t="s">
        <v>214</v>
      </c>
      <c r="L427" s="16" t="s">
        <v>75</v>
      </c>
      <c r="M427" s="17">
        <v>20824</v>
      </c>
      <c r="N427" s="23">
        <v>1.3</v>
      </c>
      <c r="O427" s="16" t="s">
        <v>1063</v>
      </c>
      <c r="P427" s="16" t="s">
        <v>63</v>
      </c>
      <c r="Q427" s="16" t="s">
        <v>29</v>
      </c>
      <c r="R427" s="16" t="s">
        <v>29</v>
      </c>
      <c r="S427" s="12" t="s">
        <v>2099</v>
      </c>
      <c r="T427" s="13">
        <v>45901</v>
      </c>
      <c r="U427" s="19"/>
      <c r="V427" s="53">
        <f>M427-Z427-AB427-AD427-AF427-AH427-AJ427-AL427-AN427-AP427-AR427-AT427-AV427-AX427-AZ427-BB427-BD427-BF427-BH427-U427</f>
        <v>-0.5</v>
      </c>
      <c r="W427" s="22" t="s">
        <v>2104</v>
      </c>
      <c r="X427" s="319" t="s">
        <v>2105</v>
      </c>
      <c r="Y427" s="88"/>
      <c r="Z427" s="19">
        <f>2722.3+2567.9+4318.2+497+4689.3+4850+1179.8</f>
        <v>20824.5</v>
      </c>
      <c r="AA427" s="227">
        <v>45897</v>
      </c>
      <c r="AB427" s="19"/>
      <c r="AC427" s="227"/>
      <c r="AD427" s="19"/>
      <c r="AE427" s="227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G427" s="29"/>
      <c r="BH427" s="29"/>
      <c r="BI427" s="29"/>
      <c r="BJ427" s="29"/>
      <c r="BK427" s="29"/>
      <c r="BL427" s="29"/>
      <c r="BM427" s="29"/>
      <c r="BN427" s="29"/>
      <c r="BO427" s="29"/>
    </row>
    <row r="428" spans="1:67" s="36" customFormat="1" ht="20.25" customHeight="1">
      <c r="A428" s="11">
        <v>45881</v>
      </c>
      <c r="B428" s="16" t="s">
        <v>2113</v>
      </c>
      <c r="C428" s="16" t="s">
        <v>243</v>
      </c>
      <c r="D428" s="19" t="s">
        <v>212</v>
      </c>
      <c r="E428" s="19" t="s">
        <v>25</v>
      </c>
      <c r="F428" s="16" t="s">
        <v>2118</v>
      </c>
      <c r="G428" s="16" t="s">
        <v>1714</v>
      </c>
      <c r="H428" s="16" t="s">
        <v>31</v>
      </c>
      <c r="I428" s="16"/>
      <c r="J428" s="16" t="s">
        <v>27</v>
      </c>
      <c r="K428" s="16" t="s">
        <v>487</v>
      </c>
      <c r="L428" s="16" t="s">
        <v>75</v>
      </c>
      <c r="M428" s="17">
        <v>50</v>
      </c>
      <c r="N428" s="23">
        <v>1.31</v>
      </c>
      <c r="O428" s="16" t="s">
        <v>67</v>
      </c>
      <c r="P428" s="16" t="s">
        <v>63</v>
      </c>
      <c r="Q428" s="16" t="s">
        <v>2124</v>
      </c>
      <c r="R428" s="16" t="s">
        <v>1295</v>
      </c>
      <c r="S428" s="12" t="s">
        <v>2053</v>
      </c>
      <c r="T428" s="13">
        <v>45902</v>
      </c>
      <c r="U428" s="19"/>
      <c r="V428" s="53">
        <f>M428-Z428-AB428-AD428-AF428-AH428-AJ428-AL428-AN428-AP428-AR428-AT428-AV428-AX428-AZ428-BB428-BD428-BF428-BH428-U428</f>
        <v>-0.79999999999999716</v>
      </c>
      <c r="W428" s="22" t="s">
        <v>2130</v>
      </c>
      <c r="X428" s="319" t="s">
        <v>29</v>
      </c>
      <c r="Y428" s="88"/>
      <c r="Z428" s="19">
        <v>50.8</v>
      </c>
      <c r="AA428" s="227">
        <v>45894</v>
      </c>
      <c r="AB428" s="19"/>
      <c r="AC428" s="227"/>
      <c r="AD428" s="19"/>
      <c r="AE428" s="227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28"/>
      <c r="BG428" s="29"/>
      <c r="BH428" s="29"/>
      <c r="BI428" s="29"/>
      <c r="BJ428" s="29"/>
      <c r="BK428" s="29"/>
      <c r="BL428" s="29"/>
      <c r="BM428" s="29"/>
      <c r="BN428" s="29"/>
      <c r="BO428" s="29"/>
    </row>
    <row r="429" spans="1:67" s="36" customFormat="1" ht="20.25" customHeight="1">
      <c r="A429" s="7">
        <v>45881</v>
      </c>
      <c r="B429" s="19" t="s">
        <v>2114</v>
      </c>
      <c r="C429" s="19" t="s">
        <v>243</v>
      </c>
      <c r="D429" s="19" t="s">
        <v>212</v>
      </c>
      <c r="E429" s="19" t="s">
        <v>25</v>
      </c>
      <c r="F429" s="19" t="s">
        <v>2119</v>
      </c>
      <c r="G429" s="19" t="s">
        <v>71</v>
      </c>
      <c r="H429" s="19" t="s">
        <v>31</v>
      </c>
      <c r="I429" s="19"/>
      <c r="J429" s="19" t="s">
        <v>27</v>
      </c>
      <c r="K429" s="19" t="s">
        <v>2123</v>
      </c>
      <c r="L429" s="19" t="s">
        <v>75</v>
      </c>
      <c r="M429" s="20">
        <v>100</v>
      </c>
      <c r="N429" s="25">
        <v>1.31</v>
      </c>
      <c r="O429" s="19" t="s">
        <v>67</v>
      </c>
      <c r="P429" s="19" t="s">
        <v>63</v>
      </c>
      <c r="Q429" s="19" t="s">
        <v>1286</v>
      </c>
      <c r="R429" s="19" t="s">
        <v>2125</v>
      </c>
      <c r="S429" s="45" t="s">
        <v>2053</v>
      </c>
      <c r="T429" s="8">
        <v>45902</v>
      </c>
      <c r="U429" s="19"/>
      <c r="V429" s="55">
        <f>M429-Z429-AB429-AD429-AF429-AH429-AJ429-AL429-AN429-AP429-AR429-AT429-AV429-AX429-AZ429-BB429-BD429-BF429-BH429-U429</f>
        <v>-0.80000000000000426</v>
      </c>
      <c r="W429" s="15" t="s">
        <v>2131</v>
      </c>
      <c r="X429" s="143" t="s">
        <v>29</v>
      </c>
      <c r="Y429" s="46" t="s">
        <v>2254</v>
      </c>
      <c r="Z429" s="19">
        <v>59.2</v>
      </c>
      <c r="AA429" s="138">
        <v>45894</v>
      </c>
      <c r="AB429" s="19">
        <v>41.6</v>
      </c>
      <c r="AC429" s="138">
        <v>45908</v>
      </c>
      <c r="AD429" s="19"/>
      <c r="AE429" s="138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</row>
    <row r="430" spans="1:67" s="28" customFormat="1" ht="20.25" customHeight="1">
      <c r="A430" s="7">
        <v>45881</v>
      </c>
      <c r="B430" s="19" t="s">
        <v>2115</v>
      </c>
      <c r="C430" s="19" t="s">
        <v>243</v>
      </c>
      <c r="D430" s="19" t="s">
        <v>212</v>
      </c>
      <c r="E430" s="19" t="s">
        <v>25</v>
      </c>
      <c r="F430" s="19" t="s">
        <v>2120</v>
      </c>
      <c r="G430" s="19" t="s">
        <v>71</v>
      </c>
      <c r="H430" s="19" t="s">
        <v>31</v>
      </c>
      <c r="I430" s="19"/>
      <c r="J430" s="19" t="s">
        <v>27</v>
      </c>
      <c r="K430" s="19" t="s">
        <v>2123</v>
      </c>
      <c r="L430" s="19" t="s">
        <v>75</v>
      </c>
      <c r="M430" s="20">
        <v>160</v>
      </c>
      <c r="N430" s="25">
        <v>1.31</v>
      </c>
      <c r="O430" s="19" t="s">
        <v>67</v>
      </c>
      <c r="P430" s="19" t="s">
        <v>63</v>
      </c>
      <c r="Q430" s="19" t="s">
        <v>2126</v>
      </c>
      <c r="R430" s="19" t="s">
        <v>2127</v>
      </c>
      <c r="S430" s="45" t="s">
        <v>2053</v>
      </c>
      <c r="T430" s="8">
        <v>45902</v>
      </c>
      <c r="U430" s="19"/>
      <c r="V430" s="55">
        <f>M430-Z430-AB430-AD430-AF430-AH430-AJ430-AL430-AN430-AP430-AR430-AT430-AV430-AX430-AZ430-BB430-BD430-BF430-BH430-U430</f>
        <v>-1.3000000000000114</v>
      </c>
      <c r="W430" s="15" t="s">
        <v>2132</v>
      </c>
      <c r="X430" s="143" t="s">
        <v>29</v>
      </c>
      <c r="Y430" s="46" t="s">
        <v>2254</v>
      </c>
      <c r="Z430" s="19">
        <v>161.30000000000001</v>
      </c>
      <c r="AA430" s="138">
        <v>45908</v>
      </c>
      <c r="AB430" s="19"/>
      <c r="AC430" s="138"/>
      <c r="AD430" s="19"/>
      <c r="AE430" s="138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</row>
    <row r="431" spans="1:67" s="28" customFormat="1" ht="20.25" customHeight="1">
      <c r="A431" s="11">
        <v>45881</v>
      </c>
      <c r="B431" s="16" t="s">
        <v>2116</v>
      </c>
      <c r="C431" s="16" t="s">
        <v>243</v>
      </c>
      <c r="D431" s="19" t="s">
        <v>212</v>
      </c>
      <c r="E431" s="19" t="s">
        <v>25</v>
      </c>
      <c r="F431" s="16" t="s">
        <v>2121</v>
      </c>
      <c r="G431" s="16" t="s">
        <v>1714</v>
      </c>
      <c r="H431" s="16" t="s">
        <v>31</v>
      </c>
      <c r="I431" s="16"/>
      <c r="J431" s="16" t="s">
        <v>27</v>
      </c>
      <c r="K431" s="16" t="s">
        <v>2123</v>
      </c>
      <c r="L431" s="16" t="s">
        <v>75</v>
      </c>
      <c r="M431" s="17">
        <v>20</v>
      </c>
      <c r="N431" s="23">
        <v>1.31</v>
      </c>
      <c r="O431" s="16" t="s">
        <v>67</v>
      </c>
      <c r="P431" s="16" t="s">
        <v>63</v>
      </c>
      <c r="Q431" s="16" t="s">
        <v>2128</v>
      </c>
      <c r="R431" s="16" t="s">
        <v>2129</v>
      </c>
      <c r="S431" s="12" t="s">
        <v>2053</v>
      </c>
      <c r="T431" s="13">
        <v>45902</v>
      </c>
      <c r="U431" s="19"/>
      <c r="V431" s="53">
        <f>M431-Z431-AB431-AD431-AF431-AH431-AJ431-AL431-AN431-AP431-AR431-AT431-AV431-AX431-AZ431-BB431-BD431-BF431-BH431-U431</f>
        <v>-1.6000000000000014</v>
      </c>
      <c r="W431" s="22" t="s">
        <v>2133</v>
      </c>
      <c r="X431" s="319" t="s">
        <v>29</v>
      </c>
      <c r="Y431" s="88" t="s">
        <v>2254</v>
      </c>
      <c r="Z431" s="19">
        <v>21.6</v>
      </c>
      <c r="AA431" s="227">
        <v>45894</v>
      </c>
      <c r="AB431" s="19"/>
      <c r="AC431" s="227"/>
      <c r="AD431" s="19"/>
      <c r="AE431" s="227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G431" s="29"/>
      <c r="BH431" s="29"/>
      <c r="BI431" s="29"/>
      <c r="BJ431" s="29"/>
      <c r="BK431" s="29"/>
      <c r="BL431" s="29"/>
      <c r="BM431" s="29"/>
      <c r="BN431" s="29"/>
      <c r="BO431" s="29"/>
    </row>
    <row r="432" spans="1:67" s="28" customFormat="1" ht="20.25" customHeight="1">
      <c r="A432" s="11">
        <v>45881</v>
      </c>
      <c r="B432" s="16" t="s">
        <v>2117</v>
      </c>
      <c r="C432" s="16" t="s">
        <v>228</v>
      </c>
      <c r="D432" s="19" t="s">
        <v>212</v>
      </c>
      <c r="E432" s="19" t="s">
        <v>25</v>
      </c>
      <c r="F432" s="16" t="s">
        <v>2122</v>
      </c>
      <c r="G432" s="16" t="s">
        <v>71</v>
      </c>
      <c r="H432" s="16" t="s">
        <v>31</v>
      </c>
      <c r="I432" s="16"/>
      <c r="J432" s="16" t="s">
        <v>27</v>
      </c>
      <c r="K432" s="16" t="s">
        <v>1116</v>
      </c>
      <c r="L432" s="16" t="s">
        <v>75</v>
      </c>
      <c r="M432" s="17">
        <v>50</v>
      </c>
      <c r="N432" s="23">
        <v>1.31</v>
      </c>
      <c r="O432" s="16" t="s">
        <v>67</v>
      </c>
      <c r="P432" s="16" t="s">
        <v>63</v>
      </c>
      <c r="Q432" s="16" t="s">
        <v>29</v>
      </c>
      <c r="R432" s="16" t="s">
        <v>1966</v>
      </c>
      <c r="S432" s="12" t="s">
        <v>2053</v>
      </c>
      <c r="T432" s="13">
        <v>45902</v>
      </c>
      <c r="U432" s="19"/>
      <c r="V432" s="53">
        <f>M432-Z432-AB432-AD432-AF432-AH432-AJ432-AL432-AN432-AP432-AR432-AT432-AV432-AX432-AZ432-BB432-BD432-BF432-BH432-U432</f>
        <v>-3.3999999999999986</v>
      </c>
      <c r="W432" s="22" t="s">
        <v>2134</v>
      </c>
      <c r="X432" s="319" t="s">
        <v>29</v>
      </c>
      <c r="Y432" s="88" t="s">
        <v>2258</v>
      </c>
      <c r="Z432" s="19">
        <v>53.4</v>
      </c>
      <c r="AA432" s="227">
        <v>45902</v>
      </c>
      <c r="AB432" s="19"/>
      <c r="AC432" s="227"/>
      <c r="AD432" s="19"/>
      <c r="AE432" s="227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G432" s="29"/>
      <c r="BH432" s="29"/>
      <c r="BI432" s="29"/>
      <c r="BJ432" s="29"/>
      <c r="BK432" s="29"/>
      <c r="BL432" s="29"/>
      <c r="BM432" s="29"/>
      <c r="BN432" s="29"/>
      <c r="BO432" s="29"/>
    </row>
    <row r="433" spans="1:67" s="28" customFormat="1" ht="20.25" customHeight="1">
      <c r="A433" s="11">
        <v>45881</v>
      </c>
      <c r="B433" s="16" t="s">
        <v>2117</v>
      </c>
      <c r="C433" s="16" t="s">
        <v>228</v>
      </c>
      <c r="D433" s="19" t="s">
        <v>212</v>
      </c>
      <c r="E433" s="19" t="s">
        <v>25</v>
      </c>
      <c r="F433" s="16" t="s">
        <v>2122</v>
      </c>
      <c r="G433" s="16" t="s">
        <v>71</v>
      </c>
      <c r="H433" s="16" t="s">
        <v>31</v>
      </c>
      <c r="I433" s="16"/>
      <c r="J433" s="16" t="s">
        <v>27</v>
      </c>
      <c r="K433" s="16" t="s">
        <v>218</v>
      </c>
      <c r="L433" s="16" t="s">
        <v>75</v>
      </c>
      <c r="M433" s="17">
        <v>50</v>
      </c>
      <c r="N433" s="23">
        <v>1.31</v>
      </c>
      <c r="O433" s="16" t="s">
        <v>67</v>
      </c>
      <c r="P433" s="16" t="s">
        <v>63</v>
      </c>
      <c r="Q433" s="16" t="s">
        <v>29</v>
      </c>
      <c r="R433" s="16" t="s">
        <v>1351</v>
      </c>
      <c r="S433" s="12" t="s">
        <v>2053</v>
      </c>
      <c r="T433" s="13">
        <v>45902</v>
      </c>
      <c r="U433" s="19"/>
      <c r="V433" s="53">
        <f>M433-Z433-AB433-AD433-AF433-AH433-AJ433-AL433-AN433-AP433-AR433-AT433-AV433-AX433-AZ433-BB433-BD433-BF433-BH433-U433</f>
        <v>-4.2999999999999972</v>
      </c>
      <c r="W433" s="22" t="s">
        <v>2135</v>
      </c>
      <c r="X433" s="319" t="s">
        <v>29</v>
      </c>
      <c r="Y433" s="88"/>
      <c r="Z433" s="19">
        <v>54.3</v>
      </c>
      <c r="AA433" s="227">
        <v>45895</v>
      </c>
      <c r="AB433" s="19"/>
      <c r="AC433" s="227"/>
      <c r="AD433" s="19"/>
      <c r="AE433" s="227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G433" s="29"/>
      <c r="BH433" s="29"/>
      <c r="BI433" s="29"/>
      <c r="BJ433" s="29"/>
      <c r="BK433" s="29"/>
      <c r="BL433" s="29"/>
      <c r="BM433" s="29"/>
      <c r="BN433" s="29"/>
      <c r="BO433" s="29"/>
    </row>
    <row r="434" spans="1:67" s="36" customFormat="1" ht="20.25" customHeight="1">
      <c r="A434" s="11">
        <v>45881</v>
      </c>
      <c r="B434" s="16" t="s">
        <v>2137</v>
      </c>
      <c r="C434" s="16" t="s">
        <v>243</v>
      </c>
      <c r="D434" s="19" t="s">
        <v>212</v>
      </c>
      <c r="E434" s="19" t="s">
        <v>25</v>
      </c>
      <c r="F434" s="16" t="s">
        <v>2096</v>
      </c>
      <c r="G434" s="16" t="s">
        <v>71</v>
      </c>
      <c r="H434" s="16" t="s">
        <v>31</v>
      </c>
      <c r="I434" s="16"/>
      <c r="J434" s="16" t="s">
        <v>27</v>
      </c>
      <c r="K434" s="16" t="s">
        <v>2138</v>
      </c>
      <c r="L434" s="16" t="s">
        <v>75</v>
      </c>
      <c r="M434" s="17">
        <v>30</v>
      </c>
      <c r="N434" s="23">
        <v>1.31</v>
      </c>
      <c r="O434" s="16" t="s">
        <v>67</v>
      </c>
      <c r="P434" s="16" t="s">
        <v>63</v>
      </c>
      <c r="Q434" s="16" t="s">
        <v>932</v>
      </c>
      <c r="R434" s="16" t="s">
        <v>525</v>
      </c>
      <c r="S434" s="12" t="s">
        <v>2053</v>
      </c>
      <c r="T434" s="13">
        <v>45902</v>
      </c>
      <c r="U434" s="19"/>
      <c r="V434" s="53">
        <f>M434-Z434-AB434-AD434-AF434-AH434-AJ434-AL434-AN434-AP434-AR434-AT434-AV434-AX434-AZ434-BB434-BD434-BF434-BH434-U434</f>
        <v>0</v>
      </c>
      <c r="W434" s="22" t="s">
        <v>2139</v>
      </c>
      <c r="X434" s="319"/>
      <c r="Y434" s="88"/>
      <c r="Z434" s="19">
        <v>30</v>
      </c>
      <c r="AA434" s="227">
        <v>45894</v>
      </c>
      <c r="AB434" s="19"/>
      <c r="AC434" s="227"/>
      <c r="AD434" s="19"/>
      <c r="AE434" s="227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28"/>
      <c r="BG434" s="29"/>
      <c r="BH434" s="29"/>
      <c r="BI434" s="29"/>
      <c r="BJ434" s="29"/>
      <c r="BK434" s="29"/>
      <c r="BL434" s="29"/>
      <c r="BM434" s="29"/>
      <c r="BN434" s="29"/>
      <c r="BO434" s="29"/>
    </row>
    <row r="435" spans="1:67" s="28" customFormat="1" ht="20.25" customHeight="1">
      <c r="A435" s="11">
        <v>45882</v>
      </c>
      <c r="B435" s="16" t="s">
        <v>2140</v>
      </c>
      <c r="C435" s="16" t="s">
        <v>267</v>
      </c>
      <c r="D435" s="19" t="s">
        <v>212</v>
      </c>
      <c r="E435" s="19" t="s">
        <v>25</v>
      </c>
      <c r="F435" s="16" t="s">
        <v>2142</v>
      </c>
      <c r="G435" s="16" t="s">
        <v>71</v>
      </c>
      <c r="H435" s="16" t="s">
        <v>31</v>
      </c>
      <c r="I435" s="16"/>
      <c r="J435" s="16" t="s">
        <v>27</v>
      </c>
      <c r="K435" s="16" t="s">
        <v>2144</v>
      </c>
      <c r="L435" s="16" t="s">
        <v>75</v>
      </c>
      <c r="M435" s="17">
        <v>50</v>
      </c>
      <c r="N435" s="23">
        <v>1.29</v>
      </c>
      <c r="O435" s="16" t="s">
        <v>67</v>
      </c>
      <c r="P435" s="16" t="s">
        <v>63</v>
      </c>
      <c r="Q435" s="16" t="s">
        <v>29</v>
      </c>
      <c r="R435" s="16" t="s">
        <v>1580</v>
      </c>
      <c r="S435" s="12" t="s">
        <v>2145</v>
      </c>
      <c r="T435" s="13">
        <v>45903</v>
      </c>
      <c r="U435" s="19"/>
      <c r="V435" s="53">
        <f>M435-Z435-AB435-AD435-AF435-AH435-AJ435-AL435-AN435-AP435-AR435-AT435-AV435-AX435-AZ435-BB435-BD435-BF435-BH435-U435</f>
        <v>-2</v>
      </c>
      <c r="W435" s="22" t="s">
        <v>2146</v>
      </c>
      <c r="X435" s="319" t="s">
        <v>1806</v>
      </c>
      <c r="Y435" s="88"/>
      <c r="Z435" s="19">
        <v>52</v>
      </c>
      <c r="AA435" s="227">
        <v>45890</v>
      </c>
      <c r="AB435" s="19"/>
      <c r="AC435" s="227"/>
      <c r="AD435" s="19"/>
      <c r="AE435" s="227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G435" s="29"/>
      <c r="BH435" s="29"/>
      <c r="BI435" s="29"/>
      <c r="BJ435" s="29"/>
      <c r="BK435" s="29"/>
      <c r="BL435" s="29"/>
      <c r="BM435" s="29"/>
      <c r="BN435" s="29"/>
      <c r="BO435" s="29"/>
    </row>
    <row r="436" spans="1:67" s="28" customFormat="1" ht="20.25" customHeight="1">
      <c r="A436" s="11">
        <v>45882</v>
      </c>
      <c r="B436" s="16" t="s">
        <v>2141</v>
      </c>
      <c r="C436" s="16" t="s">
        <v>1568</v>
      </c>
      <c r="D436" s="19" t="s">
        <v>212</v>
      </c>
      <c r="E436" s="19" t="s">
        <v>25</v>
      </c>
      <c r="F436" s="16" t="s">
        <v>2143</v>
      </c>
      <c r="G436" s="16" t="s">
        <v>71</v>
      </c>
      <c r="H436" s="16" t="s">
        <v>26</v>
      </c>
      <c r="I436" s="16"/>
      <c r="J436" s="16" t="s">
        <v>27</v>
      </c>
      <c r="K436" s="16" t="s">
        <v>214</v>
      </c>
      <c r="L436" s="16" t="s">
        <v>35</v>
      </c>
      <c r="M436" s="17">
        <v>1282</v>
      </c>
      <c r="N436" s="23">
        <v>1.31</v>
      </c>
      <c r="O436" s="16" t="s">
        <v>1063</v>
      </c>
      <c r="P436" s="16" t="s">
        <v>63</v>
      </c>
      <c r="Q436" s="16" t="s">
        <v>29</v>
      </c>
      <c r="R436" s="16" t="s">
        <v>2052</v>
      </c>
      <c r="S436" s="12" t="s">
        <v>2145</v>
      </c>
      <c r="T436" s="13">
        <v>45903</v>
      </c>
      <c r="U436" s="19"/>
      <c r="V436" s="53">
        <f>M436-Z436-AB436-AD436-AF436-AH436-AJ436-AL436-AN436-AP436-AR436-AT436-AV436-AX436-AZ436-BB436-BD436-BF436-BH436-U436</f>
        <v>-1.5</v>
      </c>
      <c r="W436" s="22" t="s">
        <v>2147</v>
      </c>
      <c r="X436" s="319" t="s">
        <v>29</v>
      </c>
      <c r="Y436" s="88"/>
      <c r="Z436" s="19">
        <v>36.700000000000003</v>
      </c>
      <c r="AA436" s="227">
        <v>45888</v>
      </c>
      <c r="AB436" s="19">
        <v>1246.8</v>
      </c>
      <c r="AC436" s="227">
        <v>45895</v>
      </c>
      <c r="AD436" s="19"/>
      <c r="AE436" s="227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G436" s="29"/>
      <c r="BH436" s="29"/>
      <c r="BI436" s="29"/>
      <c r="BJ436" s="29"/>
      <c r="BK436" s="29"/>
      <c r="BL436" s="29"/>
      <c r="BM436" s="29"/>
      <c r="BN436" s="29"/>
      <c r="BO436" s="29"/>
    </row>
    <row r="437" spans="1:67" s="36" customFormat="1" ht="20.25" customHeight="1">
      <c r="A437" s="7">
        <v>45883</v>
      </c>
      <c r="B437" s="19" t="s">
        <v>2148</v>
      </c>
      <c r="C437" s="19" t="s">
        <v>243</v>
      </c>
      <c r="D437" s="19" t="s">
        <v>212</v>
      </c>
      <c r="E437" s="19" t="s">
        <v>25</v>
      </c>
      <c r="F437" s="19" t="s">
        <v>2165</v>
      </c>
      <c r="G437" s="19" t="s">
        <v>71</v>
      </c>
      <c r="H437" s="19" t="s">
        <v>31</v>
      </c>
      <c r="I437" s="19"/>
      <c r="J437" s="19" t="s">
        <v>27</v>
      </c>
      <c r="K437" s="19" t="s">
        <v>2182</v>
      </c>
      <c r="L437" s="19" t="s">
        <v>75</v>
      </c>
      <c r="M437" s="20">
        <v>2200.6999999999998</v>
      </c>
      <c r="N437" s="25">
        <v>1.31</v>
      </c>
      <c r="O437" s="19" t="s">
        <v>67</v>
      </c>
      <c r="P437" s="19" t="s">
        <v>63</v>
      </c>
      <c r="Q437" s="19" t="s">
        <v>920</v>
      </c>
      <c r="R437" s="19" t="s">
        <v>2051</v>
      </c>
      <c r="S437" s="45" t="s">
        <v>2053</v>
      </c>
      <c r="T437" s="8">
        <v>45902</v>
      </c>
      <c r="U437" s="19"/>
      <c r="V437" s="55">
        <f>M437-Z437-AB437-AD437-AF437-AH437-AJ437-AL437-AN437-AP437-AR437-AT437-AV437-AX437-AZ437-BB437-BD437-BF437-BH437-U437</f>
        <v>-0.90000000000013358</v>
      </c>
      <c r="W437" s="15" t="s">
        <v>2191</v>
      </c>
      <c r="X437" s="143"/>
      <c r="Y437" s="46" t="s">
        <v>2259</v>
      </c>
      <c r="Z437" s="19">
        <v>1142.0999999999999</v>
      </c>
      <c r="AA437" s="138">
        <v>45894</v>
      </c>
      <c r="AB437" s="19">
        <v>968.2</v>
      </c>
      <c r="AC437" s="138">
        <v>45901</v>
      </c>
      <c r="AD437" s="19">
        <v>91.3</v>
      </c>
      <c r="AE437" s="138">
        <v>45908</v>
      </c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</row>
    <row r="438" spans="1:67" s="36" customFormat="1" ht="20.25" customHeight="1">
      <c r="A438" s="7">
        <v>45883</v>
      </c>
      <c r="B438" s="19" t="s">
        <v>2149</v>
      </c>
      <c r="C438" s="19" t="s">
        <v>243</v>
      </c>
      <c r="D438" s="19" t="s">
        <v>212</v>
      </c>
      <c r="E438" s="19" t="s">
        <v>25</v>
      </c>
      <c r="F438" s="19" t="s">
        <v>2166</v>
      </c>
      <c r="G438" s="19" t="s">
        <v>71</v>
      </c>
      <c r="H438" s="19" t="s">
        <v>31</v>
      </c>
      <c r="I438" s="19"/>
      <c r="J438" s="19" t="s">
        <v>27</v>
      </c>
      <c r="K438" s="19" t="s">
        <v>1070</v>
      </c>
      <c r="L438" s="19" t="s">
        <v>75</v>
      </c>
      <c r="M438" s="20">
        <v>172</v>
      </c>
      <c r="N438" s="25">
        <v>1.31</v>
      </c>
      <c r="O438" s="19" t="s">
        <v>67</v>
      </c>
      <c r="P438" s="19" t="s">
        <v>63</v>
      </c>
      <c r="Q438" s="19" t="s">
        <v>938</v>
      </c>
      <c r="R438" s="19" t="s">
        <v>2184</v>
      </c>
      <c r="S438" s="45" t="s">
        <v>2145</v>
      </c>
      <c r="T438" s="8">
        <v>45903</v>
      </c>
      <c r="U438" s="19"/>
      <c r="V438" s="55">
        <f>M438-Z438-AB438-AD438-AF438-AH438-AJ438-AL438-AN438-AP438-AR438-AT438-AV438-AX438-AZ438-BB438-BD438-BF438-BH438-U438</f>
        <v>-0.59999999999999432</v>
      </c>
      <c r="W438" s="15" t="s">
        <v>2192</v>
      </c>
      <c r="X438" s="143"/>
      <c r="Y438" s="46" t="s">
        <v>2259</v>
      </c>
      <c r="Z438" s="19">
        <v>172.6</v>
      </c>
      <c r="AA438" s="138">
        <v>45908</v>
      </c>
      <c r="AB438" s="19"/>
      <c r="AC438" s="138"/>
      <c r="AD438" s="19"/>
      <c r="AE438" s="138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</row>
    <row r="439" spans="1:67" s="36" customFormat="1" ht="20.25" customHeight="1">
      <c r="A439" s="7">
        <v>45883</v>
      </c>
      <c r="B439" s="19" t="s">
        <v>2150</v>
      </c>
      <c r="C439" s="19" t="s">
        <v>243</v>
      </c>
      <c r="D439" s="19" t="s">
        <v>212</v>
      </c>
      <c r="E439" s="19" t="s">
        <v>25</v>
      </c>
      <c r="F439" s="19" t="s">
        <v>2167</v>
      </c>
      <c r="G439" s="19" t="s">
        <v>71</v>
      </c>
      <c r="H439" s="19" t="s">
        <v>31</v>
      </c>
      <c r="I439" s="19"/>
      <c r="J439" s="19" t="s">
        <v>27</v>
      </c>
      <c r="K439" s="19" t="s">
        <v>1070</v>
      </c>
      <c r="L439" s="19" t="s">
        <v>75</v>
      </c>
      <c r="M439" s="20">
        <v>23.9</v>
      </c>
      <c r="N439" s="25">
        <v>1.31</v>
      </c>
      <c r="O439" s="19" t="s">
        <v>67</v>
      </c>
      <c r="P439" s="19" t="s">
        <v>63</v>
      </c>
      <c r="Q439" s="19" t="s">
        <v>932</v>
      </c>
      <c r="R439" s="19" t="s">
        <v>525</v>
      </c>
      <c r="S439" s="45" t="s">
        <v>2145</v>
      </c>
      <c r="T439" s="8">
        <v>45903</v>
      </c>
      <c r="U439" s="19"/>
      <c r="V439" s="55">
        <f>M439-Z439-AB439-AD439-AF439-AH439-AJ439-AL439-AN439-AP439-AR439-AT439-AV439-AX439-AZ439-BB439-BD439-BF439-BH439-U439</f>
        <v>-3.3000000000000007</v>
      </c>
      <c r="W439" s="15" t="s">
        <v>2193</v>
      </c>
      <c r="X439" s="143"/>
      <c r="Y439" s="46" t="s">
        <v>2259</v>
      </c>
      <c r="Z439" s="19">
        <v>27.2</v>
      </c>
      <c r="AA439" s="138">
        <v>45908</v>
      </c>
      <c r="AB439" s="19"/>
      <c r="AC439" s="138"/>
      <c r="AD439" s="19"/>
      <c r="AE439" s="138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</row>
    <row r="440" spans="1:67" s="36" customFormat="1" ht="20.25" customHeight="1">
      <c r="A440" s="7">
        <v>45883</v>
      </c>
      <c r="B440" s="19" t="s">
        <v>2151</v>
      </c>
      <c r="C440" s="19" t="s">
        <v>243</v>
      </c>
      <c r="D440" s="19" t="s">
        <v>212</v>
      </c>
      <c r="E440" s="19" t="s">
        <v>25</v>
      </c>
      <c r="F440" s="19" t="s">
        <v>2168</v>
      </c>
      <c r="G440" s="19" t="s">
        <v>71</v>
      </c>
      <c r="H440" s="19" t="s">
        <v>31</v>
      </c>
      <c r="I440" s="19"/>
      <c r="J440" s="19" t="s">
        <v>27</v>
      </c>
      <c r="K440" s="19" t="s">
        <v>2182</v>
      </c>
      <c r="L440" s="19" t="s">
        <v>75</v>
      </c>
      <c r="M440" s="20">
        <v>30</v>
      </c>
      <c r="N440" s="25">
        <v>1.31</v>
      </c>
      <c r="O440" s="19" t="s">
        <v>67</v>
      </c>
      <c r="P440" s="19" t="s">
        <v>63</v>
      </c>
      <c r="Q440" s="19" t="s">
        <v>932</v>
      </c>
      <c r="R440" s="19" t="s">
        <v>525</v>
      </c>
      <c r="S440" s="45" t="s">
        <v>2145</v>
      </c>
      <c r="T440" s="8">
        <v>45903</v>
      </c>
      <c r="U440" s="19"/>
      <c r="V440" s="55">
        <f>M440-Z440-AB440-AD440-AF440-AH440-AJ440-AL440-AN440-AP440-AR440-AT440-AV440-AX440-AZ440-BB440-BD440-BF440-BH440-U440</f>
        <v>-0.89999999999999858</v>
      </c>
      <c r="W440" s="15" t="s">
        <v>2194</v>
      </c>
      <c r="X440" s="143"/>
      <c r="Y440" s="46" t="s">
        <v>2259</v>
      </c>
      <c r="Z440" s="19">
        <v>30.9</v>
      </c>
      <c r="AA440" s="138">
        <v>45908</v>
      </c>
      <c r="AB440" s="19"/>
      <c r="AC440" s="138"/>
      <c r="AD440" s="19"/>
      <c r="AE440" s="138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</row>
    <row r="441" spans="1:67" s="28" customFormat="1" ht="20.25" customHeight="1">
      <c r="A441" s="7">
        <v>45883</v>
      </c>
      <c r="B441" s="19" t="s">
        <v>2152</v>
      </c>
      <c r="C441" s="19" t="s">
        <v>243</v>
      </c>
      <c r="D441" s="19" t="s">
        <v>212</v>
      </c>
      <c r="E441" s="19" t="s">
        <v>25</v>
      </c>
      <c r="F441" s="19" t="s">
        <v>2169</v>
      </c>
      <c r="G441" s="19" t="s">
        <v>71</v>
      </c>
      <c r="H441" s="19" t="s">
        <v>31</v>
      </c>
      <c r="I441" s="19"/>
      <c r="J441" s="19" t="s">
        <v>27</v>
      </c>
      <c r="K441" s="19" t="s">
        <v>2182</v>
      </c>
      <c r="L441" s="19" t="s">
        <v>75</v>
      </c>
      <c r="M441" s="20">
        <v>80</v>
      </c>
      <c r="N441" s="25">
        <v>1.31</v>
      </c>
      <c r="O441" s="19" t="s">
        <v>67</v>
      </c>
      <c r="P441" s="19" t="s">
        <v>63</v>
      </c>
      <c r="Q441" s="19" t="s">
        <v>932</v>
      </c>
      <c r="R441" s="19" t="s">
        <v>525</v>
      </c>
      <c r="S441" s="45" t="s">
        <v>2145</v>
      </c>
      <c r="T441" s="8">
        <v>45903</v>
      </c>
      <c r="U441" s="19"/>
      <c r="V441" s="55">
        <f>M441-Z441-AB441-AD441-AF441-AH441-AJ441-AL441-AN441-AP441-AR441-AT441-AV441-AX441-AZ441-BB441-BD441-BF441-BH441-U441</f>
        <v>-2.7000000000000028</v>
      </c>
      <c r="W441" s="15" t="s">
        <v>2195</v>
      </c>
      <c r="X441" s="143"/>
      <c r="Y441" s="46" t="s">
        <v>2259</v>
      </c>
      <c r="Z441" s="19">
        <v>82.7</v>
      </c>
      <c r="AA441" s="138">
        <v>45908</v>
      </c>
      <c r="AB441" s="19"/>
      <c r="AC441" s="138"/>
      <c r="AD441" s="19"/>
      <c r="AE441" s="138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</row>
    <row r="442" spans="1:67" s="282" customFormat="1" ht="20.25" customHeight="1">
      <c r="A442" s="11">
        <v>45883</v>
      </c>
      <c r="B442" s="16" t="s">
        <v>2153</v>
      </c>
      <c r="C442" s="16" t="s">
        <v>243</v>
      </c>
      <c r="D442" s="19" t="s">
        <v>212</v>
      </c>
      <c r="E442" s="19" t="s">
        <v>25</v>
      </c>
      <c r="F442" s="16" t="s">
        <v>2170</v>
      </c>
      <c r="G442" s="16" t="s">
        <v>71</v>
      </c>
      <c r="H442" s="16" t="s">
        <v>31</v>
      </c>
      <c r="I442" s="16"/>
      <c r="J442" s="16" t="s">
        <v>27</v>
      </c>
      <c r="K442" s="16" t="s">
        <v>2183</v>
      </c>
      <c r="L442" s="16" t="s">
        <v>75</v>
      </c>
      <c r="M442" s="17">
        <v>100</v>
      </c>
      <c r="N442" s="23">
        <v>1.31</v>
      </c>
      <c r="O442" s="16" t="s">
        <v>67</v>
      </c>
      <c r="P442" s="16" t="s">
        <v>63</v>
      </c>
      <c r="Q442" s="16" t="s">
        <v>932</v>
      </c>
      <c r="R442" s="16" t="s">
        <v>525</v>
      </c>
      <c r="S442" s="12" t="s">
        <v>2145</v>
      </c>
      <c r="T442" s="13">
        <v>45903</v>
      </c>
      <c r="U442" s="19"/>
      <c r="V442" s="53">
        <f>M442-Z442-AB442-AD442-AF442-AH442-AJ442-AL442-AN442-AP442-AR442-AT442-AV442-AX442-AZ442-BB442-BD442-BF442-BH442-U442</f>
        <v>-1.7999999999999972</v>
      </c>
      <c r="W442" s="22" t="s">
        <v>2196</v>
      </c>
      <c r="X442" s="319"/>
      <c r="Y442" s="88"/>
      <c r="Z442" s="19">
        <v>101.8</v>
      </c>
      <c r="AA442" s="227">
        <v>45894</v>
      </c>
      <c r="AB442" s="19"/>
      <c r="AC442" s="227"/>
      <c r="AD442" s="19"/>
      <c r="AE442" s="227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28"/>
      <c r="BG442" s="29"/>
      <c r="BH442" s="29"/>
      <c r="BI442" s="29"/>
      <c r="BJ442" s="29"/>
      <c r="BK442" s="29"/>
      <c r="BL442" s="29"/>
      <c r="BM442" s="29"/>
      <c r="BN442" s="29"/>
      <c r="BO442" s="29"/>
    </row>
    <row r="443" spans="1:67" s="28" customFormat="1" ht="20.25" customHeight="1">
      <c r="A443" s="272">
        <v>45883</v>
      </c>
      <c r="B443" s="273" t="s">
        <v>2154</v>
      </c>
      <c r="C443" s="273" t="s">
        <v>243</v>
      </c>
      <c r="D443" s="278" t="s">
        <v>212</v>
      </c>
      <c r="E443" s="278" t="s">
        <v>25</v>
      </c>
      <c r="F443" s="273" t="s">
        <v>2171</v>
      </c>
      <c r="G443" s="273" t="s">
        <v>71</v>
      </c>
      <c r="H443" s="273" t="s">
        <v>31</v>
      </c>
      <c r="I443" s="273"/>
      <c r="J443" s="273" t="s">
        <v>27</v>
      </c>
      <c r="K443" s="273" t="s">
        <v>292</v>
      </c>
      <c r="L443" s="273" t="s">
        <v>75</v>
      </c>
      <c r="M443" s="274"/>
      <c r="N443" s="275">
        <v>1.31</v>
      </c>
      <c r="O443" s="273" t="s">
        <v>67</v>
      </c>
      <c r="P443" s="273" t="s">
        <v>63</v>
      </c>
      <c r="Q443" s="273" t="s">
        <v>2126</v>
      </c>
      <c r="R443" s="273" t="s">
        <v>2185</v>
      </c>
      <c r="S443" s="276" t="s">
        <v>2098</v>
      </c>
      <c r="T443" s="277">
        <v>45903</v>
      </c>
      <c r="U443" s="278"/>
      <c r="V443" s="279">
        <f>M443-Z443-AB443-AD443-AF443-AH443-AJ443-AL443-AN443-AP443-AR443-AT443-AV443-AX443-AZ443-BB443-BD443-BF443-BH443-U443</f>
        <v>0</v>
      </c>
      <c r="W443" s="280" t="s">
        <v>2197</v>
      </c>
      <c r="X443" s="323"/>
      <c r="Y443" s="281" t="s">
        <v>2254</v>
      </c>
      <c r="Z443" s="278"/>
      <c r="AA443" s="320"/>
      <c r="AB443" s="278"/>
      <c r="AC443" s="320"/>
      <c r="AD443" s="278"/>
      <c r="AE443" s="320"/>
      <c r="AF443" s="281"/>
      <c r="AG443" s="281"/>
      <c r="AH443" s="281"/>
      <c r="AI443" s="281"/>
      <c r="AJ443" s="281"/>
      <c r="AK443" s="281"/>
      <c r="AL443" s="281"/>
      <c r="AM443" s="281"/>
      <c r="AN443" s="281"/>
      <c r="AO443" s="281"/>
      <c r="AP443" s="281"/>
      <c r="AQ443" s="281"/>
      <c r="AR443" s="281"/>
      <c r="AS443" s="281"/>
      <c r="AT443" s="281"/>
      <c r="AU443" s="281"/>
      <c r="AV443" s="281"/>
      <c r="AW443" s="281"/>
      <c r="AX443" s="281"/>
      <c r="AY443" s="281"/>
      <c r="AZ443" s="281"/>
      <c r="BA443" s="281"/>
      <c r="BB443" s="281"/>
      <c r="BC443" s="281"/>
      <c r="BD443" s="281"/>
      <c r="BE443" s="281"/>
      <c r="BF443" s="282"/>
      <c r="BG443" s="286"/>
      <c r="BH443" s="286"/>
      <c r="BI443" s="286"/>
      <c r="BJ443" s="286"/>
      <c r="BK443" s="286"/>
      <c r="BL443" s="286"/>
      <c r="BM443" s="286"/>
      <c r="BN443" s="286"/>
      <c r="BO443" s="286"/>
    </row>
    <row r="444" spans="1:67" s="28" customFormat="1" ht="20.25" customHeight="1">
      <c r="A444" s="11">
        <v>45883</v>
      </c>
      <c r="B444" s="16" t="s">
        <v>2155</v>
      </c>
      <c r="C444" s="16" t="s">
        <v>243</v>
      </c>
      <c r="D444" s="19" t="s">
        <v>212</v>
      </c>
      <c r="E444" s="19" t="s">
        <v>25</v>
      </c>
      <c r="F444" s="16" t="s">
        <v>2172</v>
      </c>
      <c r="G444" s="16" t="s">
        <v>71</v>
      </c>
      <c r="H444" s="16" t="s">
        <v>31</v>
      </c>
      <c r="I444" s="16"/>
      <c r="J444" s="16" t="s">
        <v>27</v>
      </c>
      <c r="K444" s="16" t="s">
        <v>2183</v>
      </c>
      <c r="L444" s="16" t="s">
        <v>75</v>
      </c>
      <c r="M444" s="17">
        <v>36</v>
      </c>
      <c r="N444" s="23">
        <v>1.31</v>
      </c>
      <c r="O444" s="16" t="s">
        <v>67</v>
      </c>
      <c r="P444" s="16" t="s">
        <v>63</v>
      </c>
      <c r="Q444" s="16" t="s">
        <v>920</v>
      </c>
      <c r="R444" s="16" t="s">
        <v>791</v>
      </c>
      <c r="S444" s="12" t="s">
        <v>2098</v>
      </c>
      <c r="T444" s="13">
        <v>45903</v>
      </c>
      <c r="U444" s="19"/>
      <c r="V444" s="53">
        <f>M444-Z444-AB444-AD444-AF444-AH444-AJ444-AL444-AN444-AP444-AR444-AT444-AV444-AX444-AZ444-BB444-BD444-BF444-BH444-U444</f>
        <v>-0.70000000000000284</v>
      </c>
      <c r="W444" s="22" t="s">
        <v>2198</v>
      </c>
      <c r="X444" s="319"/>
      <c r="Y444" s="88"/>
      <c r="Z444" s="19">
        <v>36.700000000000003</v>
      </c>
      <c r="AA444" s="227">
        <v>45894</v>
      </c>
      <c r="AB444" s="19"/>
      <c r="AC444" s="227"/>
      <c r="AD444" s="19"/>
      <c r="AE444" s="227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G444" s="29"/>
      <c r="BH444" s="29"/>
      <c r="BI444" s="29"/>
      <c r="BJ444" s="29"/>
      <c r="BK444" s="29"/>
      <c r="BL444" s="29"/>
      <c r="BM444" s="29"/>
      <c r="BN444" s="29"/>
      <c r="BO444" s="29"/>
    </row>
    <row r="445" spans="1:67" s="28" customFormat="1" ht="20.25" customHeight="1">
      <c r="A445" s="11">
        <v>45883</v>
      </c>
      <c r="B445" s="16" t="s">
        <v>2156</v>
      </c>
      <c r="C445" s="16" t="s">
        <v>243</v>
      </c>
      <c r="D445" s="19" t="s">
        <v>212</v>
      </c>
      <c r="E445" s="19" t="s">
        <v>25</v>
      </c>
      <c r="F445" s="16" t="s">
        <v>2173</v>
      </c>
      <c r="G445" s="16" t="s">
        <v>71</v>
      </c>
      <c r="H445" s="16" t="s">
        <v>31</v>
      </c>
      <c r="I445" s="16"/>
      <c r="J445" s="16" t="s">
        <v>27</v>
      </c>
      <c r="K445" s="16" t="s">
        <v>487</v>
      </c>
      <c r="L445" s="16" t="s">
        <v>75</v>
      </c>
      <c r="M445" s="17">
        <v>100</v>
      </c>
      <c r="N445" s="23">
        <v>1.31</v>
      </c>
      <c r="O445" s="16" t="s">
        <v>67</v>
      </c>
      <c r="P445" s="16" t="s">
        <v>63</v>
      </c>
      <c r="Q445" s="16" t="s">
        <v>2126</v>
      </c>
      <c r="R445" s="16" t="s">
        <v>2186</v>
      </c>
      <c r="S445" s="12" t="s">
        <v>2098</v>
      </c>
      <c r="T445" s="13">
        <v>45903</v>
      </c>
      <c r="U445" s="19"/>
      <c r="V445" s="53">
        <f>M445-Z445-AB445-AD445-AF445-AH445-AJ445-AL445-AN445-AP445-AR445-AT445-AV445-AX445-AZ445-BB445-BD445-BF445-BH445-U445</f>
        <v>-7.2000000000000028</v>
      </c>
      <c r="W445" s="22" t="s">
        <v>2199</v>
      </c>
      <c r="X445" s="319"/>
      <c r="Y445" s="88" t="s">
        <v>2256</v>
      </c>
      <c r="Z445" s="19">
        <v>107.2</v>
      </c>
      <c r="AA445" s="227">
        <v>45901</v>
      </c>
      <c r="AB445" s="19"/>
      <c r="AC445" s="227"/>
      <c r="AD445" s="19"/>
      <c r="AE445" s="227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G445" s="29"/>
      <c r="BH445" s="29"/>
      <c r="BI445" s="29"/>
      <c r="BJ445" s="29"/>
      <c r="BK445" s="29"/>
      <c r="BL445" s="29"/>
      <c r="BM445" s="29"/>
      <c r="BN445" s="29"/>
      <c r="BO445" s="29"/>
    </row>
    <row r="446" spans="1:67" s="28" customFormat="1" ht="20.25" customHeight="1">
      <c r="A446" s="11">
        <v>45883</v>
      </c>
      <c r="B446" s="16" t="s">
        <v>2157</v>
      </c>
      <c r="C446" s="16" t="s">
        <v>400</v>
      </c>
      <c r="D446" s="19" t="s">
        <v>212</v>
      </c>
      <c r="E446" s="19" t="s">
        <v>25</v>
      </c>
      <c r="F446" s="16" t="s">
        <v>2174</v>
      </c>
      <c r="G446" s="16" t="s">
        <v>71</v>
      </c>
      <c r="H446" s="16" t="s">
        <v>31</v>
      </c>
      <c r="I446" s="16"/>
      <c r="J446" s="16" t="s">
        <v>27</v>
      </c>
      <c r="K446" s="16" t="s">
        <v>1012</v>
      </c>
      <c r="L446" s="16" t="s">
        <v>75</v>
      </c>
      <c r="M446" s="17">
        <v>4039.2</v>
      </c>
      <c r="N446" s="23">
        <v>1.31</v>
      </c>
      <c r="O446" s="16" t="s">
        <v>67</v>
      </c>
      <c r="P446" s="16" t="s">
        <v>63</v>
      </c>
      <c r="Q446" s="16" t="s">
        <v>2187</v>
      </c>
      <c r="R446" s="16" t="s">
        <v>2188</v>
      </c>
      <c r="S446" s="12" t="s">
        <v>2098</v>
      </c>
      <c r="T446" s="13">
        <v>45903</v>
      </c>
      <c r="U446" s="19"/>
      <c r="V446" s="53">
        <f>M446-Z446-AB446-AD446-AF446-AH446-AJ446-AL446-AN446-AP446-AR446-AT446-AV446-AX446-AZ446-BB446-BD446-BF446-BH446-U446</f>
        <v>0</v>
      </c>
      <c r="W446" s="22" t="s">
        <v>2200</v>
      </c>
      <c r="X446" s="319"/>
      <c r="Y446" s="88"/>
      <c r="Z446" s="19">
        <v>4039.2</v>
      </c>
      <c r="AA446" s="227">
        <v>45884</v>
      </c>
      <c r="AB446" s="19"/>
      <c r="AC446" s="227"/>
      <c r="AD446" s="19"/>
      <c r="AE446" s="227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G446" s="29"/>
      <c r="BH446" s="29"/>
      <c r="BI446" s="29"/>
      <c r="BJ446" s="29"/>
      <c r="BK446" s="29"/>
      <c r="BL446" s="29"/>
      <c r="BM446" s="29"/>
      <c r="BN446" s="29"/>
      <c r="BO446" s="29"/>
    </row>
    <row r="447" spans="1:67" s="28" customFormat="1" ht="20.25" customHeight="1">
      <c r="A447" s="11">
        <v>45883</v>
      </c>
      <c r="B447" s="16" t="s">
        <v>2158</v>
      </c>
      <c r="C447" s="16" t="s">
        <v>1568</v>
      </c>
      <c r="D447" s="19" t="s">
        <v>212</v>
      </c>
      <c r="E447" s="19" t="s">
        <v>25</v>
      </c>
      <c r="F447" s="16" t="s">
        <v>2175</v>
      </c>
      <c r="G447" s="16" t="s">
        <v>71</v>
      </c>
      <c r="H447" s="16" t="s">
        <v>31</v>
      </c>
      <c r="I447" s="16"/>
      <c r="J447" s="16" t="s">
        <v>27</v>
      </c>
      <c r="K447" s="16" t="s">
        <v>2138</v>
      </c>
      <c r="L447" s="16" t="s">
        <v>75</v>
      </c>
      <c r="M447" s="17">
        <v>579</v>
      </c>
      <c r="N447" s="23">
        <v>1.31</v>
      </c>
      <c r="O447" s="16" t="s">
        <v>67</v>
      </c>
      <c r="P447" s="16" t="s">
        <v>63</v>
      </c>
      <c r="Q447" s="16" t="s">
        <v>29</v>
      </c>
      <c r="R447" s="16" t="s">
        <v>1648</v>
      </c>
      <c r="S447" s="12" t="s">
        <v>2145</v>
      </c>
      <c r="T447" s="13">
        <v>45903</v>
      </c>
      <c r="U447" s="19"/>
      <c r="V447" s="53">
        <f>M447-Z447-AB447-AD447-AF447-AH447-AJ447-AL447-AN447-AP447-AR447-AT447-AV447-AX447-AZ447-BB447-BD447-BF447-BH447-U447</f>
        <v>-2.5</v>
      </c>
      <c r="W447" s="22" t="s">
        <v>2201</v>
      </c>
      <c r="X447" s="319"/>
      <c r="Y447" s="88"/>
      <c r="Z447" s="19">
        <v>581.5</v>
      </c>
      <c r="AA447" s="227">
        <v>45889</v>
      </c>
      <c r="AB447" s="19"/>
      <c r="AC447" s="227"/>
      <c r="AD447" s="19"/>
      <c r="AE447" s="227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G447" s="29"/>
      <c r="BH447" s="29"/>
      <c r="BI447" s="29"/>
      <c r="BJ447" s="29"/>
      <c r="BK447" s="29"/>
      <c r="BL447" s="29"/>
      <c r="BM447" s="29"/>
      <c r="BN447" s="29"/>
      <c r="BO447" s="29"/>
    </row>
    <row r="448" spans="1:67" s="28" customFormat="1" ht="20.25" customHeight="1">
      <c r="A448" s="11">
        <v>45883</v>
      </c>
      <c r="B448" s="16" t="s">
        <v>2159</v>
      </c>
      <c r="C448" s="16" t="s">
        <v>315</v>
      </c>
      <c r="D448" s="19" t="s">
        <v>212</v>
      </c>
      <c r="E448" s="19" t="s">
        <v>25</v>
      </c>
      <c r="F448" s="16" t="s">
        <v>2176</v>
      </c>
      <c r="G448" s="16" t="s">
        <v>71</v>
      </c>
      <c r="H448" s="16" t="s">
        <v>31</v>
      </c>
      <c r="I448" s="16"/>
      <c r="J448" s="16" t="s">
        <v>27</v>
      </c>
      <c r="K448" s="16" t="s">
        <v>218</v>
      </c>
      <c r="L448" s="16" t="s">
        <v>75</v>
      </c>
      <c r="M448" s="17">
        <v>4330</v>
      </c>
      <c r="N448" s="23">
        <v>1.31</v>
      </c>
      <c r="O448" s="16" t="s">
        <v>1063</v>
      </c>
      <c r="P448" s="16" t="s">
        <v>63</v>
      </c>
      <c r="Q448" s="16" t="s">
        <v>29</v>
      </c>
      <c r="R448" s="16" t="s">
        <v>2189</v>
      </c>
      <c r="S448" s="12" t="s">
        <v>2145</v>
      </c>
      <c r="T448" s="13">
        <v>45903</v>
      </c>
      <c r="U448" s="19"/>
      <c r="V448" s="53">
        <f>M448-Z448-AB448-AD448-AF448-AH448-AJ448-AL448-AN448-AP448-AR448-AT448-AV448-AX448-AZ448-BB448-BD448-BF448-BH448-U448</f>
        <v>0</v>
      </c>
      <c r="W448" s="22" t="s">
        <v>2202</v>
      </c>
      <c r="X448" s="319"/>
      <c r="Y448" s="88"/>
      <c r="Z448" s="19">
        <f>1435.6+35.9+818.4+2040.1</f>
        <v>4330</v>
      </c>
      <c r="AA448" s="227">
        <v>45902</v>
      </c>
      <c r="AB448" s="19"/>
      <c r="AC448" s="227"/>
      <c r="AD448" s="19"/>
      <c r="AE448" s="227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G448" s="29"/>
      <c r="BH448" s="29"/>
      <c r="BI448" s="29"/>
      <c r="BJ448" s="29"/>
      <c r="BK448" s="29"/>
      <c r="BL448" s="29"/>
      <c r="BM448" s="29"/>
      <c r="BN448" s="29"/>
      <c r="BO448" s="29"/>
    </row>
    <row r="449" spans="1:67" s="28" customFormat="1" ht="20.25" customHeight="1">
      <c r="A449" s="11">
        <v>45883</v>
      </c>
      <c r="B449" s="16" t="s">
        <v>2160</v>
      </c>
      <c r="C449" s="16" t="s">
        <v>315</v>
      </c>
      <c r="D449" s="19" t="s">
        <v>212</v>
      </c>
      <c r="E449" s="19" t="s">
        <v>25</v>
      </c>
      <c r="F449" s="16" t="s">
        <v>2177</v>
      </c>
      <c r="G449" s="16" t="s">
        <v>71</v>
      </c>
      <c r="H449" s="16" t="s">
        <v>31</v>
      </c>
      <c r="I449" s="16"/>
      <c r="J449" s="16" t="s">
        <v>27</v>
      </c>
      <c r="K449" s="16" t="s">
        <v>218</v>
      </c>
      <c r="L449" s="16" t="s">
        <v>75</v>
      </c>
      <c r="M449" s="17">
        <v>2102</v>
      </c>
      <c r="N449" s="23">
        <v>1.31</v>
      </c>
      <c r="O449" s="16" t="s">
        <v>1063</v>
      </c>
      <c r="P449" s="16" t="s">
        <v>63</v>
      </c>
      <c r="Q449" s="16" t="s">
        <v>29</v>
      </c>
      <c r="R449" s="16" t="s">
        <v>2189</v>
      </c>
      <c r="S449" s="12" t="s">
        <v>2145</v>
      </c>
      <c r="T449" s="13">
        <v>45903</v>
      </c>
      <c r="U449" s="19"/>
      <c r="V449" s="53">
        <f>M449-Z449-AB449-AD449-AF449-AH449-AJ449-AL449-AN449-AP449-AR449-AT449-AV449-AX449-AZ449-BB449-BD449-BF449-BH449-U449</f>
        <v>-0.3000000000001819</v>
      </c>
      <c r="W449" s="22" t="s">
        <v>2203</v>
      </c>
      <c r="X449" s="319"/>
      <c r="Y449" s="88"/>
      <c r="Z449" s="19">
        <f>10+2092.3</f>
        <v>2102.3000000000002</v>
      </c>
      <c r="AA449" s="227">
        <v>45902</v>
      </c>
      <c r="AB449" s="19"/>
      <c r="AC449" s="227"/>
      <c r="AD449" s="19"/>
      <c r="AE449" s="227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G449" s="29"/>
      <c r="BH449" s="29"/>
      <c r="BI449" s="29"/>
      <c r="BJ449" s="29"/>
      <c r="BK449" s="29"/>
      <c r="BL449" s="29"/>
      <c r="BM449" s="29"/>
      <c r="BN449" s="29"/>
      <c r="BO449" s="29"/>
    </row>
    <row r="450" spans="1:67" s="28" customFormat="1" ht="20.25" customHeight="1">
      <c r="A450" s="11">
        <v>45883</v>
      </c>
      <c r="B450" s="16" t="s">
        <v>2161</v>
      </c>
      <c r="C450" s="16" t="s">
        <v>315</v>
      </c>
      <c r="D450" s="19" t="s">
        <v>212</v>
      </c>
      <c r="E450" s="19" t="s">
        <v>25</v>
      </c>
      <c r="F450" s="16" t="s">
        <v>2178</v>
      </c>
      <c r="G450" s="16" t="s">
        <v>71</v>
      </c>
      <c r="H450" s="16" t="s">
        <v>26</v>
      </c>
      <c r="I450" s="16"/>
      <c r="J450" s="16" t="s">
        <v>27</v>
      </c>
      <c r="K450" s="16" t="s">
        <v>2182</v>
      </c>
      <c r="L450" s="16" t="s">
        <v>75</v>
      </c>
      <c r="M450" s="17">
        <v>958</v>
      </c>
      <c r="N450" s="23">
        <v>1.31</v>
      </c>
      <c r="O450" s="16" t="s">
        <v>67</v>
      </c>
      <c r="P450" s="16" t="s">
        <v>63</v>
      </c>
      <c r="Q450" s="16" t="s">
        <v>29</v>
      </c>
      <c r="R450" s="16" t="s">
        <v>2190</v>
      </c>
      <c r="S450" s="12" t="s">
        <v>2145</v>
      </c>
      <c r="T450" s="13">
        <v>45903</v>
      </c>
      <c r="U450" s="19"/>
      <c r="V450" s="324">
        <f>M450-Z450-AB450-AD450-AF450-AH450-AJ450-AL450-AN450-AP450-AR450-AT450-AV450-AX450-AZ450-BB450-BD450-BF450-BH450-U450</f>
        <v>-2.7000000000000455</v>
      </c>
      <c r="W450" s="22" t="s">
        <v>2206</v>
      </c>
      <c r="X450" s="319"/>
      <c r="Y450" s="88"/>
      <c r="Z450" s="19">
        <v>960.7</v>
      </c>
      <c r="AA450" s="227">
        <v>45890</v>
      </c>
      <c r="AB450" s="19"/>
      <c r="AC450" s="227"/>
      <c r="AD450" s="19"/>
      <c r="AE450" s="227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G450" s="29"/>
      <c r="BH450" s="29"/>
      <c r="BI450" s="29"/>
      <c r="BJ450" s="29"/>
      <c r="BK450" s="29"/>
      <c r="BL450" s="29"/>
      <c r="BM450" s="29"/>
      <c r="BN450" s="29"/>
      <c r="BO450" s="29"/>
    </row>
    <row r="451" spans="1:67" s="28" customFormat="1" ht="20.25" customHeight="1">
      <c r="A451" s="11">
        <v>45883</v>
      </c>
      <c r="B451" s="16" t="s">
        <v>2162</v>
      </c>
      <c r="C451" s="16" t="s">
        <v>315</v>
      </c>
      <c r="D451" s="19" t="s">
        <v>212</v>
      </c>
      <c r="E451" s="19" t="s">
        <v>25</v>
      </c>
      <c r="F451" s="16" t="s">
        <v>2179</v>
      </c>
      <c r="G451" s="16" t="s">
        <v>71</v>
      </c>
      <c r="H451" s="16" t="s">
        <v>26</v>
      </c>
      <c r="I451" s="16"/>
      <c r="J451" s="16" t="s">
        <v>27</v>
      </c>
      <c r="K451" s="16" t="s">
        <v>1070</v>
      </c>
      <c r="L451" s="16" t="s">
        <v>75</v>
      </c>
      <c r="M451" s="17">
        <v>752</v>
      </c>
      <c r="N451" s="23">
        <v>1.31</v>
      </c>
      <c r="O451" s="16" t="s">
        <v>67</v>
      </c>
      <c r="P451" s="16" t="s">
        <v>63</v>
      </c>
      <c r="Q451" s="16" t="s">
        <v>29</v>
      </c>
      <c r="R451" s="16" t="s">
        <v>2190</v>
      </c>
      <c r="S451" s="12" t="s">
        <v>2145</v>
      </c>
      <c r="T451" s="13">
        <v>45903</v>
      </c>
      <c r="U451" s="19"/>
      <c r="V451" s="53">
        <f>M451-Z451-AB451-AD451-AF451-AH451-AJ451-AL451-AN451-AP451-AR451-AT451-AV451-AX451-AZ451-BB451-BD451-BF451-BH451-U451</f>
        <v>-2.1000000000000227</v>
      </c>
      <c r="W451" s="22" t="s">
        <v>2204</v>
      </c>
      <c r="X451" s="319"/>
      <c r="Y451" s="88"/>
      <c r="Z451" s="19">
        <v>754.1</v>
      </c>
      <c r="AA451" s="227">
        <v>45890</v>
      </c>
      <c r="AB451" s="19"/>
      <c r="AC451" s="227"/>
      <c r="AD451" s="19"/>
      <c r="AE451" s="227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G451" s="29"/>
      <c r="BH451" s="29"/>
      <c r="BI451" s="29"/>
      <c r="BJ451" s="29"/>
      <c r="BK451" s="29"/>
      <c r="BL451" s="29"/>
      <c r="BM451" s="29"/>
      <c r="BN451" s="29"/>
      <c r="BO451" s="29"/>
    </row>
    <row r="452" spans="1:67" s="28" customFormat="1" ht="20.25" customHeight="1">
      <c r="A452" s="11">
        <v>45883</v>
      </c>
      <c r="B452" s="16" t="s">
        <v>2163</v>
      </c>
      <c r="C452" s="16" t="s">
        <v>315</v>
      </c>
      <c r="D452" s="19" t="s">
        <v>212</v>
      </c>
      <c r="E452" s="19" t="s">
        <v>25</v>
      </c>
      <c r="F452" s="16" t="s">
        <v>2180</v>
      </c>
      <c r="G452" s="16" t="s">
        <v>71</v>
      </c>
      <c r="H452" s="16" t="s">
        <v>31</v>
      </c>
      <c r="I452" s="16"/>
      <c r="J452" s="16" t="s">
        <v>27</v>
      </c>
      <c r="K452" s="16" t="s">
        <v>218</v>
      </c>
      <c r="L452" s="16" t="s">
        <v>75</v>
      </c>
      <c r="M452" s="17">
        <v>5074</v>
      </c>
      <c r="N452" s="23">
        <v>1.31</v>
      </c>
      <c r="O452" s="16" t="s">
        <v>1063</v>
      </c>
      <c r="P452" s="16" t="s">
        <v>63</v>
      </c>
      <c r="Q452" s="16" t="s">
        <v>29</v>
      </c>
      <c r="R452" s="16" t="s">
        <v>1618</v>
      </c>
      <c r="S452" s="12" t="s">
        <v>2145</v>
      </c>
      <c r="T452" s="13">
        <v>45903</v>
      </c>
      <c r="U452" s="19"/>
      <c r="V452" s="53">
        <f>M452-Z452-AB452-AD452-AF452-AH452-AJ452-AL452-AN452-AP452-AR452-AT452-AV452-AX452-AZ452-BB452-BD452-BF452-BH452-U452</f>
        <v>-4.6999999999998181</v>
      </c>
      <c r="W452" s="22" t="s">
        <v>2205</v>
      </c>
      <c r="X452" s="319"/>
      <c r="Y452" s="88"/>
      <c r="Z452" s="19">
        <f>1506.4+1967.6+626.9+667.6+310.2</f>
        <v>5078.7</v>
      </c>
      <c r="AA452" s="227">
        <v>45902</v>
      </c>
      <c r="AB452" s="19"/>
      <c r="AC452" s="227"/>
      <c r="AD452" s="19"/>
      <c r="AE452" s="227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G452" s="29"/>
      <c r="BH452" s="29"/>
      <c r="BI452" s="29"/>
      <c r="BJ452" s="29"/>
      <c r="BK452" s="29"/>
      <c r="BL452" s="29"/>
      <c r="BM452" s="29"/>
      <c r="BN452" s="29"/>
      <c r="BO452" s="29"/>
    </row>
    <row r="453" spans="1:67" s="28" customFormat="1" ht="20.25" customHeight="1">
      <c r="A453" s="11">
        <v>45883</v>
      </c>
      <c r="B453" s="16" t="s">
        <v>2164</v>
      </c>
      <c r="C453" s="16" t="s">
        <v>1568</v>
      </c>
      <c r="D453" s="19" t="s">
        <v>212</v>
      </c>
      <c r="E453" s="19" t="s">
        <v>25</v>
      </c>
      <c r="F453" s="16" t="s">
        <v>2181</v>
      </c>
      <c r="G453" s="16" t="s">
        <v>71</v>
      </c>
      <c r="H453" s="16" t="s">
        <v>31</v>
      </c>
      <c r="I453" s="16"/>
      <c r="J453" s="16" t="s">
        <v>27</v>
      </c>
      <c r="K453" s="16" t="s">
        <v>645</v>
      </c>
      <c r="L453" s="16" t="s">
        <v>75</v>
      </c>
      <c r="M453" s="17">
        <v>2990</v>
      </c>
      <c r="N453" s="23">
        <v>1.31</v>
      </c>
      <c r="O453" s="16" t="s">
        <v>67</v>
      </c>
      <c r="P453" s="16" t="s">
        <v>63</v>
      </c>
      <c r="Q453" s="16" t="s">
        <v>29</v>
      </c>
      <c r="R453" s="16" t="s">
        <v>1648</v>
      </c>
      <c r="S453" s="12" t="s">
        <v>2145</v>
      </c>
      <c r="T453" s="13">
        <v>45903</v>
      </c>
      <c r="U453" s="19"/>
      <c r="V453" s="53">
        <f>M453-Z453-AB453-AD453-AF453-AH453-AJ453-AL453-AN453-AP453-AR453-AT453-AV453-AX453-AZ453-BB453-BD453-BF453-BH453-U453</f>
        <v>-2.2000000000001023</v>
      </c>
      <c r="W453" s="22" t="s">
        <v>2207</v>
      </c>
      <c r="X453" s="319"/>
      <c r="Y453" s="88" t="s">
        <v>2260</v>
      </c>
      <c r="Z453" s="19">
        <f>899.9+561.6+966.3+378.1</f>
        <v>2805.9</v>
      </c>
      <c r="AA453" s="227">
        <v>45889</v>
      </c>
      <c r="AB453" s="19">
        <v>186.3</v>
      </c>
      <c r="AC453" s="227">
        <v>45890</v>
      </c>
      <c r="AD453" s="19"/>
      <c r="AE453" s="227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G453" s="29"/>
      <c r="BH453" s="29"/>
      <c r="BI453" s="29"/>
      <c r="BJ453" s="29"/>
      <c r="BK453" s="29"/>
      <c r="BL453" s="29"/>
      <c r="BM453" s="29"/>
      <c r="BN453" s="29"/>
      <c r="BO453" s="29"/>
    </row>
    <row r="454" spans="1:67" s="28" customFormat="1" ht="20.25" customHeight="1">
      <c r="A454" s="11">
        <v>45884</v>
      </c>
      <c r="B454" s="16" t="s">
        <v>2208</v>
      </c>
      <c r="C454" s="16" t="s">
        <v>382</v>
      </c>
      <c r="D454" s="19" t="s">
        <v>212</v>
      </c>
      <c r="E454" s="19" t="s">
        <v>25</v>
      </c>
      <c r="F454" s="16" t="s">
        <v>2218</v>
      </c>
      <c r="G454" s="16" t="s">
        <v>71</v>
      </c>
      <c r="H454" s="16" t="s">
        <v>31</v>
      </c>
      <c r="I454" s="16"/>
      <c r="J454" s="16" t="s">
        <v>27</v>
      </c>
      <c r="K454" s="16" t="s">
        <v>2228</v>
      </c>
      <c r="L454" s="16" t="s">
        <v>75</v>
      </c>
      <c r="M454" s="17">
        <v>97</v>
      </c>
      <c r="N454" s="23">
        <v>1.3</v>
      </c>
      <c r="O454" s="16" t="s">
        <v>67</v>
      </c>
      <c r="P454" s="16" t="s">
        <v>63</v>
      </c>
      <c r="Q454" s="16" t="s">
        <v>392</v>
      </c>
      <c r="R454" s="16" t="s">
        <v>2231</v>
      </c>
      <c r="S454" s="12" t="s">
        <v>1941</v>
      </c>
      <c r="T454" s="13">
        <v>45905</v>
      </c>
      <c r="U454" s="19"/>
      <c r="V454" s="53">
        <f>M454-Z454-AB454-AD454-AF454-AH454-AJ454-AL454-AN454-AP454-AR454-AT454-AV454-AX454-AZ454-BB454-BD454-BF454-BH454-U454</f>
        <v>-2.5</v>
      </c>
      <c r="W454" s="22" t="s">
        <v>2235</v>
      </c>
      <c r="X454" s="319" t="s">
        <v>29</v>
      </c>
      <c r="Y454" s="26" t="s">
        <v>2261</v>
      </c>
      <c r="Z454" s="19">
        <v>99.5</v>
      </c>
      <c r="AA454" s="227">
        <v>45898</v>
      </c>
      <c r="AB454" s="19"/>
      <c r="AC454" s="227"/>
      <c r="AD454" s="19"/>
      <c r="AE454" s="227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G454" s="29"/>
      <c r="BH454" s="29"/>
      <c r="BI454" s="29"/>
      <c r="BJ454" s="29"/>
      <c r="BK454" s="29"/>
      <c r="BL454" s="29"/>
      <c r="BM454" s="29"/>
      <c r="BN454" s="29"/>
      <c r="BO454" s="29"/>
    </row>
    <row r="455" spans="1:67" s="36" customFormat="1" ht="20.25" customHeight="1">
      <c r="A455" s="11">
        <v>45884</v>
      </c>
      <c r="B455" s="16" t="s">
        <v>2209</v>
      </c>
      <c r="C455" s="16" t="s">
        <v>304</v>
      </c>
      <c r="D455" s="19" t="s">
        <v>212</v>
      </c>
      <c r="E455" s="19" t="s">
        <v>25</v>
      </c>
      <c r="F455" s="16" t="s">
        <v>2219</v>
      </c>
      <c r="G455" s="16" t="s">
        <v>71</v>
      </c>
      <c r="H455" s="16" t="s">
        <v>31</v>
      </c>
      <c r="I455" s="16"/>
      <c r="J455" s="16" t="s">
        <v>27</v>
      </c>
      <c r="K455" s="16" t="s">
        <v>214</v>
      </c>
      <c r="L455" s="16" t="s">
        <v>75</v>
      </c>
      <c r="M455" s="17">
        <v>193</v>
      </c>
      <c r="N455" s="23">
        <v>1.29</v>
      </c>
      <c r="O455" s="16" t="s">
        <v>1063</v>
      </c>
      <c r="P455" s="16" t="s">
        <v>63</v>
      </c>
      <c r="Q455" s="16" t="s">
        <v>29</v>
      </c>
      <c r="R455" s="16" t="s">
        <v>1200</v>
      </c>
      <c r="S455" s="12" t="s">
        <v>2233</v>
      </c>
      <c r="T455" s="13">
        <v>45905</v>
      </c>
      <c r="U455" s="19"/>
      <c r="V455" s="53">
        <f>M455-Z455-AB455-AD455-AF455-AH455-AJ455-AL455-AN455-AP455-AR455-AT455-AV455-AX455-AZ455-BB455-BD455-BF455-BH455-U455</f>
        <v>-2.8000000000000114</v>
      </c>
      <c r="W455" s="22" t="s">
        <v>2236</v>
      </c>
      <c r="X455" s="319" t="s">
        <v>506</v>
      </c>
      <c r="Y455" s="88"/>
      <c r="Z455" s="19">
        <v>195.8</v>
      </c>
      <c r="AA455" s="227">
        <v>45894</v>
      </c>
      <c r="AB455" s="19"/>
      <c r="AC455" s="227"/>
      <c r="AD455" s="19"/>
      <c r="AE455" s="227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28"/>
      <c r="BG455" s="29"/>
      <c r="BH455" s="29"/>
      <c r="BI455" s="29"/>
      <c r="BJ455" s="29"/>
      <c r="BK455" s="29"/>
      <c r="BL455" s="29"/>
      <c r="BM455" s="29"/>
      <c r="BN455" s="29"/>
      <c r="BO455" s="29"/>
    </row>
    <row r="456" spans="1:67" s="28" customFormat="1" ht="20.25" customHeight="1">
      <c r="A456" s="7">
        <v>45884</v>
      </c>
      <c r="B456" s="19" t="s">
        <v>2210</v>
      </c>
      <c r="C456" s="19" t="s">
        <v>243</v>
      </c>
      <c r="D456" s="19" t="s">
        <v>212</v>
      </c>
      <c r="E456" s="19" t="s">
        <v>25</v>
      </c>
      <c r="F456" s="19" t="s">
        <v>2220</v>
      </c>
      <c r="G456" s="19" t="s">
        <v>71</v>
      </c>
      <c r="H456" s="19" t="s">
        <v>31</v>
      </c>
      <c r="I456" s="19"/>
      <c r="J456" s="19" t="s">
        <v>27</v>
      </c>
      <c r="K456" s="19" t="s">
        <v>645</v>
      </c>
      <c r="L456" s="19" t="s">
        <v>75</v>
      </c>
      <c r="M456" s="20">
        <v>50</v>
      </c>
      <c r="N456" s="25">
        <v>1.31</v>
      </c>
      <c r="O456" s="19" t="s">
        <v>67</v>
      </c>
      <c r="P456" s="19" t="s">
        <v>63</v>
      </c>
      <c r="Q456" s="19" t="s">
        <v>932</v>
      </c>
      <c r="R456" s="19" t="s">
        <v>1963</v>
      </c>
      <c r="S456" s="45" t="s">
        <v>1941</v>
      </c>
      <c r="T456" s="8">
        <v>45909</v>
      </c>
      <c r="U456" s="19"/>
      <c r="V456" s="55">
        <f>M456-Z456-AB456-AD456-AF456-AH456-AJ456-AL456-AN456-AP456-AR456-AT456-AV456-AX456-AZ456-BB456-BD456-BF456-BH456-U456</f>
        <v>-5.1999999999999993</v>
      </c>
      <c r="W456" s="15" t="s">
        <v>2237</v>
      </c>
      <c r="X456" s="143" t="s">
        <v>29</v>
      </c>
      <c r="Y456" s="46"/>
      <c r="Z456" s="19">
        <v>24</v>
      </c>
      <c r="AA456" s="138">
        <v>45894</v>
      </c>
      <c r="AB456" s="19">
        <v>31.2</v>
      </c>
      <c r="AC456" s="138">
        <v>45908</v>
      </c>
      <c r="AD456" s="19"/>
      <c r="AE456" s="138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</row>
    <row r="457" spans="1:67" s="28" customFormat="1" ht="20.25" customHeight="1">
      <c r="A457" s="11">
        <v>45884</v>
      </c>
      <c r="B457" s="16" t="s">
        <v>2210</v>
      </c>
      <c r="C457" s="16" t="s">
        <v>243</v>
      </c>
      <c r="D457" s="19" t="s">
        <v>212</v>
      </c>
      <c r="E457" s="19" t="s">
        <v>25</v>
      </c>
      <c r="F457" s="16" t="s">
        <v>2220</v>
      </c>
      <c r="G457" s="16" t="s">
        <v>71</v>
      </c>
      <c r="H457" s="16" t="s">
        <v>31</v>
      </c>
      <c r="I457" s="16"/>
      <c r="J457" s="16" t="s">
        <v>27</v>
      </c>
      <c r="K457" s="16" t="s">
        <v>2229</v>
      </c>
      <c r="L457" s="16" t="s">
        <v>75</v>
      </c>
      <c r="M457" s="17">
        <v>100</v>
      </c>
      <c r="N457" s="23">
        <v>1.31</v>
      </c>
      <c r="O457" s="16" t="s">
        <v>67</v>
      </c>
      <c r="P457" s="16" t="s">
        <v>63</v>
      </c>
      <c r="Q457" s="16" t="s">
        <v>932</v>
      </c>
      <c r="R457" s="16" t="s">
        <v>525</v>
      </c>
      <c r="S457" s="12" t="s">
        <v>1941</v>
      </c>
      <c r="T457" s="13">
        <v>45909</v>
      </c>
      <c r="U457" s="19"/>
      <c r="V457" s="53">
        <f>M457-Z457-AB457-AD457-AF457-AH457-AJ457-AL457-AN457-AP457-AR457-AT457-AV457-AX457-AZ457-BB457-BD457-BF457-BH457-U457</f>
        <v>0</v>
      </c>
      <c r="W457" s="22" t="s">
        <v>2238</v>
      </c>
      <c r="X457" s="319" t="s">
        <v>29</v>
      </c>
      <c r="Y457" s="88"/>
      <c r="Z457" s="19">
        <v>100</v>
      </c>
      <c r="AA457" s="227">
        <v>45894</v>
      </c>
      <c r="AB457" s="19"/>
      <c r="AC457" s="227"/>
      <c r="AD457" s="19"/>
      <c r="AE457" s="227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G457" s="29"/>
      <c r="BH457" s="29"/>
      <c r="BI457" s="29"/>
      <c r="BJ457" s="29"/>
      <c r="BK457" s="29"/>
      <c r="BL457" s="29"/>
      <c r="BM457" s="29"/>
      <c r="BN457" s="29"/>
      <c r="BO457" s="29"/>
    </row>
    <row r="458" spans="1:67" s="28" customFormat="1" ht="20.25" customHeight="1">
      <c r="A458" s="11">
        <v>45884</v>
      </c>
      <c r="B458" s="16" t="s">
        <v>2211</v>
      </c>
      <c r="C458" s="16" t="s">
        <v>243</v>
      </c>
      <c r="D458" s="19" t="s">
        <v>212</v>
      </c>
      <c r="E458" s="19" t="s">
        <v>25</v>
      </c>
      <c r="F458" s="16" t="s">
        <v>2221</v>
      </c>
      <c r="G458" s="16" t="s">
        <v>71</v>
      </c>
      <c r="H458" s="16" t="s">
        <v>31</v>
      </c>
      <c r="I458" s="16"/>
      <c r="J458" s="16" t="s">
        <v>27</v>
      </c>
      <c r="K458" s="16" t="s">
        <v>292</v>
      </c>
      <c r="L458" s="16" t="s">
        <v>75</v>
      </c>
      <c r="M458" s="17">
        <v>200</v>
      </c>
      <c r="N458" s="23">
        <v>1.31</v>
      </c>
      <c r="O458" s="16" t="s">
        <v>67</v>
      </c>
      <c r="P458" s="16" t="s">
        <v>63</v>
      </c>
      <c r="Q458" s="16" t="s">
        <v>2126</v>
      </c>
      <c r="R458" s="16" t="s">
        <v>2127</v>
      </c>
      <c r="S458" s="12" t="s">
        <v>2234</v>
      </c>
      <c r="T458" s="13">
        <v>45910</v>
      </c>
      <c r="U458" s="19"/>
      <c r="V458" s="53">
        <f>M458-Z458-AB458-AD458-AF458-AH458-AJ458-AL458-AN458-AP458-AR458-AT458-AV458-AX458-AZ458-BB458-BD458-BF458-BH458-U458</f>
        <v>-7</v>
      </c>
      <c r="W458" s="22" t="s">
        <v>2239</v>
      </c>
      <c r="X458" s="319" t="s">
        <v>29</v>
      </c>
      <c r="Y458" s="88"/>
      <c r="Z458" s="19">
        <v>207</v>
      </c>
      <c r="AA458" s="227">
        <v>45917</v>
      </c>
      <c r="AB458" s="19"/>
      <c r="AC458" s="227"/>
      <c r="AD458" s="19"/>
      <c r="AE458" s="227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G458" s="29"/>
      <c r="BH458" s="29"/>
      <c r="BI458" s="29"/>
      <c r="BJ458" s="29"/>
      <c r="BK458" s="29"/>
      <c r="BL458" s="29"/>
      <c r="BM458" s="29"/>
      <c r="BN458" s="29"/>
      <c r="BO458" s="29"/>
    </row>
    <row r="459" spans="1:67" s="28" customFormat="1" ht="20.25" customHeight="1">
      <c r="A459" s="11">
        <v>45884</v>
      </c>
      <c r="B459" s="16" t="s">
        <v>2212</v>
      </c>
      <c r="C459" s="16" t="s">
        <v>243</v>
      </c>
      <c r="D459" s="19" t="s">
        <v>212</v>
      </c>
      <c r="E459" s="19" t="s">
        <v>25</v>
      </c>
      <c r="F459" s="16" t="s">
        <v>2222</v>
      </c>
      <c r="G459" s="16" t="s">
        <v>71</v>
      </c>
      <c r="H459" s="16" t="s">
        <v>31</v>
      </c>
      <c r="I459" s="16"/>
      <c r="J459" s="16" t="s">
        <v>27</v>
      </c>
      <c r="K459" s="16" t="s">
        <v>2123</v>
      </c>
      <c r="L459" s="16" t="s">
        <v>75</v>
      </c>
      <c r="M459" s="17">
        <v>200</v>
      </c>
      <c r="N459" s="23">
        <v>1.31</v>
      </c>
      <c r="O459" s="16" t="s">
        <v>67</v>
      </c>
      <c r="P459" s="16" t="s">
        <v>63</v>
      </c>
      <c r="Q459" s="16" t="s">
        <v>2126</v>
      </c>
      <c r="R459" s="16" t="s">
        <v>2127</v>
      </c>
      <c r="S459" s="12" t="s">
        <v>2233</v>
      </c>
      <c r="T459" s="13">
        <v>45910</v>
      </c>
      <c r="U459" s="19"/>
      <c r="V459" s="53">
        <f>M459-Z459-AB459-AD459-AF459-AH459-AJ459-AL459-AN459-AP459-AR459-AT459-AV459-AX459-AZ459-BB459-BD459-BF459-BH459-U459</f>
        <v>-0.59999999999999432</v>
      </c>
      <c r="W459" s="22" t="s">
        <v>2240</v>
      </c>
      <c r="X459" s="319" t="s">
        <v>29</v>
      </c>
      <c r="Y459" s="88"/>
      <c r="Z459" s="19">
        <v>200.6</v>
      </c>
      <c r="AA459" s="227">
        <v>45917</v>
      </c>
      <c r="AB459" s="19"/>
      <c r="AC459" s="227"/>
      <c r="AD459" s="19"/>
      <c r="AE459" s="227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G459" s="29"/>
      <c r="BH459" s="29"/>
      <c r="BI459" s="29"/>
      <c r="BJ459" s="29"/>
      <c r="BK459" s="29"/>
      <c r="BL459" s="29"/>
      <c r="BM459" s="29"/>
      <c r="BN459" s="29"/>
      <c r="BO459" s="29"/>
    </row>
    <row r="460" spans="1:67" s="28" customFormat="1" ht="20.25" customHeight="1">
      <c r="A460" s="11">
        <v>45884</v>
      </c>
      <c r="B460" s="16" t="s">
        <v>2213</v>
      </c>
      <c r="C460" s="16" t="s">
        <v>243</v>
      </c>
      <c r="D460" s="19" t="s">
        <v>212</v>
      </c>
      <c r="E460" s="19" t="s">
        <v>25</v>
      </c>
      <c r="F460" s="16" t="s">
        <v>2223</v>
      </c>
      <c r="G460" s="16" t="s">
        <v>71</v>
      </c>
      <c r="H460" s="16" t="s">
        <v>31</v>
      </c>
      <c r="I460" s="16"/>
      <c r="J460" s="16" t="s">
        <v>27</v>
      </c>
      <c r="K460" s="16" t="s">
        <v>487</v>
      </c>
      <c r="L460" s="16" t="s">
        <v>75</v>
      </c>
      <c r="M460" s="17">
        <v>31</v>
      </c>
      <c r="N460" s="23">
        <v>1.31</v>
      </c>
      <c r="O460" s="16" t="s">
        <v>67</v>
      </c>
      <c r="P460" s="16" t="s">
        <v>63</v>
      </c>
      <c r="Q460" s="16" t="s">
        <v>1286</v>
      </c>
      <c r="R460" s="16" t="s">
        <v>1300</v>
      </c>
      <c r="S460" s="12" t="s">
        <v>2233</v>
      </c>
      <c r="T460" s="13">
        <v>45910</v>
      </c>
      <c r="U460" s="19"/>
      <c r="V460" s="53">
        <f>M460-Z460-AB460-AD460-AF460-AH460-AJ460-AL460-AN460-AP460-AR460-AT460-AV460-AX460-AZ460-BB460-BD460-BF460-BH460-U460</f>
        <v>0</v>
      </c>
      <c r="W460" s="22" t="s">
        <v>2241</v>
      </c>
      <c r="X460" s="319" t="s">
        <v>29</v>
      </c>
      <c r="Y460" s="88" t="s">
        <v>2256</v>
      </c>
      <c r="Z460" s="19">
        <v>31</v>
      </c>
      <c r="AA460" s="227">
        <v>45894</v>
      </c>
      <c r="AB460" s="19"/>
      <c r="AC460" s="227"/>
      <c r="AD460" s="19"/>
      <c r="AE460" s="227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G460" s="29"/>
      <c r="BH460" s="29"/>
      <c r="BI460" s="29"/>
      <c r="BJ460" s="29"/>
      <c r="BK460" s="29"/>
      <c r="BL460" s="29"/>
      <c r="BM460" s="29"/>
      <c r="BN460" s="29"/>
      <c r="BO460" s="29"/>
    </row>
    <row r="461" spans="1:67" s="28" customFormat="1" ht="20.25" customHeight="1">
      <c r="A461" s="11">
        <v>45884</v>
      </c>
      <c r="B461" s="16" t="s">
        <v>2214</v>
      </c>
      <c r="C461" s="16" t="s">
        <v>243</v>
      </c>
      <c r="D461" s="19" t="s">
        <v>212</v>
      </c>
      <c r="E461" s="19" t="s">
        <v>25</v>
      </c>
      <c r="F461" s="16" t="s">
        <v>2224</v>
      </c>
      <c r="G461" s="16" t="s">
        <v>71</v>
      </c>
      <c r="H461" s="16" t="s">
        <v>31</v>
      </c>
      <c r="I461" s="16"/>
      <c r="J461" s="16" t="s">
        <v>27</v>
      </c>
      <c r="K461" s="16" t="s">
        <v>292</v>
      </c>
      <c r="L461" s="16" t="s">
        <v>35</v>
      </c>
      <c r="M461" s="17">
        <v>165</v>
      </c>
      <c r="N461" s="23">
        <v>1.31</v>
      </c>
      <c r="O461" s="16" t="s">
        <v>67</v>
      </c>
      <c r="P461" s="16" t="s">
        <v>29</v>
      </c>
      <c r="Q461" s="16" t="s">
        <v>2126</v>
      </c>
      <c r="R461" s="16" t="s">
        <v>1292</v>
      </c>
      <c r="S461" s="12" t="s">
        <v>2073</v>
      </c>
      <c r="T461" s="13">
        <v>45910</v>
      </c>
      <c r="U461" s="19"/>
      <c r="V461" s="53">
        <f>M461-Z461-AB461-AD461-AF461-AH461-AJ461-AL461-AN461-AP461-AR461-AT461-AV461-AX461-AZ461-BB461-BD461-BF461-BH461-U461</f>
        <v>7.5</v>
      </c>
      <c r="W461" s="22" t="s">
        <v>2242</v>
      </c>
      <c r="X461" s="319" t="s">
        <v>29</v>
      </c>
      <c r="Y461" s="88"/>
      <c r="Z461" s="19">
        <v>157.5</v>
      </c>
      <c r="AA461" s="227">
        <v>45917</v>
      </c>
      <c r="AB461" s="19"/>
      <c r="AC461" s="227"/>
      <c r="AD461" s="19"/>
      <c r="AE461" s="227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G461" s="29"/>
      <c r="BH461" s="29"/>
      <c r="BI461" s="29"/>
      <c r="BJ461" s="29"/>
      <c r="BK461" s="29"/>
      <c r="BL461" s="29"/>
      <c r="BM461" s="29"/>
      <c r="BN461" s="29"/>
      <c r="BO461" s="29"/>
    </row>
    <row r="462" spans="1:67" s="36" customFormat="1" ht="20.25" customHeight="1">
      <c r="A462" s="11">
        <v>45884</v>
      </c>
      <c r="B462" s="16" t="s">
        <v>2215</v>
      </c>
      <c r="C462" s="16" t="s">
        <v>243</v>
      </c>
      <c r="D462" s="19" t="s">
        <v>212</v>
      </c>
      <c r="E462" s="19" t="s">
        <v>25</v>
      </c>
      <c r="F462" s="16" t="s">
        <v>2225</v>
      </c>
      <c r="G462" s="16" t="s">
        <v>71</v>
      </c>
      <c r="H462" s="16" t="s">
        <v>31</v>
      </c>
      <c r="I462" s="16"/>
      <c r="J462" s="16" t="s">
        <v>27</v>
      </c>
      <c r="K462" s="16" t="s">
        <v>2229</v>
      </c>
      <c r="L462" s="16" t="s">
        <v>35</v>
      </c>
      <c r="M462" s="17">
        <v>43.5</v>
      </c>
      <c r="N462" s="23">
        <v>1.31</v>
      </c>
      <c r="O462" s="16" t="s">
        <v>67</v>
      </c>
      <c r="P462" s="16" t="s">
        <v>63</v>
      </c>
      <c r="Q462" s="16" t="s">
        <v>920</v>
      </c>
      <c r="R462" s="16" t="s">
        <v>791</v>
      </c>
      <c r="S462" s="12" t="s">
        <v>2073</v>
      </c>
      <c r="T462" s="13">
        <v>45910</v>
      </c>
      <c r="U462" s="19"/>
      <c r="V462" s="53">
        <f>M462-Z462-AB462-AD462-AF462-AH462-AJ462-AL462-AN462-AP462-AR462-AT462-AV462-AX462-AZ462-BB462-BD462-BF462-BH462-U462</f>
        <v>-3.3999999999999986</v>
      </c>
      <c r="W462" s="22" t="s">
        <v>2243</v>
      </c>
      <c r="X462" s="319" t="s">
        <v>29</v>
      </c>
      <c r="Y462" s="88"/>
      <c r="Z462" s="19">
        <v>46.9</v>
      </c>
      <c r="AA462" s="227">
        <v>45894</v>
      </c>
      <c r="AB462" s="19"/>
      <c r="AC462" s="227"/>
      <c r="AD462" s="19"/>
      <c r="AE462" s="227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28"/>
      <c r="BG462" s="29"/>
      <c r="BH462" s="29"/>
      <c r="BI462" s="29"/>
      <c r="BJ462" s="29"/>
      <c r="BK462" s="29"/>
      <c r="BL462" s="29"/>
      <c r="BM462" s="29"/>
      <c r="BN462" s="29"/>
      <c r="BO462" s="29"/>
    </row>
    <row r="463" spans="1:67" s="28" customFormat="1" ht="20.25" customHeight="1">
      <c r="A463" s="7">
        <v>45884</v>
      </c>
      <c r="B463" s="19" t="s">
        <v>2216</v>
      </c>
      <c r="C463" s="19" t="s">
        <v>243</v>
      </c>
      <c r="D463" s="19" t="s">
        <v>212</v>
      </c>
      <c r="E463" s="19" t="s">
        <v>25</v>
      </c>
      <c r="F463" s="19" t="s">
        <v>2226</v>
      </c>
      <c r="G463" s="19" t="s">
        <v>71</v>
      </c>
      <c r="H463" s="19" t="s">
        <v>31</v>
      </c>
      <c r="I463" s="19"/>
      <c r="J463" s="19" t="s">
        <v>27</v>
      </c>
      <c r="K463" s="16" t="s">
        <v>487</v>
      </c>
      <c r="L463" s="19" t="s">
        <v>75</v>
      </c>
      <c r="M463" s="20">
        <v>140</v>
      </c>
      <c r="N463" s="25">
        <v>1.31</v>
      </c>
      <c r="O463" s="19" t="s">
        <v>67</v>
      </c>
      <c r="P463" s="19" t="s">
        <v>63</v>
      </c>
      <c r="Q463" s="19" t="s">
        <v>2126</v>
      </c>
      <c r="R463" s="19" t="s">
        <v>2186</v>
      </c>
      <c r="S463" s="45" t="s">
        <v>2233</v>
      </c>
      <c r="T463" s="8">
        <v>45910</v>
      </c>
      <c r="U463" s="19"/>
      <c r="V463" s="55">
        <f>M463-Z463-AB463-AD463-AF463-AH463-AJ463-AL463-AN463-AP463-AR463-AT463-AV463-AX463-AZ463-BB463-BD463-BF463-BH463-U463</f>
        <v>-2.9000000000000021</v>
      </c>
      <c r="W463" s="15" t="s">
        <v>2244</v>
      </c>
      <c r="X463" s="143"/>
      <c r="Y463" s="46" t="s">
        <v>2256</v>
      </c>
      <c r="Z463" s="19">
        <v>124.2</v>
      </c>
      <c r="AA463" s="138">
        <v>45894</v>
      </c>
      <c r="AB463" s="19">
        <v>18.7</v>
      </c>
      <c r="AC463" s="138">
        <v>45908</v>
      </c>
      <c r="AD463" s="19"/>
      <c r="AE463" s="138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</row>
    <row r="464" spans="1:67" s="28" customFormat="1" ht="20.25" customHeight="1">
      <c r="A464" s="11">
        <v>45884</v>
      </c>
      <c r="B464" s="16" t="s">
        <v>2217</v>
      </c>
      <c r="C464" s="16" t="s">
        <v>267</v>
      </c>
      <c r="D464" s="19" t="s">
        <v>212</v>
      </c>
      <c r="E464" s="19" t="s">
        <v>25</v>
      </c>
      <c r="F464" s="16" t="s">
        <v>2227</v>
      </c>
      <c r="G464" s="16" t="s">
        <v>71</v>
      </c>
      <c r="H464" s="16" t="s">
        <v>31</v>
      </c>
      <c r="I464" s="16"/>
      <c r="J464" s="16" t="s">
        <v>27</v>
      </c>
      <c r="K464" s="16" t="s">
        <v>2230</v>
      </c>
      <c r="L464" s="16" t="s">
        <v>75</v>
      </c>
      <c r="M464" s="17">
        <v>3700</v>
      </c>
      <c r="N464" s="23">
        <v>1.29</v>
      </c>
      <c r="O464" s="16" t="s">
        <v>67</v>
      </c>
      <c r="P464" s="16" t="s">
        <v>63</v>
      </c>
      <c r="Q464" s="16" t="s">
        <v>29</v>
      </c>
      <c r="R464" s="16" t="s">
        <v>2232</v>
      </c>
      <c r="S464" s="12" t="s">
        <v>1968</v>
      </c>
      <c r="T464" s="13">
        <v>45898</v>
      </c>
      <c r="U464" s="19"/>
      <c r="V464" s="53">
        <f>M464-Z464-AB464-AD464-AF464-AH464-AJ464-AL464-AN464-AP464-AR464-AT464-AV464-AX464-AZ464-BB464-BD464-BF464-BH464-U464</f>
        <v>-3.5</v>
      </c>
      <c r="W464" s="22" t="s">
        <v>2245</v>
      </c>
      <c r="X464" s="319" t="s">
        <v>29</v>
      </c>
      <c r="Y464" s="88"/>
      <c r="Z464" s="19">
        <v>3703.5</v>
      </c>
      <c r="AA464" s="227">
        <v>45890</v>
      </c>
      <c r="AB464" s="19"/>
      <c r="AC464" s="227"/>
      <c r="AD464" s="19"/>
      <c r="AE464" s="227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G464" s="29"/>
      <c r="BH464" s="29"/>
      <c r="BI464" s="29"/>
      <c r="BJ464" s="29"/>
      <c r="BK464" s="29"/>
      <c r="BL464" s="29"/>
      <c r="BM464" s="29"/>
      <c r="BN464" s="29"/>
      <c r="BO464" s="29"/>
    </row>
    <row r="465" spans="1:67" s="28" customFormat="1" ht="20.25" customHeight="1">
      <c r="A465" s="11">
        <v>45887</v>
      </c>
      <c r="B465" s="16" t="s">
        <v>2248</v>
      </c>
      <c r="C465" s="16" t="s">
        <v>267</v>
      </c>
      <c r="D465" s="16" t="s">
        <v>212</v>
      </c>
      <c r="E465" s="19" t="s">
        <v>34</v>
      </c>
      <c r="F465" s="16" t="s">
        <v>2250</v>
      </c>
      <c r="G465" s="16" t="s">
        <v>71</v>
      </c>
      <c r="H465" s="16" t="s">
        <v>31</v>
      </c>
      <c r="I465" s="16"/>
      <c r="J465" s="16" t="s">
        <v>27</v>
      </c>
      <c r="K465" s="16" t="s">
        <v>214</v>
      </c>
      <c r="L465" s="16" t="s">
        <v>75</v>
      </c>
      <c r="M465" s="17">
        <v>150</v>
      </c>
      <c r="N465" s="23">
        <v>1.29</v>
      </c>
      <c r="O465" s="16" t="s">
        <v>1063</v>
      </c>
      <c r="P465" s="16" t="s">
        <v>63</v>
      </c>
      <c r="Q465" s="16" t="s">
        <v>29</v>
      </c>
      <c r="R465" s="16" t="s">
        <v>1576</v>
      </c>
      <c r="S465" s="12" t="s">
        <v>2099</v>
      </c>
      <c r="T465" s="13">
        <v>45901</v>
      </c>
      <c r="U465" s="19"/>
      <c r="V465" s="53">
        <f>M465-Z465-AB465-AD465-AF465-AH465-AJ465-AL465-AN465-AP465-AR465-AT465-AV465-AX465-AZ465-BB465-BD465-BF465-BH465-U465</f>
        <v>-1.9000000000000057</v>
      </c>
      <c r="W465" s="22" t="s">
        <v>2252</v>
      </c>
      <c r="X465" s="88" t="s">
        <v>29</v>
      </c>
      <c r="Y465" s="88"/>
      <c r="Z465" s="19">
        <v>151.9</v>
      </c>
      <c r="AA465" s="227">
        <v>45902</v>
      </c>
      <c r="AB465" s="19"/>
      <c r="AC465" s="227"/>
      <c r="AD465" s="19"/>
      <c r="AE465" s="227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G465" s="29"/>
      <c r="BH465" s="29"/>
      <c r="BI465" s="29"/>
      <c r="BJ465" s="29"/>
      <c r="BK465" s="29"/>
      <c r="BL465" s="29"/>
      <c r="BM465" s="29"/>
      <c r="BN465" s="29"/>
      <c r="BO465" s="29"/>
    </row>
    <row r="466" spans="1:67" s="28" customFormat="1" ht="20.25" customHeight="1">
      <c r="A466" s="11">
        <v>45887</v>
      </c>
      <c r="B466" s="16" t="s">
        <v>2249</v>
      </c>
      <c r="C466" s="16" t="s">
        <v>304</v>
      </c>
      <c r="D466" s="16" t="s">
        <v>212</v>
      </c>
      <c r="E466" s="19" t="s">
        <v>34</v>
      </c>
      <c r="F466" s="16" t="s">
        <v>2251</v>
      </c>
      <c r="G466" s="16" t="s">
        <v>71</v>
      </c>
      <c r="H466" s="16" t="s">
        <v>26</v>
      </c>
      <c r="I466" s="1"/>
      <c r="J466" s="1" t="s">
        <v>27</v>
      </c>
      <c r="K466" s="16" t="s">
        <v>340</v>
      </c>
      <c r="L466" s="16" t="s">
        <v>75</v>
      </c>
      <c r="M466" s="17">
        <v>50</v>
      </c>
      <c r="N466" s="23">
        <v>1.29</v>
      </c>
      <c r="O466" s="16" t="s">
        <v>67</v>
      </c>
      <c r="P466" s="16" t="s">
        <v>63</v>
      </c>
      <c r="Q466" s="16" t="s">
        <v>29</v>
      </c>
      <c r="R466" s="16" t="s">
        <v>1526</v>
      </c>
      <c r="S466" s="12" t="s">
        <v>2098</v>
      </c>
      <c r="T466" s="13">
        <v>45908</v>
      </c>
      <c r="U466" s="19"/>
      <c r="V466" s="53">
        <f>M466-Z466-AB466-AD466-AF466-AH466-AJ466-AL466-AN466-AP466-AR466-AT466-AV466-AX466-AZ466-BB466-BD466-BF466-BH466-U466</f>
        <v>0</v>
      </c>
      <c r="W466" s="22" t="s">
        <v>2253</v>
      </c>
      <c r="X466" s="88" t="s">
        <v>29</v>
      </c>
      <c r="Y466" s="88"/>
      <c r="Z466" s="19">
        <v>50</v>
      </c>
      <c r="AA466" s="227">
        <v>45902</v>
      </c>
      <c r="AB466" s="19"/>
      <c r="AC466" s="227"/>
      <c r="AD466" s="19"/>
      <c r="AE466" s="227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G466" s="29"/>
      <c r="BH466" s="29"/>
      <c r="BI466" s="29"/>
      <c r="BJ466" s="29"/>
      <c r="BK466" s="29"/>
      <c r="BL466" s="29"/>
      <c r="BM466" s="29"/>
      <c r="BN466" s="29"/>
      <c r="BO466" s="29"/>
    </row>
    <row r="467" spans="1:67" s="28" customFormat="1" ht="20.25" customHeight="1">
      <c r="A467" s="11">
        <v>45888</v>
      </c>
      <c r="B467" s="16" t="s">
        <v>2262</v>
      </c>
      <c r="C467" s="16" t="s">
        <v>228</v>
      </c>
      <c r="D467" s="16" t="s">
        <v>212</v>
      </c>
      <c r="E467" s="19" t="s">
        <v>25</v>
      </c>
      <c r="F467" s="16" t="s">
        <v>2265</v>
      </c>
      <c r="G467" s="16" t="s">
        <v>71</v>
      </c>
      <c r="H467" s="16" t="s">
        <v>31</v>
      </c>
      <c r="I467" s="16"/>
      <c r="J467" s="16" t="s">
        <v>27</v>
      </c>
      <c r="K467" s="16" t="s">
        <v>1116</v>
      </c>
      <c r="L467" s="16" t="s">
        <v>35</v>
      </c>
      <c r="M467" s="17">
        <v>200</v>
      </c>
      <c r="N467" s="23">
        <v>1.31</v>
      </c>
      <c r="O467" s="16" t="s">
        <v>67</v>
      </c>
      <c r="P467" s="16" t="s">
        <v>63</v>
      </c>
      <c r="Q467" s="16" t="s">
        <v>480</v>
      </c>
      <c r="R467" s="16" t="s">
        <v>481</v>
      </c>
      <c r="S467" s="12" t="s">
        <v>2053</v>
      </c>
      <c r="T467" s="13">
        <v>45902</v>
      </c>
      <c r="U467" s="19"/>
      <c r="V467" s="53">
        <f>M467-Z467-AB467-AD467-AF467-AH467-AJ467-AL467-AN467-AP467-AR467-AT467-AV467-AX467-AZ467-BB467-BD467-BF467-BH467-U467</f>
        <v>-1.0999999999999943</v>
      </c>
      <c r="W467" s="22" t="s">
        <v>2269</v>
      </c>
      <c r="X467" s="88" t="s">
        <v>29</v>
      </c>
      <c r="Y467" s="88"/>
      <c r="Z467" s="19">
        <v>201.1</v>
      </c>
      <c r="AA467" s="227">
        <v>45902</v>
      </c>
      <c r="AB467" s="19"/>
      <c r="AC467" s="227"/>
      <c r="AD467" s="19"/>
      <c r="AE467" s="227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G467" s="29"/>
      <c r="BH467" s="29"/>
      <c r="BI467" s="29"/>
      <c r="BJ467" s="29"/>
      <c r="BK467" s="29"/>
      <c r="BL467" s="29"/>
      <c r="BM467" s="29"/>
      <c r="BN467" s="29"/>
      <c r="BO467" s="29"/>
    </row>
    <row r="468" spans="1:67" s="36" customFormat="1" ht="20.25" customHeight="1">
      <c r="A468" s="7">
        <v>45888</v>
      </c>
      <c r="B468" s="19" t="s">
        <v>2263</v>
      </c>
      <c r="C468" s="19" t="s">
        <v>243</v>
      </c>
      <c r="D468" s="19" t="s">
        <v>212</v>
      </c>
      <c r="E468" s="19" t="s">
        <v>25</v>
      </c>
      <c r="F468" s="19" t="s">
        <v>2266</v>
      </c>
      <c r="G468" s="19" t="s">
        <v>71</v>
      </c>
      <c r="H468" s="19" t="s">
        <v>31</v>
      </c>
      <c r="I468" s="19"/>
      <c r="J468" s="19" t="s">
        <v>27</v>
      </c>
      <c r="K468" s="19" t="s">
        <v>2123</v>
      </c>
      <c r="L468" s="19" t="s">
        <v>35</v>
      </c>
      <c r="M468" s="20">
        <v>500</v>
      </c>
      <c r="N468" s="25">
        <v>1.31</v>
      </c>
      <c r="O468" s="19" t="s">
        <v>67</v>
      </c>
      <c r="P468" s="19" t="s">
        <v>63</v>
      </c>
      <c r="Q468" s="19" t="s">
        <v>2126</v>
      </c>
      <c r="R468" s="19" t="s">
        <v>2185</v>
      </c>
      <c r="S468" s="45" t="s">
        <v>2268</v>
      </c>
      <c r="T468" s="8">
        <v>45909</v>
      </c>
      <c r="U468" s="19"/>
      <c r="V468" s="55">
        <f>M468-Z468-AB468-AD468-AF468-AH468-AJ468-AL468-AN468-AP468-AR468-AT468-AV468-AX468-AZ468-BB468-BD468-BF468-BH468-U468</f>
        <v>-3.5</v>
      </c>
      <c r="W468" s="15" t="s">
        <v>2270</v>
      </c>
      <c r="X468" s="46" t="s">
        <v>29</v>
      </c>
      <c r="Y468" s="46"/>
      <c r="Z468" s="19">
        <v>503.5</v>
      </c>
      <c r="AA468" s="138">
        <v>45908</v>
      </c>
      <c r="AB468" s="19"/>
      <c r="AC468" s="138"/>
      <c r="AD468" s="19"/>
      <c r="AE468" s="138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</row>
    <row r="469" spans="1:67" s="28" customFormat="1" ht="20.25" customHeight="1">
      <c r="A469" s="11">
        <v>45888</v>
      </c>
      <c r="B469" s="16" t="s">
        <v>2264</v>
      </c>
      <c r="C469" s="16" t="s">
        <v>304</v>
      </c>
      <c r="D469" s="16" t="s">
        <v>212</v>
      </c>
      <c r="E469" s="19" t="s">
        <v>25</v>
      </c>
      <c r="F469" s="16" t="s">
        <v>2267</v>
      </c>
      <c r="G469" s="16" t="s">
        <v>71</v>
      </c>
      <c r="H469" s="16" t="s">
        <v>31</v>
      </c>
      <c r="I469" s="16"/>
      <c r="J469" s="16" t="s">
        <v>27</v>
      </c>
      <c r="K469" s="16" t="s">
        <v>214</v>
      </c>
      <c r="L469" s="16" t="s">
        <v>75</v>
      </c>
      <c r="M469" s="17">
        <v>125</v>
      </c>
      <c r="N469" s="23">
        <v>1.29</v>
      </c>
      <c r="O469" s="16" t="s">
        <v>1063</v>
      </c>
      <c r="P469" s="16" t="s">
        <v>63</v>
      </c>
      <c r="Q469" s="16" t="s">
        <v>29</v>
      </c>
      <c r="R469" s="16" t="s">
        <v>1200</v>
      </c>
      <c r="S469" s="12" t="s">
        <v>2268</v>
      </c>
      <c r="T469" s="13">
        <v>45909</v>
      </c>
      <c r="U469" s="19"/>
      <c r="V469" s="53">
        <f>M469-Z469-AB469-AD469-AF469-AH469-AJ469-AL469-AN469-AP469-AR469-AT469-AV469-AX469-AZ469-BB469-BD469-BF469-BH469-U469</f>
        <v>-0.40000000000000568</v>
      </c>
      <c r="W469" s="22" t="s">
        <v>2271</v>
      </c>
      <c r="X469" s="88" t="s">
        <v>29</v>
      </c>
      <c r="Y469" s="88"/>
      <c r="Z469" s="19">
        <v>125.4</v>
      </c>
      <c r="AA469" s="227">
        <v>45894</v>
      </c>
      <c r="AB469" s="19"/>
      <c r="AC469" s="227"/>
      <c r="AD469" s="19"/>
      <c r="AE469" s="227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G469" s="29"/>
      <c r="BH469" s="29"/>
      <c r="BI469" s="29"/>
      <c r="BJ469" s="29"/>
      <c r="BK469" s="29"/>
      <c r="BL469" s="29"/>
      <c r="BM469" s="29"/>
      <c r="BN469" s="29"/>
      <c r="BO469" s="29"/>
    </row>
    <row r="470" spans="1:67" s="282" customFormat="1" ht="20.25" customHeight="1">
      <c r="A470" s="272">
        <v>45889</v>
      </c>
      <c r="B470" s="273" t="s">
        <v>2288</v>
      </c>
      <c r="C470" s="273" t="s">
        <v>243</v>
      </c>
      <c r="D470" s="273" t="s">
        <v>212</v>
      </c>
      <c r="E470" s="278" t="s">
        <v>25</v>
      </c>
      <c r="F470" s="273" t="s">
        <v>2291</v>
      </c>
      <c r="G470" s="273" t="s">
        <v>71</v>
      </c>
      <c r="H470" s="273" t="s">
        <v>31</v>
      </c>
      <c r="I470" s="273"/>
      <c r="J470" s="273" t="s">
        <v>27</v>
      </c>
      <c r="K470" s="273" t="s">
        <v>292</v>
      </c>
      <c r="L470" s="273" t="s">
        <v>75</v>
      </c>
      <c r="M470" s="274"/>
      <c r="N470" s="275">
        <v>1.31</v>
      </c>
      <c r="O470" s="273" t="s">
        <v>67</v>
      </c>
      <c r="P470" s="273" t="s">
        <v>63</v>
      </c>
      <c r="Q470" s="273" t="s">
        <v>2126</v>
      </c>
      <c r="R470" s="273" t="s">
        <v>2185</v>
      </c>
      <c r="S470" s="276" t="s">
        <v>2268</v>
      </c>
      <c r="T470" s="277">
        <v>45909</v>
      </c>
      <c r="U470" s="278"/>
      <c r="V470" s="279">
        <f>M470-Z470-AB470-AD470-AF470-AH470-AJ470-AL470-AN470-AP470-AR470-AT470-AV470-AX470-AZ470-BB470-BD470-BF470-BH470-U470</f>
        <v>0</v>
      </c>
      <c r="W470" s="280" t="s">
        <v>2294</v>
      </c>
      <c r="X470" s="281"/>
      <c r="Y470" s="281"/>
      <c r="Z470" s="278"/>
      <c r="AA470" s="320"/>
      <c r="AB470" s="278"/>
      <c r="AC470" s="320"/>
      <c r="AD470" s="278"/>
      <c r="AE470" s="320"/>
      <c r="AF470" s="281"/>
      <c r="AG470" s="281"/>
      <c r="AH470" s="281"/>
      <c r="AI470" s="281"/>
      <c r="AJ470" s="281"/>
      <c r="AK470" s="281"/>
      <c r="AL470" s="281"/>
      <c r="AM470" s="281"/>
      <c r="AN470" s="281"/>
      <c r="AO470" s="281"/>
      <c r="AP470" s="281"/>
      <c r="AQ470" s="281"/>
      <c r="AR470" s="281"/>
      <c r="AS470" s="281"/>
      <c r="AT470" s="281"/>
      <c r="AU470" s="281"/>
      <c r="AV470" s="281"/>
      <c r="AW470" s="281"/>
      <c r="AX470" s="281"/>
      <c r="AY470" s="281"/>
      <c r="AZ470" s="281"/>
      <c r="BA470" s="281"/>
      <c r="BB470" s="281"/>
      <c r="BC470" s="281"/>
      <c r="BD470" s="281"/>
      <c r="BE470" s="281"/>
      <c r="BG470" s="286"/>
      <c r="BH470" s="286"/>
      <c r="BI470" s="286"/>
      <c r="BJ470" s="286"/>
      <c r="BK470" s="286"/>
      <c r="BL470" s="286"/>
      <c r="BM470" s="286"/>
      <c r="BN470" s="286"/>
      <c r="BO470" s="286"/>
    </row>
    <row r="471" spans="1:67" s="36" customFormat="1" ht="20.25" customHeight="1">
      <c r="A471" s="7">
        <v>45889</v>
      </c>
      <c r="B471" s="19" t="s">
        <v>2289</v>
      </c>
      <c r="C471" s="19" t="s">
        <v>243</v>
      </c>
      <c r="D471" s="19" t="s">
        <v>212</v>
      </c>
      <c r="E471" s="19" t="s">
        <v>25</v>
      </c>
      <c r="F471" s="19" t="s">
        <v>2292</v>
      </c>
      <c r="G471" s="19" t="s">
        <v>71</v>
      </c>
      <c r="H471" s="19" t="s">
        <v>31</v>
      </c>
      <c r="I471" s="19"/>
      <c r="J471" s="19" t="s">
        <v>27</v>
      </c>
      <c r="K471" s="19" t="s">
        <v>292</v>
      </c>
      <c r="L471" s="19" t="s">
        <v>75</v>
      </c>
      <c r="M471" s="20">
        <v>17330.8</v>
      </c>
      <c r="N471" s="25">
        <v>1.31</v>
      </c>
      <c r="O471" s="19" t="s">
        <v>67</v>
      </c>
      <c r="P471" s="19" t="s">
        <v>63</v>
      </c>
      <c r="Q471" s="19" t="s">
        <v>2126</v>
      </c>
      <c r="R471" s="19" t="s">
        <v>2185</v>
      </c>
      <c r="S471" s="45" t="s">
        <v>2268</v>
      </c>
      <c r="T471" s="8">
        <v>45909</v>
      </c>
      <c r="U471" s="19"/>
      <c r="V471" s="55">
        <f>M471-Z471-AB471-AD471-AF471-AH471-AJ471-AL471-AN471-AP471-AR471-AT471-AV471-AX471-AZ471-BB471-BD471-BF471-BH471-U471</f>
        <v>-0.3000000000035925</v>
      </c>
      <c r="W471" s="15" t="s">
        <v>2295</v>
      </c>
      <c r="X471" s="46"/>
      <c r="Y471" s="46"/>
      <c r="Z471" s="19">
        <f>3619.3+3999+4748.6+2200.7+1987.2</f>
        <v>16554.800000000003</v>
      </c>
      <c r="AA471" s="138">
        <v>45908</v>
      </c>
      <c r="AB471" s="19">
        <v>776.3</v>
      </c>
      <c r="AC471" s="138">
        <v>45917</v>
      </c>
      <c r="AD471" s="19"/>
      <c r="AE471" s="138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</row>
    <row r="472" spans="1:67" s="28" customFormat="1" ht="20.25" customHeight="1">
      <c r="A472" s="11">
        <v>45889</v>
      </c>
      <c r="B472" s="16" t="s">
        <v>2290</v>
      </c>
      <c r="C472" s="16" t="s">
        <v>298</v>
      </c>
      <c r="D472" s="16" t="s">
        <v>212</v>
      </c>
      <c r="E472" s="19" t="s">
        <v>25</v>
      </c>
      <c r="F472" s="16" t="s">
        <v>2293</v>
      </c>
      <c r="G472" s="16" t="s">
        <v>71</v>
      </c>
      <c r="H472" s="16" t="s">
        <v>31</v>
      </c>
      <c r="I472" s="16"/>
      <c r="J472" s="16" t="s">
        <v>27</v>
      </c>
      <c r="K472" s="16" t="s">
        <v>214</v>
      </c>
      <c r="L472" s="16" t="s">
        <v>75</v>
      </c>
      <c r="M472" s="17">
        <v>130</v>
      </c>
      <c r="N472" s="23">
        <v>1.31</v>
      </c>
      <c r="O472" s="16" t="s">
        <v>67</v>
      </c>
      <c r="P472" s="16" t="s">
        <v>63</v>
      </c>
      <c r="Q472" s="16" t="s">
        <v>29</v>
      </c>
      <c r="R472" s="16" t="s">
        <v>1618</v>
      </c>
      <c r="S472" s="12" t="s">
        <v>2268</v>
      </c>
      <c r="T472" s="13">
        <v>45909</v>
      </c>
      <c r="U472" s="19"/>
      <c r="V472" s="53">
        <f>M472-Z472-AB472-AD472-AF472-AH472-AJ472-AL472-AN472-AP472-AR472-AT472-AV472-AX472-AZ472-BB472-BD472-BF472-BH472-U472</f>
        <v>-9.9999999999994316E-2</v>
      </c>
      <c r="W472" s="22" t="s">
        <v>2296</v>
      </c>
      <c r="X472" s="88"/>
      <c r="Y472" s="88"/>
      <c r="Z472" s="19">
        <v>130.1</v>
      </c>
      <c r="AA472" s="227">
        <v>45902</v>
      </c>
      <c r="AB472" s="19"/>
      <c r="AC472" s="227"/>
      <c r="AD472" s="19"/>
      <c r="AE472" s="227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G472" s="29"/>
      <c r="BH472" s="29"/>
      <c r="BI472" s="29"/>
      <c r="BJ472" s="29"/>
      <c r="BK472" s="29"/>
      <c r="BL472" s="29"/>
      <c r="BM472" s="29"/>
      <c r="BN472" s="29"/>
      <c r="BO472" s="29"/>
    </row>
    <row r="473" spans="1:67" s="282" customFormat="1" ht="20.25" customHeight="1">
      <c r="A473" s="272">
        <v>45890</v>
      </c>
      <c r="B473" s="273" t="s">
        <v>2328</v>
      </c>
      <c r="C473" s="273" t="s">
        <v>243</v>
      </c>
      <c r="D473" s="273" t="s">
        <v>212</v>
      </c>
      <c r="E473" s="278" t="s">
        <v>25</v>
      </c>
      <c r="F473" s="273" t="s">
        <v>2331</v>
      </c>
      <c r="G473" s="273" t="s">
        <v>71</v>
      </c>
      <c r="H473" s="273" t="s">
        <v>31</v>
      </c>
      <c r="I473" s="273"/>
      <c r="J473" s="273" t="s">
        <v>27</v>
      </c>
      <c r="K473" s="273" t="s">
        <v>214</v>
      </c>
      <c r="L473" s="273" t="s">
        <v>75</v>
      </c>
      <c r="M473" s="274"/>
      <c r="N473" s="275">
        <v>1.31</v>
      </c>
      <c r="O473" s="273" t="s">
        <v>1063</v>
      </c>
      <c r="P473" s="273" t="s">
        <v>63</v>
      </c>
      <c r="Q473" s="273" t="s">
        <v>920</v>
      </c>
      <c r="R473" s="273" t="s">
        <v>2000</v>
      </c>
      <c r="S473" s="276" t="s">
        <v>2234</v>
      </c>
      <c r="T473" s="277">
        <v>45910</v>
      </c>
      <c r="U473" s="278">
        <v>275.60000000000002</v>
      </c>
      <c r="V473" s="279">
        <f>M473-Z473-AB473-AD473-AF473-AH473-AJ473-AL473-AN473-AP473-AR473-AT473-AV473-AX473-AZ473-BB473-BD473-BF473-BH473-U473</f>
        <v>-275.60000000000002</v>
      </c>
      <c r="W473" s="280" t="s">
        <v>2671</v>
      </c>
      <c r="X473" s="281" t="s">
        <v>2389</v>
      </c>
      <c r="Y473" s="281"/>
      <c r="Z473" s="278"/>
      <c r="AA473" s="320"/>
      <c r="AB473" s="278"/>
      <c r="AC473" s="320"/>
      <c r="AD473" s="278"/>
      <c r="AE473" s="320"/>
      <c r="AF473" s="281"/>
      <c r="AG473" s="281"/>
      <c r="AH473" s="281"/>
      <c r="AI473" s="281"/>
      <c r="AJ473" s="281"/>
      <c r="AK473" s="281"/>
      <c r="AL473" s="281"/>
      <c r="AM473" s="281"/>
      <c r="AN473" s="281"/>
      <c r="AO473" s="281"/>
      <c r="AP473" s="281"/>
      <c r="AQ473" s="281"/>
      <c r="AR473" s="281"/>
      <c r="AS473" s="281"/>
      <c r="AT473" s="281"/>
      <c r="AU473" s="281"/>
      <c r="AV473" s="281"/>
      <c r="AW473" s="281"/>
      <c r="AX473" s="281"/>
      <c r="AY473" s="281"/>
      <c r="AZ473" s="281"/>
      <c r="BA473" s="281"/>
      <c r="BB473" s="281"/>
      <c r="BC473" s="281"/>
      <c r="BD473" s="281"/>
      <c r="BE473" s="281"/>
      <c r="BG473" s="286"/>
      <c r="BH473" s="286"/>
      <c r="BI473" s="286"/>
      <c r="BJ473" s="286"/>
      <c r="BK473" s="286"/>
      <c r="BL473" s="286"/>
      <c r="BM473" s="286"/>
      <c r="BN473" s="286"/>
      <c r="BO473" s="286"/>
    </row>
    <row r="474" spans="1:67" s="282" customFormat="1" ht="20.25" customHeight="1">
      <c r="A474" s="272">
        <v>45890</v>
      </c>
      <c r="B474" s="273" t="s">
        <v>2329</v>
      </c>
      <c r="C474" s="273" t="s">
        <v>243</v>
      </c>
      <c r="D474" s="273" t="s">
        <v>212</v>
      </c>
      <c r="E474" s="278" t="s">
        <v>25</v>
      </c>
      <c r="F474" s="273" t="s">
        <v>2332</v>
      </c>
      <c r="G474" s="273" t="s">
        <v>71</v>
      </c>
      <c r="H474" s="273" t="s">
        <v>31</v>
      </c>
      <c r="I474" s="273"/>
      <c r="J474" s="273" t="s">
        <v>27</v>
      </c>
      <c r="K474" s="273" t="s">
        <v>292</v>
      </c>
      <c r="L474" s="273" t="s">
        <v>75</v>
      </c>
      <c r="M474" s="274"/>
      <c r="N474" s="275">
        <v>1.31</v>
      </c>
      <c r="O474" s="273" t="s">
        <v>67</v>
      </c>
      <c r="P474" s="273" t="s">
        <v>63</v>
      </c>
      <c r="Q474" s="273" t="s">
        <v>2126</v>
      </c>
      <c r="R474" s="273" t="s">
        <v>2334</v>
      </c>
      <c r="S474" s="276" t="s">
        <v>2234</v>
      </c>
      <c r="T474" s="277">
        <v>45910</v>
      </c>
      <c r="U474" s="278"/>
      <c r="V474" s="279">
        <f>M474-Z474-AB474-AD474-AF474-AH474-AJ474-AL474-AN474-AP474-AR474-AT474-AV474-AX474-AZ474-BB474-BD474-BF474-BH474-U474</f>
        <v>0</v>
      </c>
      <c r="W474" s="280" t="s">
        <v>2335</v>
      </c>
      <c r="X474" s="281" t="s">
        <v>29</v>
      </c>
      <c r="Y474" s="281"/>
      <c r="Z474" s="278"/>
      <c r="AA474" s="320"/>
      <c r="AB474" s="278"/>
      <c r="AC474" s="320"/>
      <c r="AD474" s="278"/>
      <c r="AE474" s="320"/>
      <c r="AF474" s="281"/>
      <c r="AG474" s="281"/>
      <c r="AH474" s="281"/>
      <c r="AI474" s="281"/>
      <c r="AJ474" s="281"/>
      <c r="AK474" s="281"/>
      <c r="AL474" s="281"/>
      <c r="AM474" s="281"/>
      <c r="AN474" s="281"/>
      <c r="AO474" s="281"/>
      <c r="AP474" s="281"/>
      <c r="AQ474" s="281"/>
      <c r="AR474" s="281"/>
      <c r="AS474" s="281"/>
      <c r="AT474" s="281"/>
      <c r="AU474" s="281"/>
      <c r="AV474" s="281"/>
      <c r="AW474" s="281"/>
      <c r="AX474" s="281"/>
      <c r="AY474" s="281"/>
      <c r="AZ474" s="281"/>
      <c r="BA474" s="281"/>
      <c r="BB474" s="281"/>
      <c r="BC474" s="281"/>
      <c r="BD474" s="281"/>
      <c r="BE474" s="281"/>
      <c r="BG474" s="286"/>
      <c r="BH474" s="286"/>
      <c r="BI474" s="286"/>
      <c r="BJ474" s="286"/>
      <c r="BK474" s="286"/>
      <c r="BL474" s="286"/>
      <c r="BM474" s="286"/>
      <c r="BN474" s="286"/>
      <c r="BO474" s="286"/>
    </row>
    <row r="475" spans="1:67" s="28" customFormat="1" ht="20.25" customHeight="1">
      <c r="A475" s="11">
        <v>45890</v>
      </c>
      <c r="B475" s="16" t="s">
        <v>2330</v>
      </c>
      <c r="C475" s="16" t="s">
        <v>243</v>
      </c>
      <c r="D475" s="16" t="s">
        <v>212</v>
      </c>
      <c r="E475" s="19" t="s">
        <v>25</v>
      </c>
      <c r="F475" s="16" t="s">
        <v>2333</v>
      </c>
      <c r="G475" s="16" t="s">
        <v>71</v>
      </c>
      <c r="H475" s="16" t="s">
        <v>31</v>
      </c>
      <c r="I475" s="16"/>
      <c r="J475" s="16" t="s">
        <v>27</v>
      </c>
      <c r="K475" s="16" t="s">
        <v>292</v>
      </c>
      <c r="L475" s="16" t="s">
        <v>75</v>
      </c>
      <c r="M475" s="17">
        <v>100</v>
      </c>
      <c r="N475" s="23">
        <v>1.31</v>
      </c>
      <c r="O475" s="16" t="s">
        <v>67</v>
      </c>
      <c r="P475" s="16" t="s">
        <v>63</v>
      </c>
      <c r="Q475" s="16" t="s">
        <v>2126</v>
      </c>
      <c r="R475" s="16" t="s">
        <v>2185</v>
      </c>
      <c r="S475" s="12" t="s">
        <v>2234</v>
      </c>
      <c r="T475" s="13">
        <v>45910</v>
      </c>
      <c r="U475" s="19"/>
      <c r="V475" s="53">
        <f>M475-Z475-AB475-AD475-AF475-AH475-AJ475-AL475-AN475-AP475-AR475-AT475-AV475-AX475-AZ475-BB475-BD475-BF475-BH475-U475</f>
        <v>-0.40000000000000568</v>
      </c>
      <c r="W475" s="22" t="s">
        <v>2336</v>
      </c>
      <c r="X475" s="88" t="s">
        <v>29</v>
      </c>
      <c r="Y475" s="88"/>
      <c r="Z475" s="19">
        <f>35+65.4</f>
        <v>100.4</v>
      </c>
      <c r="AA475" s="227">
        <v>45908</v>
      </c>
      <c r="AB475" s="19"/>
      <c r="AC475" s="227"/>
      <c r="AD475" s="19"/>
      <c r="AE475" s="227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G475" s="29"/>
      <c r="BH475" s="29"/>
      <c r="BI475" s="29"/>
      <c r="BJ475" s="29"/>
      <c r="BK475" s="29"/>
      <c r="BL475" s="29"/>
      <c r="BM475" s="29"/>
      <c r="BN475" s="29"/>
      <c r="BO475" s="29"/>
    </row>
    <row r="476" spans="1:67" s="282" customFormat="1" ht="20.25" customHeight="1">
      <c r="A476" s="272">
        <v>45891</v>
      </c>
      <c r="B476" s="273" t="s">
        <v>2337</v>
      </c>
      <c r="C476" s="273" t="s">
        <v>243</v>
      </c>
      <c r="D476" s="273" t="s">
        <v>212</v>
      </c>
      <c r="E476" s="278" t="s">
        <v>25</v>
      </c>
      <c r="F476" s="273" t="s">
        <v>2346</v>
      </c>
      <c r="G476" s="273" t="s">
        <v>71</v>
      </c>
      <c r="H476" s="273" t="s">
        <v>31</v>
      </c>
      <c r="I476" s="273"/>
      <c r="J476" s="273" t="s">
        <v>27</v>
      </c>
      <c r="K476" s="273" t="s">
        <v>2355</v>
      </c>
      <c r="L476" s="273" t="s">
        <v>75</v>
      </c>
      <c r="M476" s="274"/>
      <c r="N476" s="275">
        <v>1.31</v>
      </c>
      <c r="O476" s="273" t="s">
        <v>67</v>
      </c>
      <c r="P476" s="273" t="s">
        <v>63</v>
      </c>
      <c r="Q476" s="273" t="s">
        <v>2126</v>
      </c>
      <c r="R476" s="273" t="s">
        <v>2185</v>
      </c>
      <c r="S476" s="276" t="s">
        <v>2234</v>
      </c>
      <c r="T476" s="277">
        <v>45913</v>
      </c>
      <c r="U476" s="278"/>
      <c r="V476" s="279">
        <f>M476-Z476-AB476-AD476-AF476-AH476-AJ476-AL476-AN476-AP476-AR476-AT476-AV476-AX476-AZ476-BB476-BD476-BF476-BH476-U476</f>
        <v>0</v>
      </c>
      <c r="W476" s="280" t="s">
        <v>2360</v>
      </c>
      <c r="X476" s="281" t="s">
        <v>29</v>
      </c>
      <c r="Y476" s="281"/>
      <c r="Z476" s="278"/>
      <c r="AA476" s="320"/>
      <c r="AB476" s="278"/>
      <c r="AC476" s="320"/>
      <c r="AD476" s="278"/>
      <c r="AE476" s="320"/>
      <c r="AF476" s="281"/>
      <c r="AG476" s="281"/>
      <c r="AH476" s="281"/>
      <c r="AI476" s="281"/>
      <c r="AJ476" s="281"/>
      <c r="AK476" s="281"/>
      <c r="AL476" s="281"/>
      <c r="AM476" s="281"/>
      <c r="AN476" s="281"/>
      <c r="AO476" s="281"/>
      <c r="AP476" s="281"/>
      <c r="AQ476" s="281"/>
      <c r="AR476" s="281"/>
      <c r="AS476" s="281"/>
      <c r="AT476" s="281"/>
      <c r="AU476" s="281"/>
      <c r="AV476" s="281"/>
      <c r="AW476" s="281"/>
      <c r="AX476" s="281"/>
      <c r="AY476" s="281"/>
      <c r="AZ476" s="281"/>
      <c r="BA476" s="281"/>
      <c r="BB476" s="281"/>
      <c r="BC476" s="281"/>
      <c r="BD476" s="281"/>
      <c r="BE476" s="281"/>
      <c r="BG476" s="286"/>
      <c r="BH476" s="286"/>
      <c r="BI476" s="286"/>
      <c r="BJ476" s="286"/>
      <c r="BK476" s="286"/>
      <c r="BL476" s="286"/>
      <c r="BM476" s="286"/>
      <c r="BN476" s="286"/>
      <c r="BO476" s="286"/>
    </row>
    <row r="477" spans="1:67" s="28" customFormat="1" ht="20.25" customHeight="1">
      <c r="A477" s="11">
        <v>45891</v>
      </c>
      <c r="B477" s="16" t="s">
        <v>2338</v>
      </c>
      <c r="C477" s="16" t="s">
        <v>243</v>
      </c>
      <c r="D477" s="16" t="s">
        <v>212</v>
      </c>
      <c r="E477" s="19" t="s">
        <v>25</v>
      </c>
      <c r="F477" s="16" t="s">
        <v>2347</v>
      </c>
      <c r="G477" s="16" t="s">
        <v>71</v>
      </c>
      <c r="H477" s="16" t="s">
        <v>31</v>
      </c>
      <c r="I477" s="16"/>
      <c r="J477" s="16" t="s">
        <v>27</v>
      </c>
      <c r="K477" s="16" t="s">
        <v>2355</v>
      </c>
      <c r="L477" s="16" t="s">
        <v>75</v>
      </c>
      <c r="M477" s="17">
        <v>200</v>
      </c>
      <c r="N477" s="23">
        <v>1.31</v>
      </c>
      <c r="O477" s="16" t="s">
        <v>67</v>
      </c>
      <c r="P477" s="16" t="s">
        <v>63</v>
      </c>
      <c r="Q477" s="16" t="s">
        <v>1286</v>
      </c>
      <c r="R477" s="16" t="s">
        <v>2125</v>
      </c>
      <c r="S477" s="12" t="s">
        <v>2234</v>
      </c>
      <c r="T477" s="13">
        <v>45913</v>
      </c>
      <c r="U477" s="19"/>
      <c r="V477" s="53">
        <f>M477-Z477-AB477-AD477-AF477-AH477-AJ477-AL477-AN477-AP477-AR477-AT477-AV477-AX477-AZ477-BB477-BD477-BF477-BH477-U477</f>
        <v>0</v>
      </c>
      <c r="W477" s="22" t="s">
        <v>2361</v>
      </c>
      <c r="X477" s="88" t="s">
        <v>29</v>
      </c>
      <c r="Y477" s="88"/>
      <c r="Z477" s="19">
        <v>200</v>
      </c>
      <c r="AA477" s="227">
        <v>45917</v>
      </c>
      <c r="AB477" s="19"/>
      <c r="AC477" s="227"/>
      <c r="AD477" s="19"/>
      <c r="AE477" s="227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G477" s="29"/>
      <c r="BH477" s="29"/>
      <c r="BI477" s="29"/>
      <c r="BJ477" s="29"/>
      <c r="BK477" s="29"/>
      <c r="BL477" s="29"/>
      <c r="BM477" s="29"/>
      <c r="BN477" s="29"/>
      <c r="BO477" s="29"/>
    </row>
    <row r="478" spans="1:67" s="28" customFormat="1" ht="20.25" customHeight="1">
      <c r="A478" s="11">
        <v>45891</v>
      </c>
      <c r="B478" s="16" t="s">
        <v>2339</v>
      </c>
      <c r="C478" s="16" t="s">
        <v>243</v>
      </c>
      <c r="D478" s="16" t="s">
        <v>212</v>
      </c>
      <c r="E478" s="19" t="s">
        <v>25</v>
      </c>
      <c r="F478" s="16" t="s">
        <v>2348</v>
      </c>
      <c r="G478" s="16" t="s">
        <v>71</v>
      </c>
      <c r="H478" s="16" t="s">
        <v>31</v>
      </c>
      <c r="I478" s="16"/>
      <c r="J478" s="16" t="s">
        <v>27</v>
      </c>
      <c r="K478" s="16" t="s">
        <v>2355</v>
      </c>
      <c r="L478" s="16" t="s">
        <v>75</v>
      </c>
      <c r="M478" s="17">
        <v>200</v>
      </c>
      <c r="N478" s="23">
        <v>1.31</v>
      </c>
      <c r="O478" s="16" t="s">
        <v>67</v>
      </c>
      <c r="P478" s="16" t="s">
        <v>63</v>
      </c>
      <c r="Q478" s="16" t="s">
        <v>1286</v>
      </c>
      <c r="R478" s="16" t="s">
        <v>2356</v>
      </c>
      <c r="S478" s="12" t="s">
        <v>2234</v>
      </c>
      <c r="T478" s="13">
        <v>45913</v>
      </c>
      <c r="U478" s="19"/>
      <c r="V478" s="53">
        <f>M478-Z478-AB478-AD478-AF478-AH478-AJ478-AL478-AN478-AP478-AR478-AT478-AV478-AX478-AZ478-BB478-BD478-BF478-BH478-U478</f>
        <v>-0.40000000000000568</v>
      </c>
      <c r="W478" s="22" t="s">
        <v>2362</v>
      </c>
      <c r="X478" s="88" t="s">
        <v>29</v>
      </c>
      <c r="Y478" s="88"/>
      <c r="Z478" s="19">
        <v>200.4</v>
      </c>
      <c r="AA478" s="227">
        <v>45917</v>
      </c>
      <c r="AB478" s="19"/>
      <c r="AC478" s="227"/>
      <c r="AD478" s="19"/>
      <c r="AE478" s="227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G478" s="29"/>
      <c r="BH478" s="29"/>
      <c r="BI478" s="29"/>
      <c r="BJ478" s="29"/>
      <c r="BK478" s="29"/>
      <c r="BL478" s="29"/>
      <c r="BM478" s="29"/>
      <c r="BN478" s="29"/>
      <c r="BO478" s="29"/>
    </row>
    <row r="479" spans="1:67" s="28" customFormat="1" ht="20.25" customHeight="1">
      <c r="A479" s="11">
        <v>45891</v>
      </c>
      <c r="B479" s="16" t="s">
        <v>2340</v>
      </c>
      <c r="C479" s="16" t="s">
        <v>243</v>
      </c>
      <c r="D479" s="16" t="s">
        <v>212</v>
      </c>
      <c r="E479" s="19" t="s">
        <v>25</v>
      </c>
      <c r="F479" s="16" t="s">
        <v>2349</v>
      </c>
      <c r="G479" s="16" t="s">
        <v>71</v>
      </c>
      <c r="H479" s="16" t="s">
        <v>31</v>
      </c>
      <c r="I479" s="16"/>
      <c r="J479" s="16" t="s">
        <v>27</v>
      </c>
      <c r="K479" s="16" t="s">
        <v>2355</v>
      </c>
      <c r="L479" s="16" t="s">
        <v>75</v>
      </c>
      <c r="M479" s="17">
        <v>123.5</v>
      </c>
      <c r="N479" s="23">
        <v>1.31</v>
      </c>
      <c r="O479" s="16" t="s">
        <v>67</v>
      </c>
      <c r="P479" s="16" t="s">
        <v>63</v>
      </c>
      <c r="Q479" s="16" t="s">
        <v>920</v>
      </c>
      <c r="R479" s="16" t="s">
        <v>2357</v>
      </c>
      <c r="S479" s="12" t="s">
        <v>2234</v>
      </c>
      <c r="T479" s="13">
        <v>45913</v>
      </c>
      <c r="U479" s="19"/>
      <c r="V479" s="53">
        <f>M479-Z479-AB479-AD479-AF479-AH479-AJ479-AL479-AN479-AP479-AR479-AT479-AV479-AX479-AZ479-BB479-BD479-BF479-BH479-U479</f>
        <v>-2.7000000000000028</v>
      </c>
      <c r="W479" s="22" t="s">
        <v>2363</v>
      </c>
      <c r="X479" s="88" t="s">
        <v>29</v>
      </c>
      <c r="Y479" s="88"/>
      <c r="Z479" s="19">
        <v>126.2</v>
      </c>
      <c r="AA479" s="227">
        <v>45917</v>
      </c>
      <c r="AB479" s="19"/>
      <c r="AC479" s="227"/>
      <c r="AD479" s="19"/>
      <c r="AE479" s="227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G479" s="29"/>
      <c r="BH479" s="29"/>
      <c r="BI479" s="29"/>
      <c r="BJ479" s="29"/>
      <c r="BK479" s="29"/>
      <c r="BL479" s="29"/>
      <c r="BM479" s="29"/>
      <c r="BN479" s="29"/>
      <c r="BO479" s="29"/>
    </row>
    <row r="480" spans="1:67" s="28" customFormat="1" ht="20.25" customHeight="1">
      <c r="A480" s="11">
        <v>45891</v>
      </c>
      <c r="B480" s="16" t="s">
        <v>2341</v>
      </c>
      <c r="C480" s="16" t="s">
        <v>243</v>
      </c>
      <c r="D480" s="16" t="s">
        <v>212</v>
      </c>
      <c r="E480" s="19" t="s">
        <v>25</v>
      </c>
      <c r="F480" s="16" t="s">
        <v>2350</v>
      </c>
      <c r="G480" s="16" t="s">
        <v>71</v>
      </c>
      <c r="H480" s="16" t="s">
        <v>31</v>
      </c>
      <c r="I480" s="16"/>
      <c r="J480" s="16" t="s">
        <v>27</v>
      </c>
      <c r="K480" s="16" t="s">
        <v>332</v>
      </c>
      <c r="L480" s="16" t="s">
        <v>75</v>
      </c>
      <c r="M480" s="17">
        <v>127.5</v>
      </c>
      <c r="N480" s="23">
        <v>1.31</v>
      </c>
      <c r="O480" s="16" t="s">
        <v>67</v>
      </c>
      <c r="P480" s="16" t="s">
        <v>63</v>
      </c>
      <c r="Q480" s="16" t="s">
        <v>920</v>
      </c>
      <c r="R480" s="16" t="s">
        <v>2051</v>
      </c>
      <c r="S480" s="12" t="s">
        <v>2234</v>
      </c>
      <c r="T480" s="13">
        <v>45913</v>
      </c>
      <c r="U480" s="19"/>
      <c r="V480" s="53">
        <f>M480-Z480-AB480-AD480-AF480-AH480-AJ480-AL480-AN480-AP480-AR480-AT480-AV480-AX480-AZ480-BB480-BD480-BF480-BH480-U480</f>
        <v>-1</v>
      </c>
      <c r="W480" s="22" t="s">
        <v>2364</v>
      </c>
      <c r="X480" s="88" t="s">
        <v>29</v>
      </c>
      <c r="Y480" s="88"/>
      <c r="Z480" s="19">
        <f>20.4+53.7+54.4</f>
        <v>128.5</v>
      </c>
      <c r="AA480" s="227">
        <v>45908</v>
      </c>
      <c r="AB480" s="19"/>
      <c r="AC480" s="227"/>
      <c r="AD480" s="19"/>
      <c r="AE480" s="227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G480" s="29"/>
      <c r="BH480" s="29"/>
      <c r="BI480" s="29"/>
      <c r="BJ480" s="29"/>
      <c r="BK480" s="29"/>
      <c r="BL480" s="29"/>
      <c r="BM480" s="29"/>
      <c r="BN480" s="29"/>
      <c r="BO480" s="29"/>
    </row>
    <row r="481" spans="1:67" s="28" customFormat="1" ht="20.25" customHeight="1">
      <c r="A481" s="11">
        <v>45891</v>
      </c>
      <c r="B481" s="16" t="s">
        <v>2342</v>
      </c>
      <c r="C481" s="16" t="s">
        <v>243</v>
      </c>
      <c r="D481" s="16" t="s">
        <v>212</v>
      </c>
      <c r="E481" s="19" t="s">
        <v>25</v>
      </c>
      <c r="F481" s="16" t="s">
        <v>2351</v>
      </c>
      <c r="G481" s="16" t="s">
        <v>71</v>
      </c>
      <c r="H481" s="16" t="s">
        <v>31</v>
      </c>
      <c r="I481" s="16"/>
      <c r="J481" s="16" t="s">
        <v>27</v>
      </c>
      <c r="K481" s="16" t="s">
        <v>384</v>
      </c>
      <c r="L481" s="16" t="s">
        <v>75</v>
      </c>
      <c r="M481" s="17">
        <v>103</v>
      </c>
      <c r="N481" s="23">
        <v>1.31</v>
      </c>
      <c r="O481" s="16" t="s">
        <v>67</v>
      </c>
      <c r="P481" s="16" t="s">
        <v>63</v>
      </c>
      <c r="Q481" s="16" t="s">
        <v>920</v>
      </c>
      <c r="R481" s="16" t="s">
        <v>791</v>
      </c>
      <c r="S481" s="12" t="s">
        <v>2234</v>
      </c>
      <c r="T481" s="13">
        <v>45913</v>
      </c>
      <c r="U481" s="19"/>
      <c r="V481" s="53">
        <f>M481-Z481-AB481-AD481-AF481-AH481-AJ481-AL481-AN481-AP481-AR481-AT481-AV481-AX481-AZ481-BB481-BD481-BF481-BH481-U481</f>
        <v>-2.2999999999999972</v>
      </c>
      <c r="W481" s="22" t="s">
        <v>2365</v>
      </c>
      <c r="X481" s="88" t="s">
        <v>29</v>
      </c>
      <c r="Y481" s="88"/>
      <c r="Z481" s="19">
        <v>105.3</v>
      </c>
      <c r="AA481" s="227">
        <v>45908</v>
      </c>
      <c r="AB481" s="19"/>
      <c r="AC481" s="227"/>
      <c r="AD481" s="19"/>
      <c r="AE481" s="227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G481" s="29"/>
      <c r="BH481" s="29"/>
      <c r="BI481" s="29"/>
      <c r="BJ481" s="29"/>
      <c r="BK481" s="29"/>
      <c r="BL481" s="29"/>
      <c r="BM481" s="29"/>
      <c r="BN481" s="29"/>
      <c r="BO481" s="29"/>
    </row>
    <row r="482" spans="1:67" s="28" customFormat="1" ht="20.25" customHeight="1">
      <c r="A482" s="11">
        <v>45891</v>
      </c>
      <c r="B482" s="16" t="s">
        <v>2343</v>
      </c>
      <c r="C482" s="16" t="s">
        <v>243</v>
      </c>
      <c r="D482" s="16" t="s">
        <v>212</v>
      </c>
      <c r="E482" s="19" t="s">
        <v>25</v>
      </c>
      <c r="F482" s="16" t="s">
        <v>2352</v>
      </c>
      <c r="G482" s="16" t="s">
        <v>71</v>
      </c>
      <c r="H482" s="16" t="s">
        <v>31</v>
      </c>
      <c r="I482" s="16"/>
      <c r="J482" s="16" t="s">
        <v>27</v>
      </c>
      <c r="K482" s="16" t="s">
        <v>245</v>
      </c>
      <c r="L482" s="16" t="s">
        <v>75</v>
      </c>
      <c r="M482" s="17">
        <v>51.4</v>
      </c>
      <c r="N482" s="23">
        <v>1.31</v>
      </c>
      <c r="O482" s="16" t="s">
        <v>67</v>
      </c>
      <c r="P482" s="16" t="s">
        <v>63</v>
      </c>
      <c r="Q482" s="16" t="s">
        <v>920</v>
      </c>
      <c r="R482" s="16" t="s">
        <v>921</v>
      </c>
      <c r="S482" s="12" t="s">
        <v>2234</v>
      </c>
      <c r="T482" s="13">
        <v>45913</v>
      </c>
      <c r="U482" s="19"/>
      <c r="V482" s="53">
        <f>M482-Z482-AB482-AD482-AF482-AH482-AJ482-AL482-AN482-AP482-AR482-AT482-AV482-AX482-AZ482-BB482-BD482-BF482-BH482-U482</f>
        <v>-0.30000000000000426</v>
      </c>
      <c r="W482" s="22" t="s">
        <v>2366</v>
      </c>
      <c r="X482" s="88" t="s">
        <v>29</v>
      </c>
      <c r="Y482" s="88"/>
      <c r="Z482" s="19">
        <v>51.7</v>
      </c>
      <c r="AA482" s="227">
        <v>45917</v>
      </c>
      <c r="AB482" s="19"/>
      <c r="AC482" s="227"/>
      <c r="AD482" s="19"/>
      <c r="AE482" s="227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G482" s="29"/>
      <c r="BH482" s="29"/>
      <c r="BI482" s="29"/>
      <c r="BJ482" s="29"/>
      <c r="BK482" s="29"/>
      <c r="BL482" s="29"/>
      <c r="BM482" s="29"/>
      <c r="BN482" s="29"/>
      <c r="BO482" s="29"/>
    </row>
    <row r="483" spans="1:67" s="282" customFormat="1" ht="20.25" customHeight="1">
      <c r="A483" s="272">
        <v>45891</v>
      </c>
      <c r="B483" s="273" t="s">
        <v>2344</v>
      </c>
      <c r="C483" s="273" t="s">
        <v>243</v>
      </c>
      <c r="D483" s="273" t="s">
        <v>212</v>
      </c>
      <c r="E483" s="278" t="s">
        <v>25</v>
      </c>
      <c r="F483" s="273" t="s">
        <v>2353</v>
      </c>
      <c r="G483" s="273" t="s">
        <v>71</v>
      </c>
      <c r="H483" s="273" t="s">
        <v>31</v>
      </c>
      <c r="I483" s="273"/>
      <c r="J483" s="273" t="s">
        <v>27</v>
      </c>
      <c r="K483" s="273" t="s">
        <v>1729</v>
      </c>
      <c r="L483" s="273" t="s">
        <v>75</v>
      </c>
      <c r="M483" s="274"/>
      <c r="N483" s="275">
        <v>1.31</v>
      </c>
      <c r="O483" s="273" t="s">
        <v>67</v>
      </c>
      <c r="P483" s="273" t="s">
        <v>63</v>
      </c>
      <c r="Q483" s="273" t="s">
        <v>938</v>
      </c>
      <c r="R483" s="273" t="s">
        <v>2358</v>
      </c>
      <c r="S483" s="276" t="s">
        <v>2234</v>
      </c>
      <c r="T483" s="277">
        <v>45913</v>
      </c>
      <c r="U483" s="329">
        <v>120</v>
      </c>
      <c r="V483" s="279">
        <f>M483-Z483-AB483-AD483-AF483-AH483-AJ483-AL483-AN483-AP483-AR483-AT483-AV483-AX483-AZ483-BB483-BD483-BF483-BH483-U483</f>
        <v>-120</v>
      </c>
      <c r="W483" s="280" t="s">
        <v>2367</v>
      </c>
      <c r="X483" s="281" t="s">
        <v>29</v>
      </c>
      <c r="Y483" s="281"/>
      <c r="Z483" s="278"/>
      <c r="AA483" s="320"/>
      <c r="AB483" s="278"/>
      <c r="AC483" s="320"/>
      <c r="AD483" s="278"/>
      <c r="AE483" s="320"/>
      <c r="AF483" s="281"/>
      <c r="AG483" s="281"/>
      <c r="AH483" s="281"/>
      <c r="AI483" s="281"/>
      <c r="AJ483" s="281"/>
      <c r="AK483" s="281"/>
      <c r="AL483" s="281"/>
      <c r="AM483" s="281"/>
      <c r="AN483" s="281"/>
      <c r="AO483" s="281"/>
      <c r="AP483" s="281"/>
      <c r="AQ483" s="281"/>
      <c r="AR483" s="281"/>
      <c r="AS483" s="281"/>
      <c r="AT483" s="281"/>
      <c r="AU483" s="281"/>
      <c r="AV483" s="281"/>
      <c r="AW483" s="281"/>
      <c r="AX483" s="281"/>
      <c r="AY483" s="281"/>
      <c r="AZ483" s="281"/>
      <c r="BA483" s="281"/>
      <c r="BB483" s="281"/>
      <c r="BC483" s="281"/>
      <c r="BD483" s="281"/>
      <c r="BE483" s="281"/>
      <c r="BG483" s="286"/>
      <c r="BH483" s="286"/>
      <c r="BI483" s="286"/>
      <c r="BJ483" s="286"/>
      <c r="BK483" s="286"/>
      <c r="BL483" s="286"/>
      <c r="BM483" s="286"/>
      <c r="BN483" s="286"/>
      <c r="BO483" s="286"/>
    </row>
    <row r="484" spans="1:67" s="28" customFormat="1" ht="20.25" customHeight="1">
      <c r="A484" s="11">
        <v>45891</v>
      </c>
      <c r="B484" s="16" t="s">
        <v>2345</v>
      </c>
      <c r="C484" s="16" t="s">
        <v>243</v>
      </c>
      <c r="D484" s="16" t="s">
        <v>212</v>
      </c>
      <c r="E484" s="19" t="s">
        <v>25</v>
      </c>
      <c r="F484" s="16" t="s">
        <v>2354</v>
      </c>
      <c r="G484" s="16" t="s">
        <v>71</v>
      </c>
      <c r="H484" s="16" t="s">
        <v>31</v>
      </c>
      <c r="I484" s="16"/>
      <c r="J484" s="16" t="s">
        <v>27</v>
      </c>
      <c r="K484" s="16" t="s">
        <v>2123</v>
      </c>
      <c r="L484" s="16" t="s">
        <v>75</v>
      </c>
      <c r="M484" s="17">
        <v>100</v>
      </c>
      <c r="N484" s="23">
        <v>1.31</v>
      </c>
      <c r="O484" s="16" t="s">
        <v>67</v>
      </c>
      <c r="P484" s="16" t="s">
        <v>63</v>
      </c>
      <c r="Q484" s="16" t="s">
        <v>1286</v>
      </c>
      <c r="R484" s="16" t="s">
        <v>2359</v>
      </c>
      <c r="S484" s="12" t="s">
        <v>2234</v>
      </c>
      <c r="T484" s="13">
        <v>45913</v>
      </c>
      <c r="U484" s="19"/>
      <c r="V484" s="53">
        <f>M484-Z484-AB484-AD484-AF484-AH484-AJ484-AL484-AN484-AP484-AR484-AT484-AV484-AX484-AZ484-BB484-BD484-BF484-BH484-U484</f>
        <v>-0.29999999999999716</v>
      </c>
      <c r="W484" s="22" t="s">
        <v>2368</v>
      </c>
      <c r="X484" s="88" t="s">
        <v>29</v>
      </c>
      <c r="Y484" s="88"/>
      <c r="Z484" s="19">
        <v>100.3</v>
      </c>
      <c r="AA484" s="227">
        <v>45917</v>
      </c>
      <c r="AB484" s="19"/>
      <c r="AC484" s="227"/>
      <c r="AD484" s="19"/>
      <c r="AE484" s="227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G484" s="29"/>
      <c r="BH484" s="29"/>
      <c r="BI484" s="29"/>
      <c r="BJ484" s="29"/>
      <c r="BK484" s="29"/>
      <c r="BL484" s="29"/>
      <c r="BM484" s="29"/>
      <c r="BN484" s="29"/>
      <c r="BO484" s="29"/>
    </row>
    <row r="485" spans="1:67" s="28" customFormat="1" ht="20.25" customHeight="1">
      <c r="A485" s="11">
        <v>45894</v>
      </c>
      <c r="B485" s="16" t="s">
        <v>2376</v>
      </c>
      <c r="C485" s="16" t="s">
        <v>298</v>
      </c>
      <c r="D485" s="16" t="s">
        <v>212</v>
      </c>
      <c r="E485" s="19" t="s">
        <v>25</v>
      </c>
      <c r="F485" s="16" t="s">
        <v>2377</v>
      </c>
      <c r="G485" s="16" t="s">
        <v>71</v>
      </c>
      <c r="H485" s="16" t="s">
        <v>31</v>
      </c>
      <c r="I485" s="16" t="s">
        <v>63</v>
      </c>
      <c r="J485" s="16" t="s">
        <v>27</v>
      </c>
      <c r="K485" s="16" t="s">
        <v>923</v>
      </c>
      <c r="L485" s="16" t="s">
        <v>35</v>
      </c>
      <c r="M485" s="17">
        <v>170</v>
      </c>
      <c r="N485" s="23">
        <v>1.31</v>
      </c>
      <c r="O485" s="16" t="s">
        <v>67</v>
      </c>
      <c r="P485" s="16" t="s">
        <v>63</v>
      </c>
      <c r="Q485" s="16" t="s">
        <v>29</v>
      </c>
      <c r="R485" s="16" t="s">
        <v>2070</v>
      </c>
      <c r="S485" s="12" t="s">
        <v>2378</v>
      </c>
      <c r="T485" s="13">
        <v>45915</v>
      </c>
      <c r="U485" s="19"/>
      <c r="V485" s="53">
        <f>M485-Z485-AB485-AD485-AF485-AH485-AJ485-AL485-AN485-AP485-AR485-AT485-AV485-AX485-AZ485-BB485-BD485-BF485-BH485-U485</f>
        <v>-1</v>
      </c>
      <c r="W485" s="22" t="s">
        <v>2379</v>
      </c>
      <c r="X485" s="88" t="s">
        <v>29</v>
      </c>
      <c r="Y485" s="88"/>
      <c r="Z485" s="19">
        <v>171</v>
      </c>
      <c r="AA485" s="227">
        <v>45909</v>
      </c>
      <c r="AB485" s="19"/>
      <c r="AC485" s="227"/>
      <c r="AD485" s="19"/>
      <c r="AE485" s="227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G485" s="29"/>
      <c r="BH485" s="29"/>
      <c r="BI485" s="29"/>
      <c r="BJ485" s="29"/>
      <c r="BK485" s="29"/>
      <c r="BL485" s="29"/>
      <c r="BM485" s="29"/>
      <c r="BN485" s="29"/>
      <c r="BO485" s="29"/>
    </row>
    <row r="486" spans="1:67" s="28" customFormat="1" ht="20.25" customHeight="1">
      <c r="A486" s="11">
        <v>45895</v>
      </c>
      <c r="B486" s="16" t="s">
        <v>2391</v>
      </c>
      <c r="C486" s="16" t="s">
        <v>304</v>
      </c>
      <c r="D486" s="16" t="s">
        <v>212</v>
      </c>
      <c r="E486" s="19" t="s">
        <v>25</v>
      </c>
      <c r="F486" s="16" t="s">
        <v>2395</v>
      </c>
      <c r="G486" s="16" t="s">
        <v>71</v>
      </c>
      <c r="H486" s="16" t="s">
        <v>31</v>
      </c>
      <c r="I486" s="16" t="s">
        <v>63</v>
      </c>
      <c r="J486" s="16" t="s">
        <v>27</v>
      </c>
      <c r="K486" s="16" t="s">
        <v>1573</v>
      </c>
      <c r="L486" s="16" t="s">
        <v>75</v>
      </c>
      <c r="M486" s="17">
        <v>3305</v>
      </c>
      <c r="N486" s="23">
        <v>1.29</v>
      </c>
      <c r="O486" s="16" t="s">
        <v>67</v>
      </c>
      <c r="P486" s="16" t="s">
        <v>63</v>
      </c>
      <c r="Q486" s="16" t="s">
        <v>29</v>
      </c>
      <c r="R486" s="16" t="s">
        <v>1580</v>
      </c>
      <c r="S486" s="12" t="s">
        <v>2400</v>
      </c>
      <c r="T486" s="13">
        <v>45916</v>
      </c>
      <c r="U486" s="19"/>
      <c r="V486" s="53">
        <f>M486-Z486-AB486-AD486-AF486-AH486-AJ486-AL486-AN486-AP486-AR486-AT486-AV486-AX486-AZ486-BB486-BD486-BF486-BH486-U486</f>
        <v>-6.5</v>
      </c>
      <c r="W486" s="22" t="s">
        <v>2402</v>
      </c>
      <c r="X486" s="88" t="s">
        <v>29</v>
      </c>
      <c r="Y486" s="88" t="s">
        <v>2604</v>
      </c>
      <c r="Z486" s="19">
        <f>171.7+261.3</f>
        <v>433</v>
      </c>
      <c r="AA486" s="227">
        <v>45911</v>
      </c>
      <c r="AB486" s="19">
        <f>2036.4+842.1</f>
        <v>2878.5</v>
      </c>
      <c r="AC486" s="227">
        <v>45922</v>
      </c>
      <c r="AD486" s="19"/>
      <c r="AE486" s="227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G486" s="29"/>
      <c r="BH486" s="29"/>
      <c r="BI486" s="29"/>
      <c r="BJ486" s="29"/>
      <c r="BK486" s="29"/>
      <c r="BL486" s="29"/>
      <c r="BM486" s="29"/>
      <c r="BN486" s="29"/>
      <c r="BO486" s="29"/>
    </row>
    <row r="487" spans="1:67" s="287" customFormat="1" ht="20.25" customHeight="1">
      <c r="A487" s="289">
        <v>45895</v>
      </c>
      <c r="B487" s="278" t="s">
        <v>2392</v>
      </c>
      <c r="C487" s="278" t="s">
        <v>243</v>
      </c>
      <c r="D487" s="278" t="s">
        <v>212</v>
      </c>
      <c r="E487" s="278" t="s">
        <v>25</v>
      </c>
      <c r="F487" s="278" t="s">
        <v>2396</v>
      </c>
      <c r="G487" s="278" t="s">
        <v>71</v>
      </c>
      <c r="H487" s="278" t="s">
        <v>31</v>
      </c>
      <c r="I487" s="278" t="s">
        <v>63</v>
      </c>
      <c r="J487" s="278" t="s">
        <v>27</v>
      </c>
      <c r="K487" s="278" t="s">
        <v>2123</v>
      </c>
      <c r="L487" s="278" t="s">
        <v>35</v>
      </c>
      <c r="M487" s="290"/>
      <c r="N487" s="291">
        <v>1.31</v>
      </c>
      <c r="O487" s="278" t="s">
        <v>67</v>
      </c>
      <c r="P487" s="278" t="s">
        <v>63</v>
      </c>
      <c r="Q487" s="278" t="s">
        <v>920</v>
      </c>
      <c r="R487" s="278" t="s">
        <v>2399</v>
      </c>
      <c r="S487" s="297" t="s">
        <v>2401</v>
      </c>
      <c r="T487" s="292">
        <v>45919</v>
      </c>
      <c r="U487" s="278"/>
      <c r="V487" s="293">
        <f>M487-Z487-AB487-AD487-AF487-AH487-AJ487-AL487-AN487-AP487-AR487-AT487-AV487-AX487-AZ487-BB487-BD487-BF487-BH487-U487</f>
        <v>0</v>
      </c>
      <c r="W487" s="294" t="s">
        <v>2403</v>
      </c>
      <c r="X487" s="299" t="s">
        <v>2539</v>
      </c>
      <c r="Y487" s="299"/>
      <c r="Z487" s="278"/>
      <c r="AA487" s="328"/>
      <c r="AB487" s="278"/>
      <c r="AC487" s="328"/>
      <c r="AD487" s="278"/>
      <c r="AE487" s="328"/>
      <c r="AF487" s="299"/>
      <c r="AG487" s="299"/>
      <c r="AH487" s="299"/>
      <c r="AI487" s="299"/>
      <c r="AJ487" s="299"/>
      <c r="AK487" s="299"/>
      <c r="AL487" s="299"/>
      <c r="AM487" s="299"/>
      <c r="AN487" s="299"/>
      <c r="AO487" s="299"/>
      <c r="AP487" s="299"/>
      <c r="AQ487" s="299"/>
      <c r="AR487" s="299"/>
      <c r="AS487" s="299"/>
      <c r="AT487" s="299"/>
      <c r="AU487" s="299"/>
      <c r="AV487" s="299"/>
      <c r="AW487" s="299"/>
      <c r="AX487" s="299"/>
      <c r="AY487" s="299"/>
      <c r="AZ487" s="299"/>
      <c r="BA487" s="299"/>
      <c r="BB487" s="299"/>
      <c r="BC487" s="299"/>
      <c r="BD487" s="299"/>
      <c r="BE487" s="299"/>
    </row>
    <row r="488" spans="1:67" s="28" customFormat="1" ht="20.25" customHeight="1">
      <c r="A488" s="11">
        <v>45895</v>
      </c>
      <c r="B488" s="16" t="s">
        <v>2393</v>
      </c>
      <c r="C488" s="16" t="s">
        <v>243</v>
      </c>
      <c r="D488" s="16" t="s">
        <v>212</v>
      </c>
      <c r="E488" s="19" t="s">
        <v>25</v>
      </c>
      <c r="F488" s="16" t="s">
        <v>2397</v>
      </c>
      <c r="G488" s="16" t="s">
        <v>71</v>
      </c>
      <c r="H488" s="16" t="s">
        <v>31</v>
      </c>
      <c r="I488" s="16" t="s">
        <v>63</v>
      </c>
      <c r="J488" s="16" t="s">
        <v>27</v>
      </c>
      <c r="K488" s="16" t="s">
        <v>340</v>
      </c>
      <c r="L488" s="16" t="s">
        <v>35</v>
      </c>
      <c r="M488" s="17">
        <v>3000</v>
      </c>
      <c r="N488" s="23">
        <v>1.31</v>
      </c>
      <c r="O488" s="16" t="s">
        <v>67</v>
      </c>
      <c r="P488" s="16" t="s">
        <v>63</v>
      </c>
      <c r="Q488" s="16" t="s">
        <v>920</v>
      </c>
      <c r="R488" s="16" t="s">
        <v>2051</v>
      </c>
      <c r="S488" s="12" t="s">
        <v>2401</v>
      </c>
      <c r="T488" s="13">
        <v>45919</v>
      </c>
      <c r="U488" s="19"/>
      <c r="V488" s="53">
        <f>M488-Z488-AB488-AD488-AF488-AH488-AJ488-AL488-AN488-AP488-AR488-AT488-AV488-AX488-AZ488-BB488-BD488-BF488-BH488-U488</f>
        <v>-1.6999999999999318</v>
      </c>
      <c r="W488" s="22" t="s">
        <v>2404</v>
      </c>
      <c r="X488" s="88" t="s">
        <v>29</v>
      </c>
      <c r="Y488" s="88" t="s">
        <v>2605</v>
      </c>
      <c r="Z488" s="19">
        <f>1905.5+332.6</f>
        <v>2238.1</v>
      </c>
      <c r="AA488" s="227">
        <v>45908</v>
      </c>
      <c r="AB488" s="19">
        <v>763.6</v>
      </c>
      <c r="AC488" s="227">
        <v>45917</v>
      </c>
      <c r="AD488" s="19"/>
      <c r="AE488" s="227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G488" s="29"/>
      <c r="BH488" s="29"/>
      <c r="BI488" s="29"/>
      <c r="BJ488" s="29"/>
      <c r="BK488" s="29"/>
      <c r="BL488" s="29"/>
      <c r="BM488" s="29"/>
      <c r="BN488" s="29"/>
      <c r="BO488" s="29"/>
    </row>
    <row r="489" spans="1:67" s="28" customFormat="1" ht="20.25" customHeight="1">
      <c r="A489" s="11">
        <v>45895</v>
      </c>
      <c r="B489" s="16" t="s">
        <v>2394</v>
      </c>
      <c r="C489" s="16" t="s">
        <v>1568</v>
      </c>
      <c r="D489" s="16" t="s">
        <v>212</v>
      </c>
      <c r="E489" s="19" t="s">
        <v>25</v>
      </c>
      <c r="F489" s="16" t="s">
        <v>2398</v>
      </c>
      <c r="G489" s="16" t="s">
        <v>71</v>
      </c>
      <c r="H489" s="16" t="s">
        <v>31</v>
      </c>
      <c r="I489" s="1" t="s">
        <v>63</v>
      </c>
      <c r="J489" s="1" t="s">
        <v>27</v>
      </c>
      <c r="K489" s="16" t="s">
        <v>645</v>
      </c>
      <c r="L489" s="1" t="s">
        <v>75</v>
      </c>
      <c r="M489" s="17">
        <v>899</v>
      </c>
      <c r="N489" s="23">
        <v>1.31</v>
      </c>
      <c r="O489" s="16" t="s">
        <v>67</v>
      </c>
      <c r="P489" s="16" t="s">
        <v>63</v>
      </c>
      <c r="Q489" s="16" t="s">
        <v>29</v>
      </c>
      <c r="R489" s="16" t="s">
        <v>1648</v>
      </c>
      <c r="S489" s="12" t="s">
        <v>2401</v>
      </c>
      <c r="T489" s="13">
        <v>45919</v>
      </c>
      <c r="U489" s="19"/>
      <c r="V489" s="324">
        <f>M489-Z489-AB489-AD489-AF489-AH489-AJ489-AL489-AN489-AP489-AR489-AT489-AV489-AX489-AZ489-BB489-BD489-BF489-BH489-U489</f>
        <v>-3.2000000000000455</v>
      </c>
      <c r="W489" s="22" t="s">
        <v>2405</v>
      </c>
      <c r="X489" s="88" t="s">
        <v>29</v>
      </c>
      <c r="Y489" s="88" t="s">
        <v>2605</v>
      </c>
      <c r="Z489" s="19">
        <f>55.8+403.5+442.9</f>
        <v>902.2</v>
      </c>
      <c r="AA489" s="227">
        <v>45915</v>
      </c>
      <c r="AB489" s="19"/>
      <c r="AC489" s="227"/>
      <c r="AD489" s="19"/>
      <c r="AE489" s="227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G489" s="29"/>
      <c r="BH489" s="29"/>
      <c r="BI489" s="29"/>
      <c r="BJ489" s="29"/>
      <c r="BK489" s="29"/>
      <c r="BL489" s="29"/>
      <c r="BM489" s="29"/>
      <c r="BN489" s="29"/>
      <c r="BO489" s="29"/>
    </row>
    <row r="490" spans="1:67" s="28" customFormat="1" ht="20.25" customHeight="1">
      <c r="A490" s="11">
        <v>45896</v>
      </c>
      <c r="B490" s="16" t="s">
        <v>2409</v>
      </c>
      <c r="C490" s="16" t="s">
        <v>304</v>
      </c>
      <c r="D490" s="16" t="s">
        <v>212</v>
      </c>
      <c r="E490" s="19" t="s">
        <v>25</v>
      </c>
      <c r="F490" s="16" t="s">
        <v>2411</v>
      </c>
      <c r="G490" s="16" t="s">
        <v>71</v>
      </c>
      <c r="H490" s="16" t="s">
        <v>31</v>
      </c>
      <c r="I490" s="16" t="s">
        <v>63</v>
      </c>
      <c r="J490" s="16" t="s">
        <v>27</v>
      </c>
      <c r="K490" s="16" t="s">
        <v>1573</v>
      </c>
      <c r="L490" s="16" t="s">
        <v>75</v>
      </c>
      <c r="M490" s="17">
        <v>1640</v>
      </c>
      <c r="N490" s="23">
        <v>1.29</v>
      </c>
      <c r="O490" s="16" t="s">
        <v>67</v>
      </c>
      <c r="P490" s="16" t="s">
        <v>63</v>
      </c>
      <c r="Q490" s="16" t="s">
        <v>29</v>
      </c>
      <c r="R490" s="16" t="s">
        <v>2413</v>
      </c>
      <c r="S490" s="12" t="s">
        <v>2268</v>
      </c>
      <c r="T490" s="13">
        <v>45909</v>
      </c>
      <c r="U490" s="19"/>
      <c r="V490" s="53">
        <f>M490-Z490-AB490-AD490-AF490-AH490-AJ490-AL490-AN490-AP490-AR490-AT490-AV490-AX490-AZ490-BB490-BD490-BF490-BH490-U490</f>
        <v>-3.5999999999999091</v>
      </c>
      <c r="W490" s="22" t="s">
        <v>2414</v>
      </c>
      <c r="X490" s="88" t="s">
        <v>29</v>
      </c>
      <c r="Y490" s="88"/>
      <c r="Z490" s="19">
        <f>820.2+9.5+813.9</f>
        <v>1643.6</v>
      </c>
      <c r="AA490" s="227">
        <v>45911</v>
      </c>
      <c r="AB490" s="19"/>
      <c r="AC490" s="227"/>
      <c r="AD490" s="19"/>
      <c r="AE490" s="227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G490" s="29"/>
      <c r="BH490" s="29"/>
      <c r="BI490" s="29"/>
      <c r="BJ490" s="29"/>
      <c r="BK490" s="29"/>
      <c r="BL490" s="29"/>
      <c r="BM490" s="29"/>
      <c r="BN490" s="29"/>
      <c r="BO490" s="29"/>
    </row>
    <row r="491" spans="1:67" s="28" customFormat="1" ht="20.25" customHeight="1">
      <c r="A491" s="11">
        <v>45896</v>
      </c>
      <c r="B491" s="16" t="s">
        <v>2410</v>
      </c>
      <c r="C491" s="16" t="s">
        <v>1568</v>
      </c>
      <c r="D491" s="16" t="s">
        <v>212</v>
      </c>
      <c r="E491" s="19" t="s">
        <v>25</v>
      </c>
      <c r="F491" s="16" t="s">
        <v>2412</v>
      </c>
      <c r="G491" s="16" t="s">
        <v>71</v>
      </c>
      <c r="H491" s="16" t="s">
        <v>26</v>
      </c>
      <c r="I491" s="16" t="s">
        <v>63</v>
      </c>
      <c r="J491" s="16" t="s">
        <v>27</v>
      </c>
      <c r="K491" s="16" t="s">
        <v>567</v>
      </c>
      <c r="L491" s="16" t="s">
        <v>35</v>
      </c>
      <c r="M491" s="17">
        <v>2240</v>
      </c>
      <c r="N491" s="23">
        <v>1.31</v>
      </c>
      <c r="O491" s="16" t="s">
        <v>67</v>
      </c>
      <c r="P491" s="16" t="s">
        <v>63</v>
      </c>
      <c r="Q491" s="16" t="s">
        <v>29</v>
      </c>
      <c r="R491" s="16" t="s">
        <v>1459</v>
      </c>
      <c r="S491" s="12" t="s">
        <v>2053</v>
      </c>
      <c r="T491" s="13">
        <v>45902</v>
      </c>
      <c r="U491" s="19"/>
      <c r="V491" s="53">
        <f>M491-Z491-AB491-AD491-AF491-AH491-AJ491-AL491-AN491-AP491-AR491-AT491-AV491-AX491-AZ491-BB491-BD491-BF491-BH491-U491</f>
        <v>-0.6999999999998181</v>
      </c>
      <c r="W491" s="22" t="s">
        <v>2415</v>
      </c>
      <c r="X491" s="88" t="s">
        <v>29</v>
      </c>
      <c r="Y491" s="88"/>
      <c r="Z491" s="19">
        <v>2240.6999999999998</v>
      </c>
      <c r="AA491" s="227">
        <v>45898</v>
      </c>
      <c r="AB491" s="19"/>
      <c r="AC491" s="227"/>
      <c r="AD491" s="19"/>
      <c r="AE491" s="227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G491" s="29"/>
      <c r="BH491" s="29"/>
      <c r="BI491" s="29"/>
      <c r="BJ491" s="29"/>
      <c r="BK491" s="29"/>
      <c r="BL491" s="29"/>
      <c r="BM491" s="29"/>
      <c r="BN491" s="29"/>
      <c r="BO491" s="29"/>
    </row>
    <row r="492" spans="1:67" s="282" customFormat="1" ht="20.25" customHeight="1">
      <c r="A492" s="272">
        <v>45897</v>
      </c>
      <c r="B492" s="273" t="s">
        <v>2422</v>
      </c>
      <c r="C492" s="273" t="s">
        <v>243</v>
      </c>
      <c r="D492" s="273" t="s">
        <v>212</v>
      </c>
      <c r="E492" s="278" t="s">
        <v>25</v>
      </c>
      <c r="F492" s="273" t="s">
        <v>2425</v>
      </c>
      <c r="G492" s="273" t="s">
        <v>71</v>
      </c>
      <c r="H492" s="273" t="s">
        <v>31</v>
      </c>
      <c r="I492" s="273" t="s">
        <v>63</v>
      </c>
      <c r="J492" s="273" t="s">
        <v>27</v>
      </c>
      <c r="K492" s="273" t="s">
        <v>2428</v>
      </c>
      <c r="L492" s="273" t="s">
        <v>35</v>
      </c>
      <c r="M492" s="274"/>
      <c r="N492" s="275">
        <v>1.31</v>
      </c>
      <c r="O492" s="273" t="s">
        <v>67</v>
      </c>
      <c r="P492" s="273" t="s">
        <v>63</v>
      </c>
      <c r="Q492" s="273" t="s">
        <v>1286</v>
      </c>
      <c r="R492" s="273" t="s">
        <v>1300</v>
      </c>
      <c r="S492" s="276" t="s">
        <v>2429</v>
      </c>
      <c r="T492" s="277">
        <v>45911</v>
      </c>
      <c r="U492" s="278">
        <v>1658.6</v>
      </c>
      <c r="V492" s="279">
        <f>M492-Z492-AB492-AD492-AF492-AH492-AJ492-AL492-AN492-AP492-AR492-AT492-AV492-AX492-AZ492-BB492-BD492-BF492-BH492-U492</f>
        <v>-1658.6</v>
      </c>
      <c r="W492" s="280" t="s">
        <v>2431</v>
      </c>
      <c r="X492" s="281" t="s">
        <v>29</v>
      </c>
      <c r="Y492" s="281"/>
      <c r="Z492" s="278"/>
      <c r="AA492" s="320"/>
      <c r="AB492" s="278"/>
      <c r="AC492" s="320"/>
      <c r="AD492" s="278"/>
      <c r="AE492" s="320"/>
      <c r="AF492" s="281"/>
      <c r="AG492" s="281"/>
      <c r="AH492" s="281"/>
      <c r="AI492" s="281"/>
      <c r="AJ492" s="281"/>
      <c r="AK492" s="281"/>
      <c r="AL492" s="281"/>
      <c r="AM492" s="281"/>
      <c r="AN492" s="281"/>
      <c r="AO492" s="281"/>
      <c r="AP492" s="281"/>
      <c r="AQ492" s="281"/>
      <c r="AR492" s="281"/>
      <c r="AS492" s="281"/>
      <c r="AT492" s="281"/>
      <c r="AU492" s="281"/>
      <c r="AV492" s="281"/>
      <c r="AW492" s="281"/>
      <c r="AX492" s="281"/>
      <c r="AY492" s="281"/>
      <c r="AZ492" s="281"/>
      <c r="BA492" s="281"/>
      <c r="BB492" s="281"/>
      <c r="BC492" s="281"/>
      <c r="BD492" s="281"/>
      <c r="BE492" s="281"/>
      <c r="BG492" s="286"/>
      <c r="BH492" s="286"/>
      <c r="BI492" s="286"/>
      <c r="BJ492" s="286"/>
      <c r="BK492" s="286"/>
      <c r="BL492" s="286"/>
      <c r="BM492" s="286"/>
      <c r="BN492" s="286"/>
      <c r="BO492" s="286"/>
    </row>
    <row r="493" spans="1:67" s="282" customFormat="1" ht="20.25" customHeight="1">
      <c r="A493" s="272">
        <v>45897</v>
      </c>
      <c r="B493" s="273" t="s">
        <v>2423</v>
      </c>
      <c r="C493" s="273" t="s">
        <v>243</v>
      </c>
      <c r="D493" s="273" t="s">
        <v>212</v>
      </c>
      <c r="E493" s="278" t="s">
        <v>25</v>
      </c>
      <c r="F493" s="273" t="s">
        <v>2426</v>
      </c>
      <c r="G493" s="273" t="s">
        <v>71</v>
      </c>
      <c r="H493" s="273" t="s">
        <v>31</v>
      </c>
      <c r="I493" s="273" t="s">
        <v>63</v>
      </c>
      <c r="J493" s="273" t="s">
        <v>27</v>
      </c>
      <c r="K493" s="273" t="s">
        <v>623</v>
      </c>
      <c r="L493" s="273" t="s">
        <v>75</v>
      </c>
      <c r="M493" s="274"/>
      <c r="N493" s="275">
        <v>1.31</v>
      </c>
      <c r="O493" s="273" t="s">
        <v>67</v>
      </c>
      <c r="P493" s="273" t="s">
        <v>63</v>
      </c>
      <c r="Q493" s="273" t="s">
        <v>2126</v>
      </c>
      <c r="R493" s="273" t="s">
        <v>2186</v>
      </c>
      <c r="S493" s="276" t="s">
        <v>2429</v>
      </c>
      <c r="T493" s="277">
        <v>45911</v>
      </c>
      <c r="U493" s="278">
        <v>72.7</v>
      </c>
      <c r="V493" s="279">
        <f>M493-Z493-AB493-AD493-AF493-AH493-AJ493-AL493-AN493-AP493-AR493-AT493-AV493-AX493-AZ493-BB493-BD493-BF493-BH493-U493</f>
        <v>-72.7</v>
      </c>
      <c r="W493" s="280" t="s">
        <v>2432</v>
      </c>
      <c r="X493" s="281" t="s">
        <v>29</v>
      </c>
      <c r="Y493" s="281"/>
      <c r="Z493" s="278"/>
      <c r="AA493" s="320"/>
      <c r="AB493" s="278"/>
      <c r="AC493" s="320"/>
      <c r="AD493" s="278"/>
      <c r="AE493" s="320"/>
      <c r="AF493" s="281"/>
      <c r="AG493" s="281"/>
      <c r="AH493" s="281"/>
      <c r="AI493" s="281"/>
      <c r="AJ493" s="281"/>
      <c r="AK493" s="281"/>
      <c r="AL493" s="281"/>
      <c r="AM493" s="281"/>
      <c r="AN493" s="281"/>
      <c r="AO493" s="281"/>
      <c r="AP493" s="281"/>
      <c r="AQ493" s="281"/>
      <c r="AR493" s="281"/>
      <c r="AS493" s="281"/>
      <c r="AT493" s="281"/>
      <c r="AU493" s="281"/>
      <c r="AV493" s="281"/>
      <c r="AW493" s="281"/>
      <c r="AX493" s="281"/>
      <c r="AY493" s="281"/>
      <c r="AZ493" s="281"/>
      <c r="BA493" s="281"/>
      <c r="BB493" s="281"/>
      <c r="BC493" s="281"/>
      <c r="BD493" s="281"/>
      <c r="BE493" s="281"/>
      <c r="BG493" s="286"/>
      <c r="BH493" s="286"/>
      <c r="BI493" s="286"/>
      <c r="BJ493" s="286"/>
      <c r="BK493" s="286"/>
      <c r="BL493" s="286"/>
      <c r="BM493" s="286"/>
      <c r="BN493" s="286"/>
      <c r="BO493" s="286"/>
    </row>
    <row r="494" spans="1:67" s="282" customFormat="1" ht="13.5">
      <c r="A494" s="272">
        <v>45897</v>
      </c>
      <c r="B494" s="273" t="s">
        <v>2424</v>
      </c>
      <c r="C494" s="273" t="s">
        <v>243</v>
      </c>
      <c r="D494" s="273" t="s">
        <v>212</v>
      </c>
      <c r="E494" s="278" t="s">
        <v>25</v>
      </c>
      <c r="F494" s="273" t="s">
        <v>2427</v>
      </c>
      <c r="G494" s="273" t="s">
        <v>71</v>
      </c>
      <c r="H494" s="273" t="s">
        <v>31</v>
      </c>
      <c r="I494" s="273" t="s">
        <v>63</v>
      </c>
      <c r="J494" s="273" t="s">
        <v>27</v>
      </c>
      <c r="K494" s="273" t="s">
        <v>2428</v>
      </c>
      <c r="L494" s="273" t="s">
        <v>35</v>
      </c>
      <c r="M494" s="274"/>
      <c r="N494" s="275">
        <v>1.31</v>
      </c>
      <c r="O494" s="273" t="s">
        <v>67</v>
      </c>
      <c r="P494" s="273" t="s">
        <v>63</v>
      </c>
      <c r="Q494" s="273" t="s">
        <v>2126</v>
      </c>
      <c r="R494" s="273" t="s">
        <v>2186</v>
      </c>
      <c r="S494" s="276" t="s">
        <v>2429</v>
      </c>
      <c r="T494" s="277">
        <v>45911</v>
      </c>
      <c r="U494" s="326"/>
      <c r="V494" s="279">
        <f>M494-Z494-AB494-AD494-AF494-AH494-AJ494-AL494-AN494-AP494-AR494-AT494-AV494-AX494-AZ494-BB494-BD494-BF494-BH494-U494</f>
        <v>0</v>
      </c>
      <c r="W494" s="280" t="s">
        <v>2433</v>
      </c>
      <c r="X494" s="281" t="s">
        <v>29</v>
      </c>
      <c r="Y494" s="281"/>
      <c r="Z494" s="278"/>
      <c r="AA494" s="320"/>
      <c r="AB494" s="278"/>
      <c r="AC494" s="320"/>
      <c r="AD494" s="278"/>
      <c r="AE494" s="320"/>
      <c r="AF494" s="281"/>
      <c r="AG494" s="281"/>
      <c r="AH494" s="281"/>
      <c r="AI494" s="281"/>
      <c r="AJ494" s="281"/>
      <c r="AK494" s="281"/>
      <c r="AL494" s="281"/>
      <c r="AM494" s="281"/>
      <c r="AN494" s="281"/>
      <c r="AO494" s="281"/>
      <c r="AP494" s="281"/>
      <c r="AQ494" s="281"/>
      <c r="AR494" s="281"/>
      <c r="AS494" s="281"/>
      <c r="AT494" s="281"/>
      <c r="AU494" s="281"/>
      <c r="AV494" s="281"/>
      <c r="AW494" s="281"/>
      <c r="AX494" s="281"/>
      <c r="AY494" s="281"/>
      <c r="AZ494" s="281"/>
      <c r="BA494" s="281"/>
      <c r="BB494" s="281"/>
      <c r="BC494" s="281"/>
      <c r="BD494" s="281"/>
      <c r="BE494" s="281"/>
      <c r="BG494" s="286"/>
      <c r="BH494" s="286"/>
      <c r="BI494" s="286"/>
      <c r="BJ494" s="286"/>
      <c r="BK494" s="286"/>
      <c r="BL494" s="286"/>
      <c r="BM494" s="286"/>
      <c r="BN494" s="286"/>
      <c r="BO494" s="286"/>
    </row>
    <row r="495" spans="1:67" s="28" customFormat="1" ht="20.25" customHeight="1">
      <c r="A495" s="11">
        <v>45898</v>
      </c>
      <c r="B495" s="16" t="s">
        <v>2447</v>
      </c>
      <c r="C495" s="16" t="s">
        <v>382</v>
      </c>
      <c r="D495" s="16" t="s">
        <v>212</v>
      </c>
      <c r="E495" s="19" t="s">
        <v>25</v>
      </c>
      <c r="F495" s="16" t="s">
        <v>2454</v>
      </c>
      <c r="G495" s="16" t="s">
        <v>2455</v>
      </c>
      <c r="H495" s="16" t="s">
        <v>31</v>
      </c>
      <c r="I495" s="16" t="s">
        <v>63</v>
      </c>
      <c r="J495" s="16" t="s">
        <v>27</v>
      </c>
      <c r="K495" s="16" t="s">
        <v>384</v>
      </c>
      <c r="L495" s="16" t="s">
        <v>75</v>
      </c>
      <c r="M495" s="17">
        <v>244.65</v>
      </c>
      <c r="N495" s="23">
        <v>1.31</v>
      </c>
      <c r="O495" s="16" t="s">
        <v>67</v>
      </c>
      <c r="P495" s="16" t="s">
        <v>63</v>
      </c>
      <c r="Q495" s="16" t="s">
        <v>2463</v>
      </c>
      <c r="R495" s="16" t="s">
        <v>2464</v>
      </c>
      <c r="S495" s="12" t="s">
        <v>2233</v>
      </c>
      <c r="T495" s="13">
        <v>45905</v>
      </c>
      <c r="U495" s="19"/>
      <c r="V495" s="53">
        <f>M495-Z495-AB495-AD495-AF495-AH495-AJ495-AL495-AN495-AP495-AR495-AT495-AV495-AX495-AZ495-BB495-BD495-BF495-BH495-U495</f>
        <v>-0.54999999999998295</v>
      </c>
      <c r="W495" s="22" t="s">
        <v>2465</v>
      </c>
      <c r="X495" s="88" t="s">
        <v>29</v>
      </c>
      <c r="Y495" s="88"/>
      <c r="Z495" s="19">
        <v>245.2</v>
      </c>
      <c r="AA495" s="227">
        <v>45909</v>
      </c>
      <c r="AB495" s="19"/>
      <c r="AC495" s="227"/>
      <c r="AD495" s="19"/>
      <c r="AE495" s="227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G495" s="29"/>
      <c r="BH495" s="29"/>
      <c r="BI495" s="29"/>
      <c r="BJ495" s="29"/>
      <c r="BK495" s="29"/>
      <c r="BL495" s="29"/>
      <c r="BM495" s="29"/>
      <c r="BN495" s="29"/>
      <c r="BO495" s="29"/>
    </row>
    <row r="496" spans="1:67" s="28" customFormat="1" ht="20.25" customHeight="1">
      <c r="A496" s="11">
        <v>45898</v>
      </c>
      <c r="B496" s="16" t="s">
        <v>2448</v>
      </c>
      <c r="C496" s="16" t="s">
        <v>228</v>
      </c>
      <c r="D496" s="16" t="s">
        <v>212</v>
      </c>
      <c r="E496" s="19" t="s">
        <v>25</v>
      </c>
      <c r="F496" s="16" t="s">
        <v>2456</v>
      </c>
      <c r="G496" s="16" t="s">
        <v>71</v>
      </c>
      <c r="H496" s="16" t="s">
        <v>31</v>
      </c>
      <c r="I496" s="16" t="s">
        <v>63</v>
      </c>
      <c r="J496" s="16" t="s">
        <v>27</v>
      </c>
      <c r="K496" s="16" t="s">
        <v>2462</v>
      </c>
      <c r="L496" s="16" t="s">
        <v>75</v>
      </c>
      <c r="M496" s="17">
        <v>382.64</v>
      </c>
      <c r="N496" s="23">
        <v>1.31</v>
      </c>
      <c r="O496" s="16" t="s">
        <v>67</v>
      </c>
      <c r="P496" s="16" t="s">
        <v>63</v>
      </c>
      <c r="Q496" s="16" t="s">
        <v>2086</v>
      </c>
      <c r="R496" s="16" t="s">
        <v>1966</v>
      </c>
      <c r="S496" s="12" t="s">
        <v>2401</v>
      </c>
      <c r="T496" s="13">
        <v>45919</v>
      </c>
      <c r="U496" s="19"/>
      <c r="V496" s="324">
        <f>M496-Z496-AB496-AD496-AF496-AH496-AJ496-AL496-AN496-AP496-AR496-AT496-AV496-AX496-AZ496-BB496-BD496-BF496-BH496-U496</f>
        <v>-0.25999999999999091</v>
      </c>
      <c r="W496" s="22" t="s">
        <v>2466</v>
      </c>
      <c r="X496" s="88" t="s">
        <v>29</v>
      </c>
      <c r="Y496" s="88" t="s">
        <v>2605</v>
      </c>
      <c r="Z496" s="19">
        <f>274.4+108.5</f>
        <v>382.9</v>
      </c>
      <c r="AA496" s="227">
        <v>45917</v>
      </c>
      <c r="AB496" s="19"/>
      <c r="AC496" s="227"/>
      <c r="AD496" s="19"/>
      <c r="AE496" s="227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G496" s="29"/>
      <c r="BH496" s="29"/>
      <c r="BI496" s="29"/>
      <c r="BJ496" s="29"/>
      <c r="BK496" s="29"/>
      <c r="BL496" s="29"/>
      <c r="BM496" s="29"/>
      <c r="BN496" s="29"/>
      <c r="BO496" s="29"/>
    </row>
    <row r="497" spans="1:67" s="28" customFormat="1" ht="20.25" customHeight="1">
      <c r="A497" s="11">
        <v>45898</v>
      </c>
      <c r="B497" s="16" t="s">
        <v>2449</v>
      </c>
      <c r="C497" s="16" t="s">
        <v>290</v>
      </c>
      <c r="D497" s="16" t="s">
        <v>212</v>
      </c>
      <c r="E497" s="19" t="s">
        <v>25</v>
      </c>
      <c r="F497" s="16" t="s">
        <v>2457</v>
      </c>
      <c r="G497" s="16" t="s">
        <v>71</v>
      </c>
      <c r="H497" s="16" t="s">
        <v>31</v>
      </c>
      <c r="I497" s="16" t="s">
        <v>63</v>
      </c>
      <c r="J497" s="16" t="s">
        <v>27</v>
      </c>
      <c r="K497" s="16" t="s">
        <v>567</v>
      </c>
      <c r="L497" s="16" t="s">
        <v>35</v>
      </c>
      <c r="M497" s="17">
        <v>833.5</v>
      </c>
      <c r="N497" s="23">
        <v>1.3</v>
      </c>
      <c r="O497" s="16" t="s">
        <v>67</v>
      </c>
      <c r="P497" s="16" t="s">
        <v>63</v>
      </c>
      <c r="Q497" s="16" t="s">
        <v>29</v>
      </c>
      <c r="R497" s="16" t="s">
        <v>29</v>
      </c>
      <c r="S497" s="12" t="s">
        <v>2401</v>
      </c>
      <c r="T497" s="13">
        <v>45919</v>
      </c>
      <c r="U497" s="19"/>
      <c r="V497" s="53">
        <f>M497-Z497-AB497-AD497-AF497-AH497-AJ497-AL497-AN497-AP497-AR497-AT497-AV497-AX497-AZ497-BB497-BD497-BF497-BH497-U497</f>
        <v>-0.20000000000004547</v>
      </c>
      <c r="W497" s="22" t="s">
        <v>2467</v>
      </c>
      <c r="X497" s="88" t="s">
        <v>2472</v>
      </c>
      <c r="Y497" s="88"/>
      <c r="Z497" s="19">
        <v>833.7</v>
      </c>
      <c r="AA497" s="227">
        <v>45909</v>
      </c>
      <c r="AB497" s="19"/>
      <c r="AC497" s="227"/>
      <c r="AD497" s="19"/>
      <c r="AE497" s="227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G497" s="29"/>
      <c r="BH497" s="29"/>
      <c r="BI497" s="29"/>
      <c r="BJ497" s="29"/>
      <c r="BK497" s="29"/>
      <c r="BL497" s="29"/>
      <c r="BM497" s="29"/>
      <c r="BN497" s="29"/>
      <c r="BO497" s="29"/>
    </row>
    <row r="498" spans="1:67" s="28" customFormat="1" ht="20.25" customHeight="1">
      <c r="A498" s="11">
        <v>45898</v>
      </c>
      <c r="B498" s="16" t="s">
        <v>2450</v>
      </c>
      <c r="C498" s="16" t="s">
        <v>290</v>
      </c>
      <c r="D498" s="16" t="s">
        <v>212</v>
      </c>
      <c r="E498" s="19" t="s">
        <v>25</v>
      </c>
      <c r="F498" s="16" t="s">
        <v>2458</v>
      </c>
      <c r="G498" s="16" t="s">
        <v>71</v>
      </c>
      <c r="H498" s="16" t="s">
        <v>31</v>
      </c>
      <c r="I498" s="16" t="s">
        <v>63</v>
      </c>
      <c r="J498" s="16" t="s">
        <v>27</v>
      </c>
      <c r="K498" s="16" t="s">
        <v>487</v>
      </c>
      <c r="L498" s="16" t="s">
        <v>35</v>
      </c>
      <c r="M498" s="17">
        <v>10</v>
      </c>
      <c r="N498" s="23">
        <v>1.3</v>
      </c>
      <c r="O498" s="16" t="s">
        <v>67</v>
      </c>
      <c r="P498" s="16" t="s">
        <v>63</v>
      </c>
      <c r="Q498" s="16" t="s">
        <v>29</v>
      </c>
      <c r="R498" s="16" t="s">
        <v>29</v>
      </c>
      <c r="S498" s="12" t="s">
        <v>2401</v>
      </c>
      <c r="T498" s="13">
        <v>45919</v>
      </c>
      <c r="U498" s="19"/>
      <c r="V498" s="53">
        <f>M498-Z498-AB498-AD498-AF498-AH498-AJ498-AL498-AN498-AP498-AR498-AT498-AV498-AX498-AZ498-BB498-BD498-BF498-BH498-U498</f>
        <v>-4.0999999999999996</v>
      </c>
      <c r="W498" s="22" t="s">
        <v>2468</v>
      </c>
      <c r="X498" s="88" t="s">
        <v>2472</v>
      </c>
      <c r="Y498" s="88"/>
      <c r="Z498" s="19">
        <v>14.1</v>
      </c>
      <c r="AA498" s="227">
        <v>45909</v>
      </c>
      <c r="AB498" s="19"/>
      <c r="AC498" s="227"/>
      <c r="AD498" s="19"/>
      <c r="AE498" s="227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G498" s="29"/>
      <c r="BH498" s="29"/>
      <c r="BI498" s="29"/>
      <c r="BJ498" s="29"/>
      <c r="BK498" s="29"/>
      <c r="BL498" s="29"/>
      <c r="BM498" s="29"/>
      <c r="BN498" s="29"/>
      <c r="BO498" s="29"/>
    </row>
    <row r="499" spans="1:67" s="28" customFormat="1" ht="20.25" customHeight="1">
      <c r="A499" s="11">
        <v>45898</v>
      </c>
      <c r="B499" s="16" t="s">
        <v>2451</v>
      </c>
      <c r="C499" s="16" t="s">
        <v>290</v>
      </c>
      <c r="D499" s="16" t="s">
        <v>212</v>
      </c>
      <c r="E499" s="19" t="s">
        <v>25</v>
      </c>
      <c r="F499" s="16" t="s">
        <v>2459</v>
      </c>
      <c r="G499" s="16" t="s">
        <v>71</v>
      </c>
      <c r="H499" s="16" t="s">
        <v>31</v>
      </c>
      <c r="I499" s="16" t="s">
        <v>63</v>
      </c>
      <c r="J499" s="16" t="s">
        <v>27</v>
      </c>
      <c r="K499" s="16" t="s">
        <v>487</v>
      </c>
      <c r="L499" s="16" t="s">
        <v>35</v>
      </c>
      <c r="M499" s="17">
        <v>592</v>
      </c>
      <c r="N499" s="23">
        <v>1.3</v>
      </c>
      <c r="O499" s="16" t="s">
        <v>67</v>
      </c>
      <c r="P499" s="16" t="s">
        <v>63</v>
      </c>
      <c r="Q499" s="16" t="s">
        <v>29</v>
      </c>
      <c r="R499" s="16" t="s">
        <v>29</v>
      </c>
      <c r="S499" s="12" t="s">
        <v>2401</v>
      </c>
      <c r="T499" s="13">
        <v>45919</v>
      </c>
      <c r="U499" s="19"/>
      <c r="V499" s="53">
        <f>M499-Z499-AB499-AD499-AF499-AH499-AJ499-AL499-AN499-AP499-AR499-AT499-AV499-AX499-AZ499-BB499-BD499-BF499-BH499-U499</f>
        <v>-0.89999999999997726</v>
      </c>
      <c r="W499" s="22" t="s">
        <v>2469</v>
      </c>
      <c r="X499" s="88" t="s">
        <v>2472</v>
      </c>
      <c r="Y499" s="88"/>
      <c r="Z499" s="19">
        <v>592.9</v>
      </c>
      <c r="AA499" s="227">
        <v>45909</v>
      </c>
      <c r="AB499" s="19"/>
      <c r="AC499" s="227"/>
      <c r="AD499" s="19"/>
      <c r="AE499" s="227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G499" s="29"/>
      <c r="BH499" s="29"/>
      <c r="BI499" s="29"/>
      <c r="BJ499" s="29"/>
      <c r="BK499" s="29"/>
      <c r="BL499" s="29"/>
      <c r="BM499" s="29"/>
      <c r="BN499" s="29"/>
      <c r="BO499" s="29"/>
    </row>
    <row r="500" spans="1:67" s="28" customFormat="1" ht="20.25" customHeight="1">
      <c r="A500" s="11">
        <v>45898</v>
      </c>
      <c r="B500" s="16" t="s">
        <v>2452</v>
      </c>
      <c r="C500" s="16" t="s">
        <v>290</v>
      </c>
      <c r="D500" s="16" t="s">
        <v>212</v>
      </c>
      <c r="E500" s="19" t="s">
        <v>25</v>
      </c>
      <c r="F500" s="16" t="s">
        <v>2460</v>
      </c>
      <c r="G500" s="16" t="s">
        <v>71</v>
      </c>
      <c r="H500" s="16" t="s">
        <v>31</v>
      </c>
      <c r="I500" s="16" t="s">
        <v>63</v>
      </c>
      <c r="J500" s="16" t="s">
        <v>27</v>
      </c>
      <c r="K500" s="16" t="s">
        <v>487</v>
      </c>
      <c r="L500" s="16" t="s">
        <v>35</v>
      </c>
      <c r="M500" s="17">
        <v>91</v>
      </c>
      <c r="N500" s="23">
        <v>1.3</v>
      </c>
      <c r="O500" s="16" t="s">
        <v>67</v>
      </c>
      <c r="P500" s="16" t="s">
        <v>63</v>
      </c>
      <c r="Q500" s="16" t="s">
        <v>29</v>
      </c>
      <c r="R500" s="16" t="s">
        <v>29</v>
      </c>
      <c r="S500" s="12" t="s">
        <v>2401</v>
      </c>
      <c r="T500" s="13">
        <v>45919</v>
      </c>
      <c r="U500" s="19"/>
      <c r="V500" s="53">
        <f>M500-Z500-AB500-AD500-AF500-AH500-AJ500-AL500-AN500-AP500-AR500-AT500-AV500-AX500-AZ500-BB500-BD500-BF500-BH500-U500</f>
        <v>-0.90000000000000568</v>
      </c>
      <c r="W500" s="22" t="s">
        <v>2470</v>
      </c>
      <c r="X500" s="88" t="s">
        <v>2472</v>
      </c>
      <c r="Y500" s="88"/>
      <c r="Z500" s="19">
        <v>91.9</v>
      </c>
      <c r="AA500" s="227">
        <v>45909</v>
      </c>
      <c r="AB500" s="19"/>
      <c r="AC500" s="227"/>
      <c r="AD500" s="19"/>
      <c r="AE500" s="227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G500" s="29"/>
      <c r="BH500" s="29"/>
      <c r="BI500" s="29"/>
      <c r="BJ500" s="29"/>
      <c r="BK500" s="29"/>
      <c r="BL500" s="29"/>
      <c r="BM500" s="29"/>
      <c r="BN500" s="29"/>
      <c r="BO500" s="29"/>
    </row>
    <row r="501" spans="1:67" s="28" customFormat="1" ht="20.25" customHeight="1">
      <c r="A501" s="11">
        <v>45898</v>
      </c>
      <c r="B501" s="16" t="s">
        <v>2453</v>
      </c>
      <c r="C501" s="16" t="s">
        <v>290</v>
      </c>
      <c r="D501" s="16" t="s">
        <v>212</v>
      </c>
      <c r="E501" s="19" t="s">
        <v>25</v>
      </c>
      <c r="F501" s="16" t="s">
        <v>2461</v>
      </c>
      <c r="G501" s="16" t="s">
        <v>71</v>
      </c>
      <c r="H501" s="16" t="s">
        <v>31</v>
      </c>
      <c r="I501" s="16" t="s">
        <v>63</v>
      </c>
      <c r="J501" s="16" t="s">
        <v>27</v>
      </c>
      <c r="K501" s="16" t="s">
        <v>567</v>
      </c>
      <c r="L501" s="16" t="s">
        <v>35</v>
      </c>
      <c r="M501" s="17">
        <v>828.5</v>
      </c>
      <c r="N501" s="23">
        <v>1.3</v>
      </c>
      <c r="O501" s="16" t="s">
        <v>67</v>
      </c>
      <c r="P501" s="16" t="s">
        <v>63</v>
      </c>
      <c r="Q501" s="16" t="s">
        <v>29</v>
      </c>
      <c r="R501" s="16" t="s">
        <v>29</v>
      </c>
      <c r="S501" s="12" t="s">
        <v>2401</v>
      </c>
      <c r="T501" s="13">
        <v>45919</v>
      </c>
      <c r="U501" s="19"/>
      <c r="V501" s="53">
        <f>M501-Z501-AB501-AD501-AF501-AH501-AJ501-AL501-AN501-AP501-AR501-AT501-AV501-AX501-AZ501-BB501-BD501-BF501-BH501-U501</f>
        <v>0</v>
      </c>
      <c r="W501" s="22" t="s">
        <v>2471</v>
      </c>
      <c r="X501" s="88" t="s">
        <v>2472</v>
      </c>
      <c r="Y501" s="88"/>
      <c r="Z501" s="19">
        <v>828.5</v>
      </c>
      <c r="AA501" s="227">
        <v>45909</v>
      </c>
      <c r="AB501" s="19"/>
      <c r="AC501" s="227"/>
      <c r="AD501" s="19"/>
      <c r="AE501" s="227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G501" s="29"/>
      <c r="BH501" s="29"/>
      <c r="BI501" s="29"/>
      <c r="BJ501" s="29"/>
      <c r="BK501" s="29"/>
      <c r="BL501" s="29"/>
      <c r="BM501" s="29"/>
      <c r="BN501" s="29"/>
      <c r="BO501" s="29"/>
    </row>
    <row r="502" spans="1:67" s="28" customFormat="1" ht="20.25" customHeight="1">
      <c r="A502" s="11">
        <v>45898</v>
      </c>
      <c r="B502" s="16" t="s">
        <v>2091</v>
      </c>
      <c r="C502" s="16" t="s">
        <v>2092</v>
      </c>
      <c r="D502" s="16" t="s">
        <v>212</v>
      </c>
      <c r="E502" s="19" t="s">
        <v>25</v>
      </c>
      <c r="F502" s="16">
        <v>4000002199</v>
      </c>
      <c r="G502" s="16" t="s">
        <v>71</v>
      </c>
      <c r="H502" s="16" t="s">
        <v>26</v>
      </c>
      <c r="I502" s="16"/>
      <c r="J502" s="16" t="s">
        <v>27</v>
      </c>
      <c r="K502" s="16" t="s">
        <v>214</v>
      </c>
      <c r="L502" s="16" t="s">
        <v>75</v>
      </c>
      <c r="M502" s="17">
        <v>14</v>
      </c>
      <c r="N502" s="23">
        <v>1.3</v>
      </c>
      <c r="O502" s="16" t="s">
        <v>1063</v>
      </c>
      <c r="P502" s="16"/>
      <c r="Q502" s="16"/>
      <c r="R502" s="16"/>
      <c r="S502" s="12" t="s">
        <v>2233</v>
      </c>
      <c r="T502" s="13">
        <v>45905</v>
      </c>
      <c r="U502" s="19"/>
      <c r="V502" s="53">
        <f>M502-Z502-AB502-AD502-AF502-AH502-AJ502-AL502-AN502-AP502-AR502-AT502-AV502-AX502-AZ502-BB502-BD502-BF502-BH502-U502</f>
        <v>-2.6000000000000014</v>
      </c>
      <c r="W502" s="22" t="s">
        <v>2540</v>
      </c>
      <c r="X502" s="88" t="s">
        <v>2275</v>
      </c>
      <c r="Y502" s="88"/>
      <c r="Z502" s="19">
        <v>16.600000000000001</v>
      </c>
      <c r="AA502" s="227">
        <v>45904</v>
      </c>
      <c r="AB502" s="19"/>
      <c r="AC502" s="227"/>
      <c r="AD502" s="19"/>
      <c r="AE502" s="227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G502" s="29"/>
      <c r="BH502" s="29"/>
      <c r="BI502" s="29"/>
      <c r="BJ502" s="29"/>
      <c r="BK502" s="29"/>
      <c r="BL502" s="29"/>
      <c r="BM502" s="29"/>
      <c r="BN502" s="29"/>
      <c r="BO502" s="29"/>
    </row>
    <row r="503" spans="1:67" s="28" customFormat="1" ht="20.25" customHeight="1">
      <c r="A503" s="11">
        <v>45901</v>
      </c>
      <c r="B503" s="16" t="s">
        <v>2481</v>
      </c>
      <c r="C503" s="16" t="s">
        <v>298</v>
      </c>
      <c r="D503" s="16" t="s">
        <v>212</v>
      </c>
      <c r="E503" s="19" t="s">
        <v>25</v>
      </c>
      <c r="F503" s="16" t="s">
        <v>2487</v>
      </c>
      <c r="G503" s="16" t="s">
        <v>71</v>
      </c>
      <c r="H503" s="16" t="s">
        <v>31</v>
      </c>
      <c r="I503" s="16" t="s">
        <v>63</v>
      </c>
      <c r="J503" s="16" t="s">
        <v>27</v>
      </c>
      <c r="K503" s="16" t="s">
        <v>1012</v>
      </c>
      <c r="L503" s="16" t="s">
        <v>35</v>
      </c>
      <c r="M503" s="17">
        <v>20</v>
      </c>
      <c r="N503" s="23">
        <v>1.31</v>
      </c>
      <c r="O503" s="16" t="s">
        <v>67</v>
      </c>
      <c r="P503" s="16" t="s">
        <v>63</v>
      </c>
      <c r="Q503" s="16" t="s">
        <v>29</v>
      </c>
      <c r="R503" s="16" t="s">
        <v>2070</v>
      </c>
      <c r="S503" s="12" t="s">
        <v>2498</v>
      </c>
      <c r="T503" s="13">
        <v>45922</v>
      </c>
      <c r="U503" s="19"/>
      <c r="V503" s="53">
        <f>M503-Z503-AB503-AD503-AF503-AH503-AJ503-AL503-AN503-AP503-AR503-AT503-AV503-AX503-AZ503-BB503-BD503-BF503-BH503-U503</f>
        <v>-2.8999999999999986</v>
      </c>
      <c r="W503" s="22" t="s">
        <v>2500</v>
      </c>
      <c r="X503" s="88" t="s">
        <v>29</v>
      </c>
      <c r="Y503" s="88" t="s">
        <v>2606</v>
      </c>
      <c r="Z503" s="19">
        <v>22.9</v>
      </c>
      <c r="AA503" s="227">
        <v>45924</v>
      </c>
      <c r="AB503" s="19"/>
      <c r="AC503" s="227"/>
      <c r="AD503" s="19"/>
      <c r="AE503" s="227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G503" s="29"/>
      <c r="BH503" s="29"/>
      <c r="BI503" s="29"/>
      <c r="BJ503" s="29"/>
      <c r="BK503" s="29"/>
      <c r="BL503" s="29"/>
      <c r="BM503" s="29"/>
      <c r="BN503" s="29"/>
      <c r="BO503" s="29"/>
    </row>
    <row r="504" spans="1:67" s="28" customFormat="1" ht="20.25" customHeight="1">
      <c r="A504" s="11">
        <v>45901</v>
      </c>
      <c r="B504" s="16" t="s">
        <v>2482</v>
      </c>
      <c r="C504" s="16" t="s">
        <v>400</v>
      </c>
      <c r="D504" s="16" t="s">
        <v>212</v>
      </c>
      <c r="E504" s="19" t="s">
        <v>25</v>
      </c>
      <c r="F504" s="16" t="s">
        <v>2488</v>
      </c>
      <c r="G504" s="16" t="s">
        <v>71</v>
      </c>
      <c r="H504" s="16" t="s">
        <v>26</v>
      </c>
      <c r="I504" s="16" t="s">
        <v>63</v>
      </c>
      <c r="J504" s="16" t="s">
        <v>27</v>
      </c>
      <c r="K504" s="16" t="s">
        <v>529</v>
      </c>
      <c r="L504" s="16" t="s">
        <v>75</v>
      </c>
      <c r="M504" s="17">
        <v>318.58</v>
      </c>
      <c r="N504" s="23">
        <v>1.31</v>
      </c>
      <c r="O504" s="16" t="s">
        <v>67</v>
      </c>
      <c r="P504" s="16" t="s">
        <v>63</v>
      </c>
      <c r="Q504" s="16" t="s">
        <v>725</v>
      </c>
      <c r="R504" s="16" t="s">
        <v>2493</v>
      </c>
      <c r="S504" s="12" t="s">
        <v>2378</v>
      </c>
      <c r="T504" s="13">
        <v>45922</v>
      </c>
      <c r="U504" s="19"/>
      <c r="V504" s="53">
        <f>M504-Z504-AB504-AD504-AF504-AH504-AJ504-AL504-AN504-AP504-AR504-AT504-AV504-AX504-AZ504-BB504-BD504-BF504-BH504-U504</f>
        <v>-0.71999999999999886</v>
      </c>
      <c r="W504" s="22" t="s">
        <v>2501</v>
      </c>
      <c r="X504" s="88" t="s">
        <v>29</v>
      </c>
      <c r="Y504" s="88" t="s">
        <v>2606</v>
      </c>
      <c r="Z504" s="19">
        <v>174.1</v>
      </c>
      <c r="AA504" s="227">
        <v>45922</v>
      </c>
      <c r="AB504" s="19">
        <v>145.19999999999999</v>
      </c>
      <c r="AC504" s="227">
        <v>45926</v>
      </c>
      <c r="AD504" s="19"/>
      <c r="AE504" s="227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G504" s="29"/>
      <c r="BH504" s="29"/>
      <c r="BI504" s="29"/>
      <c r="BJ504" s="29"/>
      <c r="BK504" s="29"/>
      <c r="BL504" s="29"/>
      <c r="BM504" s="29"/>
      <c r="BN504" s="29"/>
      <c r="BO504" s="29"/>
    </row>
    <row r="505" spans="1:67" s="28" customFormat="1" ht="20.25" customHeight="1">
      <c r="A505" s="11">
        <v>45901</v>
      </c>
      <c r="B505" s="16" t="s">
        <v>2483</v>
      </c>
      <c r="C505" s="16" t="s">
        <v>400</v>
      </c>
      <c r="D505" s="16" t="s">
        <v>212</v>
      </c>
      <c r="E505" s="19" t="s">
        <v>25</v>
      </c>
      <c r="F505" s="16" t="s">
        <v>2489</v>
      </c>
      <c r="G505" s="16" t="s">
        <v>71</v>
      </c>
      <c r="H505" s="16" t="s">
        <v>31</v>
      </c>
      <c r="I505" s="16" t="s">
        <v>63</v>
      </c>
      <c r="J505" s="16" t="s">
        <v>27</v>
      </c>
      <c r="K505" s="16" t="s">
        <v>529</v>
      </c>
      <c r="L505" s="16" t="s">
        <v>75</v>
      </c>
      <c r="M505" s="17">
        <v>631.34</v>
      </c>
      <c r="N505" s="23">
        <v>1.31</v>
      </c>
      <c r="O505" s="16" t="s">
        <v>67</v>
      </c>
      <c r="P505" s="16" t="s">
        <v>63</v>
      </c>
      <c r="Q505" s="16" t="s">
        <v>2494</v>
      </c>
      <c r="R505" s="16" t="s">
        <v>2495</v>
      </c>
      <c r="S505" s="12" t="s">
        <v>2498</v>
      </c>
      <c r="T505" s="13">
        <v>45922</v>
      </c>
      <c r="U505" s="19"/>
      <c r="V505" s="53">
        <f>M505-Z505-AB505-AD505-AF505-AH505-AJ505-AL505-AN505-AP505-AR505-AT505-AV505-AX505-AZ505-BB505-BD505-BF505-BH505-U505</f>
        <v>-7.4599999999999227</v>
      </c>
      <c r="W505" s="22" t="s">
        <v>2502</v>
      </c>
      <c r="X505" s="88" t="s">
        <v>29</v>
      </c>
      <c r="Y505" s="88"/>
      <c r="Z505" s="19">
        <v>638.79999999999995</v>
      </c>
      <c r="AA505" s="227">
        <v>45922</v>
      </c>
      <c r="AB505" s="19"/>
      <c r="AC505" s="227"/>
      <c r="AD505" s="19"/>
      <c r="AE505" s="227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G505" s="29"/>
      <c r="BH505" s="29"/>
      <c r="BI505" s="29"/>
      <c r="BJ505" s="29"/>
      <c r="BK505" s="29"/>
      <c r="BL505" s="29"/>
      <c r="BM505" s="29"/>
      <c r="BN505" s="29"/>
      <c r="BO505" s="29"/>
    </row>
    <row r="506" spans="1:67" s="28" customFormat="1" ht="20.25" customHeight="1">
      <c r="A506" s="11">
        <v>45901</v>
      </c>
      <c r="B506" s="16" t="s">
        <v>2484</v>
      </c>
      <c r="C506" s="16" t="s">
        <v>1568</v>
      </c>
      <c r="D506" s="16" t="s">
        <v>212</v>
      </c>
      <c r="E506" s="19" t="s">
        <v>25</v>
      </c>
      <c r="F506" s="16" t="s">
        <v>2490</v>
      </c>
      <c r="G506" s="16" t="s">
        <v>71</v>
      </c>
      <c r="H506" s="16" t="s">
        <v>26</v>
      </c>
      <c r="I506" s="1"/>
      <c r="J506" s="1" t="s">
        <v>27</v>
      </c>
      <c r="K506" s="16" t="s">
        <v>1328</v>
      </c>
      <c r="L506" s="1" t="s">
        <v>75</v>
      </c>
      <c r="M506" s="17">
        <v>8896</v>
      </c>
      <c r="N506" s="23">
        <v>1.31</v>
      </c>
      <c r="O506" s="16" t="s">
        <v>67</v>
      </c>
      <c r="P506" s="16" t="s">
        <v>63</v>
      </c>
      <c r="Q506" s="16" t="s">
        <v>29</v>
      </c>
      <c r="R506" s="16" t="s">
        <v>2496</v>
      </c>
      <c r="S506" s="12" t="s">
        <v>2498</v>
      </c>
      <c r="T506" s="13">
        <v>45922</v>
      </c>
      <c r="U506" s="19"/>
      <c r="V506" s="324">
        <f>M506-Z506-AB506-AD506-AF506-AH506-AJ506-AL506-AN506-AP506-AR506-AT506-AV506-AX506-AZ506-BB506-BD506-BF506-BH506-U506</f>
        <v>-0.6000000000003638</v>
      </c>
      <c r="W506" s="22" t="s">
        <v>2503</v>
      </c>
      <c r="X506" s="88" t="s">
        <v>29</v>
      </c>
      <c r="Y506" s="88" t="s">
        <v>2605</v>
      </c>
      <c r="Z506" s="19">
        <f>2450.3+1281.9+3555.1+1609.3</f>
        <v>8896.6</v>
      </c>
      <c r="AA506" s="227">
        <v>45915</v>
      </c>
      <c r="AB506" s="19"/>
      <c r="AC506" s="227"/>
      <c r="AD506" s="19"/>
      <c r="AE506" s="227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G506" s="29"/>
      <c r="BH506" s="29"/>
      <c r="BI506" s="29"/>
      <c r="BJ506" s="29"/>
      <c r="BK506" s="29"/>
      <c r="BL506" s="29"/>
      <c r="BM506" s="29"/>
      <c r="BN506" s="29"/>
      <c r="BO506" s="29"/>
    </row>
    <row r="507" spans="1:67" s="28" customFormat="1" ht="20.25" customHeight="1">
      <c r="A507" s="11">
        <v>45901</v>
      </c>
      <c r="B507" s="16" t="s">
        <v>2484</v>
      </c>
      <c r="C507" s="16" t="s">
        <v>1568</v>
      </c>
      <c r="D507" s="16" t="s">
        <v>212</v>
      </c>
      <c r="E507" s="19" t="s">
        <v>25</v>
      </c>
      <c r="F507" s="16" t="s">
        <v>2490</v>
      </c>
      <c r="G507" s="16" t="s">
        <v>71</v>
      </c>
      <c r="H507" s="16" t="s">
        <v>31</v>
      </c>
      <c r="I507" s="1" t="s">
        <v>63</v>
      </c>
      <c r="J507" s="1" t="s">
        <v>27</v>
      </c>
      <c r="K507" s="16" t="s">
        <v>975</v>
      </c>
      <c r="L507" s="1" t="s">
        <v>75</v>
      </c>
      <c r="M507" s="17">
        <v>7133</v>
      </c>
      <c r="N507" s="6">
        <v>1.31</v>
      </c>
      <c r="O507" s="1" t="s">
        <v>67</v>
      </c>
      <c r="P507" s="1" t="s">
        <v>63</v>
      </c>
      <c r="Q507" s="1" t="s">
        <v>29</v>
      </c>
      <c r="R507" s="1" t="s">
        <v>2497</v>
      </c>
      <c r="S507" s="12" t="s">
        <v>2498</v>
      </c>
      <c r="T507" s="13">
        <v>45922</v>
      </c>
      <c r="U507" s="19"/>
      <c r="V507" s="53">
        <f>M507-Z507-AB507-AD507-AF507-AH507-AJ507-AL507-AN507-AP507-AR507-AT507-AV507-AX507-AZ507-BB507-BD507-BF507-BH507-U507</f>
        <v>-5.6000000000003638</v>
      </c>
      <c r="W507" s="22" t="s">
        <v>2504</v>
      </c>
      <c r="X507" s="88" t="s">
        <v>29</v>
      </c>
      <c r="Y507" s="88"/>
      <c r="Z507" s="19">
        <v>7138.6</v>
      </c>
      <c r="AA507" s="227">
        <v>45923</v>
      </c>
      <c r="AB507" s="19"/>
      <c r="AC507" s="227"/>
      <c r="AD507" s="19"/>
      <c r="AE507" s="227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G507" s="29"/>
      <c r="BH507" s="29"/>
      <c r="BI507" s="29"/>
      <c r="BJ507" s="29"/>
      <c r="BK507" s="29"/>
      <c r="BL507" s="29"/>
      <c r="BM507" s="29"/>
      <c r="BN507" s="29"/>
      <c r="BO507" s="29"/>
    </row>
    <row r="508" spans="1:67" s="28" customFormat="1" ht="20.25" customHeight="1">
      <c r="A508" s="11">
        <v>45901</v>
      </c>
      <c r="B508" s="16" t="s">
        <v>2485</v>
      </c>
      <c r="C508" s="16" t="s">
        <v>228</v>
      </c>
      <c r="D508" s="16" t="s">
        <v>212</v>
      </c>
      <c r="E508" s="19" t="s">
        <v>25</v>
      </c>
      <c r="F508" s="16" t="s">
        <v>2491</v>
      </c>
      <c r="G508" s="16" t="s">
        <v>71</v>
      </c>
      <c r="H508" s="16" t="s">
        <v>31</v>
      </c>
      <c r="I508" s="16"/>
      <c r="J508" s="16" t="s">
        <v>27</v>
      </c>
      <c r="K508" s="16" t="s">
        <v>230</v>
      </c>
      <c r="L508" s="16" t="s">
        <v>75</v>
      </c>
      <c r="M508" s="17">
        <v>215.87</v>
      </c>
      <c r="N508" s="23">
        <v>1.31</v>
      </c>
      <c r="O508" s="16" t="s">
        <v>67</v>
      </c>
      <c r="P508" s="16" t="s">
        <v>63</v>
      </c>
      <c r="Q508" s="16" t="s">
        <v>263</v>
      </c>
      <c r="R508" s="16" t="s">
        <v>1130</v>
      </c>
      <c r="S508" s="12" t="s">
        <v>2498</v>
      </c>
      <c r="T508" s="13">
        <v>45922</v>
      </c>
      <c r="U508" s="19"/>
      <c r="V508" s="53">
        <f>M508-Z508-AB508-AD508-AF508-AH508-AJ508-AL508-AN508-AP508-AR508-AT508-AV508-AX508-AZ508-BB508-BD508-BF508-BH508-U508</f>
        <v>-2.9300000000000068</v>
      </c>
      <c r="W508" s="22" t="s">
        <v>2505</v>
      </c>
      <c r="X508" s="88" t="s">
        <v>29</v>
      </c>
      <c r="Y508" s="88"/>
      <c r="Z508" s="19">
        <v>218.8</v>
      </c>
      <c r="AA508" s="227">
        <v>45917</v>
      </c>
      <c r="AB508" s="19"/>
      <c r="AC508" s="227"/>
      <c r="AD508" s="19"/>
      <c r="AE508" s="227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G508" s="29"/>
      <c r="BH508" s="29"/>
      <c r="BI508" s="29"/>
      <c r="BJ508" s="29"/>
      <c r="BK508" s="29"/>
      <c r="BL508" s="29"/>
      <c r="BM508" s="29"/>
      <c r="BN508" s="29"/>
      <c r="BO508" s="29"/>
    </row>
    <row r="509" spans="1:67" s="28" customFormat="1" ht="20.25" customHeight="1">
      <c r="A509" s="11">
        <v>45901</v>
      </c>
      <c r="B509" s="16" t="s">
        <v>2486</v>
      </c>
      <c r="C509" s="16" t="s">
        <v>304</v>
      </c>
      <c r="D509" s="16" t="s">
        <v>212</v>
      </c>
      <c r="E509" s="19" t="s">
        <v>25</v>
      </c>
      <c r="F509" s="16" t="s">
        <v>2492</v>
      </c>
      <c r="G509" s="16" t="s">
        <v>71</v>
      </c>
      <c r="H509" s="16" t="s">
        <v>31</v>
      </c>
      <c r="I509" s="16"/>
      <c r="J509" s="16" t="s">
        <v>27</v>
      </c>
      <c r="K509" s="16" t="s">
        <v>760</v>
      </c>
      <c r="L509" s="16" t="s">
        <v>75</v>
      </c>
      <c r="M509" s="17">
        <v>100</v>
      </c>
      <c r="N509" s="23">
        <v>1.29</v>
      </c>
      <c r="O509" s="16" t="s">
        <v>67</v>
      </c>
      <c r="P509" s="16" t="s">
        <v>63</v>
      </c>
      <c r="Q509" s="16" t="s">
        <v>29</v>
      </c>
      <c r="R509" s="16" t="s">
        <v>1419</v>
      </c>
      <c r="S509" s="12" t="s">
        <v>2378</v>
      </c>
      <c r="T509" s="13">
        <v>45915</v>
      </c>
      <c r="U509" s="19"/>
      <c r="V509" s="53">
        <f>M509-Z509-AB509-AD509-AF509-AH509-AJ509-AL509-AN509-AP509-AR509-AT509-AV509-AX509-AZ509-BB509-BD509-BF509-BH509-U509</f>
        <v>-9.9999999999994316E-2</v>
      </c>
      <c r="W509" s="22" t="s">
        <v>2506</v>
      </c>
      <c r="X509" s="88" t="s">
        <v>29</v>
      </c>
      <c r="Y509" s="88"/>
      <c r="Z509" s="19">
        <v>100.1</v>
      </c>
      <c r="AA509" s="227">
        <v>45911</v>
      </c>
      <c r="AB509" s="19"/>
      <c r="AC509" s="227"/>
      <c r="AD509" s="19"/>
      <c r="AE509" s="227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G509" s="29"/>
      <c r="BH509" s="29"/>
      <c r="BI509" s="29"/>
      <c r="BJ509" s="29"/>
      <c r="BK509" s="29"/>
      <c r="BL509" s="29"/>
      <c r="BM509" s="29"/>
      <c r="BN509" s="29"/>
      <c r="BO509" s="29"/>
    </row>
    <row r="510" spans="1:67" s="28" customFormat="1" ht="20.25" customHeight="1">
      <c r="A510" s="11">
        <v>45902</v>
      </c>
      <c r="B510" s="16" t="s">
        <v>2517</v>
      </c>
      <c r="C510" s="16" t="s">
        <v>1568</v>
      </c>
      <c r="D510" s="16" t="s">
        <v>212</v>
      </c>
      <c r="E510" s="19" t="s">
        <v>25</v>
      </c>
      <c r="F510" s="16" t="s">
        <v>2519</v>
      </c>
      <c r="G510" s="16" t="s">
        <v>71</v>
      </c>
      <c r="H510" s="16" t="s">
        <v>26</v>
      </c>
      <c r="I510" s="16" t="s">
        <v>63</v>
      </c>
      <c r="J510" s="16" t="s">
        <v>27</v>
      </c>
      <c r="K510" s="16" t="s">
        <v>567</v>
      </c>
      <c r="L510" s="16" t="s">
        <v>75</v>
      </c>
      <c r="M510" s="17">
        <v>1488</v>
      </c>
      <c r="N510" s="23">
        <v>1.31</v>
      </c>
      <c r="O510" s="16" t="s">
        <v>67</v>
      </c>
      <c r="P510" s="16" t="s">
        <v>63</v>
      </c>
      <c r="Q510" s="16" t="s">
        <v>29</v>
      </c>
      <c r="R510" s="16" t="s">
        <v>2496</v>
      </c>
      <c r="S510" s="12" t="s">
        <v>2521</v>
      </c>
      <c r="T510" s="13">
        <v>45923</v>
      </c>
      <c r="U510" s="19"/>
      <c r="V510" s="53">
        <f>M510-Z510-AB510-AD510-AF510-AH510-AJ510-AL510-AN510-AP510-AR510-AT510-AV510-AX510-AZ510-BB510-BD510-BF510-BH510-U510</f>
        <v>0</v>
      </c>
      <c r="W510" s="22" t="s">
        <v>2522</v>
      </c>
      <c r="X510" s="88" t="s">
        <v>29</v>
      </c>
      <c r="Y510" s="88"/>
      <c r="Z510" s="19">
        <v>1488</v>
      </c>
      <c r="AA510" s="227">
        <v>45915</v>
      </c>
      <c r="AB510" s="19"/>
      <c r="AC510" s="227"/>
      <c r="AD510" s="19"/>
      <c r="AE510" s="227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G510" s="29"/>
      <c r="BH510" s="29"/>
      <c r="BI510" s="29"/>
      <c r="BJ510" s="29"/>
      <c r="BK510" s="29"/>
      <c r="BL510" s="29"/>
      <c r="BM510" s="29"/>
      <c r="BN510" s="29"/>
      <c r="BO510" s="29"/>
    </row>
    <row r="511" spans="1:67" s="28" customFormat="1" ht="20.25" customHeight="1">
      <c r="A511" s="11">
        <v>45902</v>
      </c>
      <c r="B511" s="16" t="s">
        <v>2518</v>
      </c>
      <c r="C511" s="16" t="s">
        <v>228</v>
      </c>
      <c r="D511" s="16" t="s">
        <v>212</v>
      </c>
      <c r="E511" s="19" t="s">
        <v>25</v>
      </c>
      <c r="F511" s="16" t="s">
        <v>2520</v>
      </c>
      <c r="G511" s="16" t="s">
        <v>71</v>
      </c>
      <c r="H511" s="16" t="s">
        <v>31</v>
      </c>
      <c r="I511" s="16"/>
      <c r="J511" s="16" t="s">
        <v>27</v>
      </c>
      <c r="K511" s="16" t="s">
        <v>230</v>
      </c>
      <c r="L511" s="16" t="s">
        <v>75</v>
      </c>
      <c r="M511" s="17">
        <v>50</v>
      </c>
      <c r="N511" s="23">
        <v>1.31</v>
      </c>
      <c r="O511" s="16" t="s">
        <v>67</v>
      </c>
      <c r="P511" s="16" t="s">
        <v>63</v>
      </c>
      <c r="Q511" s="16" t="s">
        <v>29</v>
      </c>
      <c r="R511" s="16" t="s">
        <v>481</v>
      </c>
      <c r="S511" s="12" t="s">
        <v>2521</v>
      </c>
      <c r="T511" s="13">
        <v>45923</v>
      </c>
      <c r="U511" s="19"/>
      <c r="V511" s="53">
        <f>M511-Z511-AB511-AD511-AF511-AH511-AJ511-AL511-AN511-AP511-AR511-AT511-AV511-AX511-AZ511-BB511-BD511-BF511-BH511-U511</f>
        <v>-0.39999999999999858</v>
      </c>
      <c r="W511" s="22" t="s">
        <v>2523</v>
      </c>
      <c r="X511" s="88" t="s">
        <v>29</v>
      </c>
      <c r="Y511" s="88"/>
      <c r="Z511" s="19">
        <v>50.4</v>
      </c>
      <c r="AA511" s="227">
        <v>45917</v>
      </c>
      <c r="AB511" s="19"/>
      <c r="AC511" s="227"/>
      <c r="AD511" s="19"/>
      <c r="AE511" s="227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G511" s="29"/>
      <c r="BH511" s="29"/>
      <c r="BI511" s="29"/>
      <c r="BJ511" s="29"/>
      <c r="BK511" s="29"/>
      <c r="BL511" s="29"/>
      <c r="BM511" s="29"/>
      <c r="BN511" s="29"/>
      <c r="BO511" s="29"/>
    </row>
    <row r="512" spans="1:67" s="28" customFormat="1" ht="20.25" customHeight="1">
      <c r="A512" s="11">
        <v>45903</v>
      </c>
      <c r="B512" s="16" t="s">
        <v>2543</v>
      </c>
      <c r="C512" s="16" t="s">
        <v>1568</v>
      </c>
      <c r="D512" s="16" t="s">
        <v>212</v>
      </c>
      <c r="E512" s="19" t="s">
        <v>25</v>
      </c>
      <c r="F512" s="16" t="s">
        <v>2545</v>
      </c>
      <c r="G512" s="16" t="s">
        <v>71</v>
      </c>
      <c r="H512" s="16" t="s">
        <v>31</v>
      </c>
      <c r="I512" s="1"/>
      <c r="J512" s="1" t="s">
        <v>27</v>
      </c>
      <c r="K512" s="16" t="s">
        <v>2547</v>
      </c>
      <c r="L512" s="1" t="s">
        <v>75</v>
      </c>
      <c r="M512" s="17">
        <v>899</v>
      </c>
      <c r="N512" s="23">
        <v>1.31</v>
      </c>
      <c r="O512" s="16" t="s">
        <v>67</v>
      </c>
      <c r="P512" s="16" t="s">
        <v>63</v>
      </c>
      <c r="Q512" s="16" t="s">
        <v>29</v>
      </c>
      <c r="R512" s="16" t="s">
        <v>1648</v>
      </c>
      <c r="S512" s="12" t="s">
        <v>2521</v>
      </c>
      <c r="T512" s="13">
        <v>45923</v>
      </c>
      <c r="U512" s="19"/>
      <c r="V512" s="53">
        <f>M512-Z512-AB512-AD512-AF512-AH512-AJ512-AL512-AN512-AP512-AR512-AT512-AV512-AX512-AZ512-BB512-BD512-BF512-BH512-U512</f>
        <v>0</v>
      </c>
      <c r="W512" s="22" t="s">
        <v>2548</v>
      </c>
      <c r="X512" s="88" t="s">
        <v>29</v>
      </c>
      <c r="Y512" s="88"/>
      <c r="Z512" s="19">
        <v>899</v>
      </c>
      <c r="AA512" s="227">
        <v>45915</v>
      </c>
      <c r="AB512" s="19"/>
      <c r="AC512" s="227"/>
      <c r="AD512" s="19"/>
      <c r="AE512" s="227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G512" s="29"/>
      <c r="BH512" s="29"/>
      <c r="BI512" s="29"/>
      <c r="BJ512" s="29"/>
      <c r="BK512" s="29"/>
      <c r="BL512" s="29"/>
      <c r="BM512" s="29"/>
      <c r="BN512" s="29"/>
      <c r="BO512" s="29"/>
    </row>
    <row r="513" spans="1:67" s="28" customFormat="1" ht="20.25" customHeight="1">
      <c r="A513" s="11">
        <v>45903</v>
      </c>
      <c r="B513" s="16" t="s">
        <v>2544</v>
      </c>
      <c r="C513" s="16" t="s">
        <v>243</v>
      </c>
      <c r="D513" s="16" t="s">
        <v>212</v>
      </c>
      <c r="E513" s="19" t="s">
        <v>25</v>
      </c>
      <c r="F513" s="16" t="s">
        <v>2546</v>
      </c>
      <c r="G513" s="16" t="s">
        <v>71</v>
      </c>
      <c r="H513" s="16" t="s">
        <v>31</v>
      </c>
      <c r="I513" s="16"/>
      <c r="J513" s="16" t="s">
        <v>27</v>
      </c>
      <c r="K513" s="16" t="s">
        <v>292</v>
      </c>
      <c r="L513" s="16" t="s">
        <v>35</v>
      </c>
      <c r="M513" s="17">
        <v>156</v>
      </c>
      <c r="N513" s="23">
        <v>1.31</v>
      </c>
      <c r="O513" s="16" t="s">
        <v>67</v>
      </c>
      <c r="P513" s="16" t="s">
        <v>63</v>
      </c>
      <c r="Q513" s="16" t="s">
        <v>2126</v>
      </c>
      <c r="R513" s="16" t="s">
        <v>1292</v>
      </c>
      <c r="S513" s="12" t="s">
        <v>1801</v>
      </c>
      <c r="T513" s="13">
        <v>45924</v>
      </c>
      <c r="U513" s="19"/>
      <c r="V513" s="53">
        <f>M513-Z513-AB513-AD513-AF513-AH513-AJ513-AL513-AN513-AP513-AR513-AT513-AV513-AX513-AZ513-BB513-BD513-BF513-BH513-U513</f>
        <v>-0.19999999999998863</v>
      </c>
      <c r="W513" s="22" t="s">
        <v>2549</v>
      </c>
      <c r="X513" s="88" t="s">
        <v>29</v>
      </c>
      <c r="Y513" s="88"/>
      <c r="Z513" s="19">
        <v>156.19999999999999</v>
      </c>
      <c r="AA513" s="227">
        <v>45917</v>
      </c>
      <c r="AB513" s="19"/>
      <c r="AC513" s="227"/>
      <c r="AD513" s="19"/>
      <c r="AE513" s="227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G513" s="29"/>
      <c r="BH513" s="29"/>
      <c r="BI513" s="29"/>
      <c r="BJ513" s="29"/>
      <c r="BK513" s="29"/>
      <c r="BL513" s="29"/>
      <c r="BM513" s="29"/>
      <c r="BN513" s="29"/>
      <c r="BO513" s="29"/>
    </row>
    <row r="514" spans="1:67" s="28" customFormat="1" ht="20.25" customHeight="1">
      <c r="A514" s="11">
        <v>45904</v>
      </c>
      <c r="B514" s="16" t="s">
        <v>2561</v>
      </c>
      <c r="C514" s="16" t="s">
        <v>304</v>
      </c>
      <c r="D514" s="16" t="s">
        <v>212</v>
      </c>
      <c r="E514" s="19" t="s">
        <v>25</v>
      </c>
      <c r="F514" s="16" t="s">
        <v>2562</v>
      </c>
      <c r="G514" s="16" t="s">
        <v>71</v>
      </c>
      <c r="H514" s="16" t="s">
        <v>31</v>
      </c>
      <c r="I514" s="16" t="s">
        <v>63</v>
      </c>
      <c r="J514" s="16" t="s">
        <v>27</v>
      </c>
      <c r="K514" s="16" t="s">
        <v>1573</v>
      </c>
      <c r="L514" s="16" t="s">
        <v>75</v>
      </c>
      <c r="M514" s="17">
        <v>255</v>
      </c>
      <c r="N514" s="23">
        <v>1.31</v>
      </c>
      <c r="O514" s="16" t="s">
        <v>67</v>
      </c>
      <c r="P514" s="16" t="s">
        <v>63</v>
      </c>
      <c r="Q514" s="16" t="s">
        <v>29</v>
      </c>
      <c r="R514" s="16" t="s">
        <v>1580</v>
      </c>
      <c r="S514" s="12" t="s">
        <v>2430</v>
      </c>
      <c r="T514" s="13">
        <v>45927</v>
      </c>
      <c r="U514" s="19"/>
      <c r="V514" s="53">
        <f>M514-Z514-AB514-AD514-AF514-AH514-AJ514-AL514-AN514-AP514-AR514-AT514-AV514-AX514-AZ514-BB514-BD514-BF514-BH514-U514</f>
        <v>-1.1999999999999886</v>
      </c>
      <c r="W514" s="22" t="s">
        <v>2744</v>
      </c>
      <c r="X514" s="88"/>
      <c r="Y514" s="88"/>
      <c r="Z514" s="19">
        <v>256.2</v>
      </c>
      <c r="AA514" s="227">
        <v>45922</v>
      </c>
      <c r="AB514" s="19"/>
      <c r="AC514" s="227"/>
      <c r="AD514" s="19"/>
      <c r="AE514" s="227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G514" s="29"/>
      <c r="BH514" s="29"/>
      <c r="BI514" s="29"/>
      <c r="BJ514" s="29"/>
      <c r="BK514" s="29"/>
      <c r="BL514" s="29"/>
      <c r="BM514" s="29"/>
      <c r="BN514" s="29"/>
      <c r="BO514" s="29"/>
    </row>
    <row r="515" spans="1:67" s="282" customFormat="1" ht="20.25" customHeight="1">
      <c r="A515" s="272">
        <v>45908</v>
      </c>
      <c r="B515" s="273" t="s">
        <v>2568</v>
      </c>
      <c r="C515" s="273" t="s">
        <v>290</v>
      </c>
      <c r="D515" s="273" t="s">
        <v>212</v>
      </c>
      <c r="E515" s="278" t="s">
        <v>25</v>
      </c>
      <c r="F515" s="273" t="s">
        <v>2569</v>
      </c>
      <c r="G515" s="273" t="s">
        <v>71</v>
      </c>
      <c r="H515" s="273" t="s">
        <v>31</v>
      </c>
      <c r="I515" s="1" t="s">
        <v>63</v>
      </c>
      <c r="J515" s="1" t="s">
        <v>27</v>
      </c>
      <c r="K515" s="273" t="s">
        <v>1328</v>
      </c>
      <c r="L515" s="1" t="s">
        <v>35</v>
      </c>
      <c r="M515" s="274"/>
      <c r="N515" s="275">
        <v>1.3</v>
      </c>
      <c r="O515" s="273" t="s">
        <v>67</v>
      </c>
      <c r="P515" s="273" t="s">
        <v>63</v>
      </c>
      <c r="Q515" s="273" t="s">
        <v>2570</v>
      </c>
      <c r="R515" s="273" t="s">
        <v>29</v>
      </c>
      <c r="S515" s="276" t="s">
        <v>1797</v>
      </c>
      <c r="T515" s="277">
        <v>45929</v>
      </c>
      <c r="U515" s="326"/>
      <c r="V515" s="279">
        <f>M515-Z515-AB515-AD515-AF515-AH515-AJ515-AL515-AN515-AP515-AR515-AT515-AV515-AX515-AZ515-BB515-BD515-BF515-BH515-U515</f>
        <v>0</v>
      </c>
      <c r="W515" s="280" t="s">
        <v>2571</v>
      </c>
      <c r="X515" s="281" t="s">
        <v>29</v>
      </c>
      <c r="Y515" s="281"/>
      <c r="Z515" s="278"/>
      <c r="AA515" s="320"/>
      <c r="AB515" s="278"/>
      <c r="AC515" s="320"/>
      <c r="AD515" s="278"/>
      <c r="AE515" s="320"/>
      <c r="AF515" s="281"/>
      <c r="AG515" s="281"/>
      <c r="AH515" s="281"/>
      <c r="AI515" s="281"/>
      <c r="AJ515" s="281"/>
      <c r="AK515" s="281"/>
      <c r="AL515" s="281"/>
      <c r="AM515" s="281"/>
      <c r="AN515" s="281"/>
      <c r="AO515" s="281"/>
      <c r="AP515" s="281"/>
      <c r="AQ515" s="281"/>
      <c r="AR515" s="281"/>
      <c r="AS515" s="281"/>
      <c r="AT515" s="281"/>
      <c r="AU515" s="281"/>
      <c r="AV515" s="281"/>
      <c r="AW515" s="281"/>
      <c r="AX515" s="281"/>
      <c r="AY515" s="281"/>
      <c r="AZ515" s="281"/>
      <c r="BA515" s="281"/>
      <c r="BB515" s="281"/>
      <c r="BC515" s="281"/>
      <c r="BD515" s="281"/>
      <c r="BE515" s="281"/>
      <c r="BG515" s="286"/>
      <c r="BH515" s="286"/>
      <c r="BI515" s="286"/>
      <c r="BJ515" s="286"/>
      <c r="BK515" s="286"/>
      <c r="BL515" s="286"/>
      <c r="BM515" s="286"/>
      <c r="BN515" s="286"/>
      <c r="BO515" s="286"/>
    </row>
    <row r="516" spans="1:67" s="28" customFormat="1" ht="20.25" customHeight="1">
      <c r="A516" s="11">
        <v>45909</v>
      </c>
      <c r="B516" s="16" t="s">
        <v>2572</v>
      </c>
      <c r="C516" s="16" t="s">
        <v>400</v>
      </c>
      <c r="D516" s="16" t="s">
        <v>212</v>
      </c>
      <c r="E516" s="19" t="s">
        <v>25</v>
      </c>
      <c r="F516" s="16" t="s">
        <v>2575</v>
      </c>
      <c r="G516" s="16" t="s">
        <v>71</v>
      </c>
      <c r="H516" s="16" t="s">
        <v>31</v>
      </c>
      <c r="I516" s="16" t="s">
        <v>63</v>
      </c>
      <c r="J516" s="16" t="s">
        <v>27</v>
      </c>
      <c r="K516" s="16" t="s">
        <v>2462</v>
      </c>
      <c r="L516" s="16" t="s">
        <v>35</v>
      </c>
      <c r="M516" s="17">
        <v>5895.45</v>
      </c>
      <c r="N516" s="23">
        <v>1.31</v>
      </c>
      <c r="O516" s="16" t="s">
        <v>1063</v>
      </c>
      <c r="P516" s="16" t="s">
        <v>63</v>
      </c>
      <c r="Q516" s="16" t="s">
        <v>29</v>
      </c>
      <c r="R516" s="16" t="s">
        <v>2578</v>
      </c>
      <c r="S516" s="12" t="s">
        <v>2498</v>
      </c>
      <c r="T516" s="13">
        <v>45922</v>
      </c>
      <c r="U516" s="19"/>
      <c r="V516" s="324">
        <f>M516-Z516-AB516-AD516-AF516-AH516-AJ516-AL516-AN516-AP516-AR516-AT516-AV516-AX516-AZ516-BB516-BD516-BF516-BH516-U516</f>
        <v>-1.8500000000001364</v>
      </c>
      <c r="W516" s="22" t="s">
        <v>2579</v>
      </c>
      <c r="X516" s="88" t="s">
        <v>29</v>
      </c>
      <c r="Y516" s="88" t="s">
        <v>2886</v>
      </c>
      <c r="Z516" s="19">
        <f>276.5+3629.5</f>
        <v>3906</v>
      </c>
      <c r="AA516" s="227">
        <v>45922</v>
      </c>
      <c r="AB516" s="19">
        <f>240.5+1750.8</f>
        <v>1991.3</v>
      </c>
      <c r="AC516" s="227">
        <v>45926</v>
      </c>
      <c r="AD516" s="19"/>
      <c r="AE516" s="227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G516" s="29"/>
      <c r="BH516" s="29"/>
      <c r="BI516" s="29"/>
      <c r="BJ516" s="29"/>
      <c r="BK516" s="29"/>
      <c r="BL516" s="29"/>
      <c r="BM516" s="29"/>
      <c r="BN516" s="29"/>
      <c r="BO516" s="29"/>
    </row>
    <row r="517" spans="1:67" s="28" customFormat="1" ht="20.25" customHeight="1">
      <c r="A517" s="11">
        <v>45909</v>
      </c>
      <c r="B517" s="16" t="s">
        <v>2573</v>
      </c>
      <c r="C517" s="16" t="s">
        <v>400</v>
      </c>
      <c r="D517" s="16" t="s">
        <v>212</v>
      </c>
      <c r="E517" s="19" t="s">
        <v>25</v>
      </c>
      <c r="F517" s="16" t="s">
        <v>2576</v>
      </c>
      <c r="G517" s="16" t="s">
        <v>71</v>
      </c>
      <c r="H517" s="16" t="s">
        <v>31</v>
      </c>
      <c r="I517" s="16" t="s">
        <v>63</v>
      </c>
      <c r="J517" s="16" t="s">
        <v>27</v>
      </c>
      <c r="K517" s="16" t="s">
        <v>2462</v>
      </c>
      <c r="L517" s="16" t="s">
        <v>35</v>
      </c>
      <c r="M517" s="17">
        <v>5239.43</v>
      </c>
      <c r="N517" s="23">
        <v>1.31</v>
      </c>
      <c r="O517" s="16" t="s">
        <v>1063</v>
      </c>
      <c r="P517" s="16" t="s">
        <v>63</v>
      </c>
      <c r="Q517" s="16" t="s">
        <v>29</v>
      </c>
      <c r="R517" s="16" t="s">
        <v>2578</v>
      </c>
      <c r="S517" s="12" t="s">
        <v>2498</v>
      </c>
      <c r="T517" s="13">
        <v>45922</v>
      </c>
      <c r="U517" s="19"/>
      <c r="V517" s="53">
        <f>M517-Z517-AB517-AD517-AF517-AH517-AJ517-AL517-AN517-AP517-AR517-AT517-AV517-AX517-AZ517-BB517-BD517-BF517-BH517-U517</f>
        <v>-0.36999999999989086</v>
      </c>
      <c r="W517" s="22" t="s">
        <v>2580</v>
      </c>
      <c r="X517" s="88" t="s">
        <v>29</v>
      </c>
      <c r="Y517" s="88"/>
      <c r="Z517" s="19">
        <f>749.8+4490</f>
        <v>5239.8</v>
      </c>
      <c r="AA517" s="227">
        <v>45922</v>
      </c>
      <c r="AB517" s="19"/>
      <c r="AC517" s="227"/>
      <c r="AD517" s="19"/>
      <c r="AE517" s="227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G517" s="29"/>
      <c r="BH517" s="29"/>
      <c r="BI517" s="29"/>
      <c r="BJ517" s="29"/>
      <c r="BK517" s="29"/>
      <c r="BL517" s="29"/>
      <c r="BM517" s="29"/>
      <c r="BN517" s="29"/>
      <c r="BO517" s="29"/>
    </row>
    <row r="518" spans="1:67" s="282" customFormat="1" ht="20.25" customHeight="1">
      <c r="A518" s="272">
        <v>45909</v>
      </c>
      <c r="B518" s="273" t="s">
        <v>2574</v>
      </c>
      <c r="C518" s="273" t="s">
        <v>2092</v>
      </c>
      <c r="D518" s="273" t="s">
        <v>212</v>
      </c>
      <c r="E518" s="278" t="s">
        <v>25</v>
      </c>
      <c r="F518" s="273" t="s">
        <v>2577</v>
      </c>
      <c r="G518" s="273" t="s">
        <v>71</v>
      </c>
      <c r="H518" s="273" t="s">
        <v>26</v>
      </c>
      <c r="I518" s="273"/>
      <c r="J518" s="273" t="s">
        <v>27</v>
      </c>
      <c r="K518" s="273" t="s">
        <v>214</v>
      </c>
      <c r="L518" s="273" t="s">
        <v>35</v>
      </c>
      <c r="M518" s="274"/>
      <c r="N518" s="275">
        <v>1.3</v>
      </c>
      <c r="O518" s="273" t="s">
        <v>1063</v>
      </c>
      <c r="P518" s="273" t="s">
        <v>63</v>
      </c>
      <c r="Q518" s="273" t="s">
        <v>29</v>
      </c>
      <c r="R518" s="273" t="s">
        <v>29</v>
      </c>
      <c r="S518" s="276" t="s">
        <v>2499</v>
      </c>
      <c r="T518" s="277"/>
      <c r="U518" s="326"/>
      <c r="V518" s="279">
        <f>M518-Z518-AB518-AD518-AF518-AH518-AJ518-AL518-AN518-AP518-AR518-AT518-AV518-AX518-AZ518-BB518-BD518-BF518-BH518-U518</f>
        <v>0</v>
      </c>
      <c r="W518" s="280" t="s">
        <v>2581</v>
      </c>
      <c r="X518" s="281" t="s">
        <v>2275</v>
      </c>
      <c r="Y518" s="281"/>
      <c r="Z518" s="278"/>
      <c r="AA518" s="320"/>
      <c r="AB518" s="278"/>
      <c r="AC518" s="320"/>
      <c r="AD518" s="278"/>
      <c r="AE518" s="320"/>
      <c r="AF518" s="281"/>
      <c r="AG518" s="281"/>
      <c r="AH518" s="281"/>
      <c r="AI518" s="281"/>
      <c r="AJ518" s="281"/>
      <c r="AK518" s="281"/>
      <c r="AL518" s="281"/>
      <c r="AM518" s="281"/>
      <c r="AN518" s="281"/>
      <c r="AO518" s="281"/>
      <c r="AP518" s="281"/>
      <c r="AQ518" s="281"/>
      <c r="AR518" s="281"/>
      <c r="AS518" s="281"/>
      <c r="AT518" s="281"/>
      <c r="AU518" s="281"/>
      <c r="AV518" s="281"/>
      <c r="AW518" s="281"/>
      <c r="AX518" s="281"/>
      <c r="AY518" s="281"/>
      <c r="AZ518" s="281"/>
      <c r="BA518" s="281"/>
      <c r="BB518" s="281"/>
      <c r="BC518" s="281"/>
      <c r="BD518" s="281"/>
      <c r="BE518" s="281"/>
      <c r="BG518" s="286"/>
      <c r="BH518" s="286"/>
      <c r="BI518" s="286"/>
      <c r="BJ518" s="286"/>
      <c r="BK518" s="286"/>
      <c r="BL518" s="286"/>
      <c r="BM518" s="286"/>
      <c r="BN518" s="286"/>
      <c r="BO518" s="286"/>
    </row>
    <row r="519" spans="1:67" s="282" customFormat="1" ht="20.25" customHeight="1">
      <c r="A519" s="272">
        <v>45909</v>
      </c>
      <c r="B519" s="273" t="s">
        <v>2574</v>
      </c>
      <c r="C519" s="273" t="s">
        <v>2092</v>
      </c>
      <c r="D519" s="273" t="s">
        <v>212</v>
      </c>
      <c r="E519" s="278" t="s">
        <v>25</v>
      </c>
      <c r="F519" s="273" t="s">
        <v>2577</v>
      </c>
      <c r="G519" s="273" t="s">
        <v>71</v>
      </c>
      <c r="H519" s="273" t="s">
        <v>26</v>
      </c>
      <c r="I519" s="273"/>
      <c r="J519" s="273" t="s">
        <v>27</v>
      </c>
      <c r="K519" s="273" t="s">
        <v>214</v>
      </c>
      <c r="L519" s="273" t="s">
        <v>35</v>
      </c>
      <c r="M519" s="274"/>
      <c r="N519" s="275">
        <v>1.3</v>
      </c>
      <c r="O519" s="273" t="s">
        <v>1063</v>
      </c>
      <c r="P519" s="273" t="s">
        <v>63</v>
      </c>
      <c r="Q519" s="273" t="s">
        <v>29</v>
      </c>
      <c r="R519" s="273" t="s">
        <v>29</v>
      </c>
      <c r="S519" s="276" t="s">
        <v>2499</v>
      </c>
      <c r="T519" s="277"/>
      <c r="U519" s="326"/>
      <c r="V519" s="279">
        <f>M519-Z519-AB519-AD519-AF519-AH519-AJ519-AL519-AN519-AP519-AR519-AT519-AV519-AX519-AZ519-BB519-BD519-BF519-BH519-U519</f>
        <v>0</v>
      </c>
      <c r="W519" s="280" t="s">
        <v>2582</v>
      </c>
      <c r="X519" s="281" t="s">
        <v>2583</v>
      </c>
      <c r="Y519" s="281"/>
      <c r="Z519" s="278"/>
      <c r="AA519" s="320"/>
      <c r="AB519" s="278"/>
      <c r="AC519" s="320"/>
      <c r="AD519" s="278"/>
      <c r="AE519" s="320"/>
      <c r="AF519" s="281"/>
      <c r="AG519" s="281"/>
      <c r="AH519" s="281"/>
      <c r="AI519" s="281"/>
      <c r="AJ519" s="281"/>
      <c r="AK519" s="281"/>
      <c r="AL519" s="281"/>
      <c r="AM519" s="281"/>
      <c r="AN519" s="281"/>
      <c r="AO519" s="281"/>
      <c r="AP519" s="281"/>
      <c r="AQ519" s="281"/>
      <c r="AR519" s="281"/>
      <c r="AS519" s="281"/>
      <c r="AT519" s="281"/>
      <c r="AU519" s="281"/>
      <c r="AV519" s="281"/>
      <c r="AW519" s="281"/>
      <c r="AX519" s="281"/>
      <c r="AY519" s="281"/>
      <c r="AZ519" s="281"/>
      <c r="BA519" s="281"/>
      <c r="BB519" s="281"/>
      <c r="BC519" s="281"/>
      <c r="BD519" s="281"/>
      <c r="BE519" s="281"/>
      <c r="BG519" s="286"/>
      <c r="BH519" s="286"/>
      <c r="BI519" s="286"/>
      <c r="BJ519" s="286"/>
      <c r="BK519" s="286"/>
      <c r="BL519" s="286"/>
      <c r="BM519" s="286"/>
      <c r="BN519" s="286"/>
      <c r="BO519" s="286"/>
    </row>
    <row r="520" spans="1:67" s="28" customFormat="1" ht="20.25" customHeight="1">
      <c r="A520" s="11">
        <v>45909</v>
      </c>
      <c r="B520" s="16" t="s">
        <v>2584</v>
      </c>
      <c r="C520" s="16" t="s">
        <v>304</v>
      </c>
      <c r="D520" s="16" t="s">
        <v>212</v>
      </c>
      <c r="E520" s="19" t="s">
        <v>34</v>
      </c>
      <c r="F520" s="16" t="s">
        <v>2587</v>
      </c>
      <c r="G520" s="16" t="s">
        <v>71</v>
      </c>
      <c r="H520" s="16" t="s">
        <v>31</v>
      </c>
      <c r="I520" s="16" t="s">
        <v>63</v>
      </c>
      <c r="J520" s="16" t="s">
        <v>27</v>
      </c>
      <c r="K520" s="16" t="s">
        <v>1573</v>
      </c>
      <c r="L520" s="16" t="s">
        <v>35</v>
      </c>
      <c r="M520" s="17">
        <v>25</v>
      </c>
      <c r="N520" s="23">
        <v>1.29</v>
      </c>
      <c r="O520" s="16" t="s">
        <v>67</v>
      </c>
      <c r="P520" s="16" t="s">
        <v>63</v>
      </c>
      <c r="Q520" s="16" t="s">
        <v>29</v>
      </c>
      <c r="R520" s="16" t="s">
        <v>1574</v>
      </c>
      <c r="S520" s="12" t="s">
        <v>2097</v>
      </c>
      <c r="T520" s="13">
        <v>45929</v>
      </c>
      <c r="U520" s="19"/>
      <c r="V520" s="53">
        <f>M520-Z520-AB520-AD520-AF520-AH520-AJ520-AL520-AN520-AP520-AR520-AT520-AV520-AX520-AZ520-BB520-BD520-BF520-BH520-U520</f>
        <v>-2.3000000000000007</v>
      </c>
      <c r="W520" s="22" t="s">
        <v>2591</v>
      </c>
      <c r="X520" s="88" t="s">
        <v>2596</v>
      </c>
      <c r="Y520" s="88"/>
      <c r="Z520" s="19">
        <v>27.3</v>
      </c>
      <c r="AA520" s="227">
        <v>45922</v>
      </c>
      <c r="AB520" s="19"/>
      <c r="AC520" s="227"/>
      <c r="AD520" s="19"/>
      <c r="AE520" s="227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G520" s="29"/>
      <c r="BH520" s="29"/>
      <c r="BI520" s="29"/>
      <c r="BJ520" s="29"/>
      <c r="BK520" s="29"/>
      <c r="BL520" s="29"/>
      <c r="BM520" s="29"/>
      <c r="BN520" s="29"/>
      <c r="BO520" s="29"/>
    </row>
    <row r="521" spans="1:67" s="28" customFormat="1" ht="20.25" customHeight="1">
      <c r="A521" s="11">
        <v>45909</v>
      </c>
      <c r="B521" s="16" t="s">
        <v>2584</v>
      </c>
      <c r="C521" s="16" t="s">
        <v>304</v>
      </c>
      <c r="D521" s="16" t="s">
        <v>212</v>
      </c>
      <c r="E521" s="19" t="s">
        <v>34</v>
      </c>
      <c r="F521" s="16" t="s">
        <v>2587</v>
      </c>
      <c r="G521" s="16" t="s">
        <v>71</v>
      </c>
      <c r="H521" s="16" t="s">
        <v>31</v>
      </c>
      <c r="I521" s="16" t="s">
        <v>63</v>
      </c>
      <c r="J521" s="16" t="s">
        <v>27</v>
      </c>
      <c r="K521" s="16" t="s">
        <v>214</v>
      </c>
      <c r="L521" s="16" t="s">
        <v>35</v>
      </c>
      <c r="M521" s="17">
        <v>75</v>
      </c>
      <c r="N521" s="23">
        <v>1.29</v>
      </c>
      <c r="O521" s="16" t="s">
        <v>67</v>
      </c>
      <c r="P521" s="16" t="s">
        <v>63</v>
      </c>
      <c r="Q521" s="16" t="s">
        <v>29</v>
      </c>
      <c r="R521" s="16" t="s">
        <v>1576</v>
      </c>
      <c r="S521" s="12" t="s">
        <v>2097</v>
      </c>
      <c r="T521" s="13">
        <v>45929</v>
      </c>
      <c r="U521" s="19"/>
      <c r="V521" s="53">
        <f>M521-Z521-AB521-AD521-AF521-AH521-AJ521-AL521-AN521-AP521-AR521-AT521-AV521-AX521-AZ521-BB521-BD521-BF521-BH521-U521</f>
        <v>-0.79999999999999716</v>
      </c>
      <c r="W521" s="22" t="s">
        <v>2592</v>
      </c>
      <c r="X521" s="88" t="s">
        <v>594</v>
      </c>
      <c r="Y521" s="88"/>
      <c r="Z521" s="19">
        <v>75.8</v>
      </c>
      <c r="AA521" s="227">
        <v>45922</v>
      </c>
      <c r="AB521" s="19"/>
      <c r="AC521" s="227"/>
      <c r="AD521" s="19"/>
      <c r="AE521" s="227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G521" s="29"/>
      <c r="BH521" s="29"/>
      <c r="BI521" s="29"/>
      <c r="BJ521" s="29"/>
      <c r="BK521" s="29"/>
      <c r="BL521" s="29"/>
      <c r="BM521" s="29"/>
      <c r="BN521" s="29"/>
      <c r="BO521" s="29"/>
    </row>
    <row r="522" spans="1:67" s="28" customFormat="1" ht="20.25" customHeight="1">
      <c r="A522" s="11">
        <v>45909</v>
      </c>
      <c r="B522" s="16" t="s">
        <v>2584</v>
      </c>
      <c r="C522" s="16" t="s">
        <v>304</v>
      </c>
      <c r="D522" s="16" t="s">
        <v>212</v>
      </c>
      <c r="E522" s="19" t="s">
        <v>34</v>
      </c>
      <c r="F522" s="16" t="s">
        <v>2587</v>
      </c>
      <c r="G522" s="16" t="s">
        <v>71</v>
      </c>
      <c r="H522" s="16" t="s">
        <v>31</v>
      </c>
      <c r="I522" s="16" t="s">
        <v>63</v>
      </c>
      <c r="J522" s="16" t="s">
        <v>27</v>
      </c>
      <c r="K522" s="16" t="s">
        <v>1647</v>
      </c>
      <c r="L522" s="16" t="s">
        <v>35</v>
      </c>
      <c r="M522" s="17">
        <v>50</v>
      </c>
      <c r="N522" s="23">
        <v>1.29</v>
      </c>
      <c r="O522" s="16" t="s">
        <v>67</v>
      </c>
      <c r="P522" s="16" t="s">
        <v>63</v>
      </c>
      <c r="Q522" s="16" t="s">
        <v>29</v>
      </c>
      <c r="R522" s="16" t="s">
        <v>2590</v>
      </c>
      <c r="S522" s="12" t="s">
        <v>2097</v>
      </c>
      <c r="T522" s="13">
        <v>45929</v>
      </c>
      <c r="U522" s="19"/>
      <c r="V522" s="53">
        <f>M522-Z522-AB522-AD522-AF522-AH522-AJ522-AL522-AN522-AP522-AR522-AT522-AV522-AX522-AZ522-BB522-BD522-BF522-BH522-U522</f>
        <v>-2.2999999999999989</v>
      </c>
      <c r="W522" s="22" t="s">
        <v>2593</v>
      </c>
      <c r="X522" s="88" t="s">
        <v>1625</v>
      </c>
      <c r="Y522" s="88"/>
      <c r="Z522" s="19">
        <v>40.4</v>
      </c>
      <c r="AA522" s="227">
        <v>45922</v>
      </c>
      <c r="AB522" s="19">
        <v>11.9</v>
      </c>
      <c r="AC522" s="227">
        <v>45924</v>
      </c>
      <c r="AD522" s="19"/>
      <c r="AE522" s="227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G522" s="29"/>
      <c r="BH522" s="29"/>
      <c r="BI522" s="29"/>
      <c r="BJ522" s="29"/>
      <c r="BK522" s="29"/>
      <c r="BL522" s="29"/>
      <c r="BM522" s="29"/>
      <c r="BN522" s="29"/>
      <c r="BO522" s="29"/>
    </row>
    <row r="523" spans="1:67" s="28" customFormat="1" ht="20.25" customHeight="1">
      <c r="A523" s="11">
        <v>45909</v>
      </c>
      <c r="B523" s="16" t="s">
        <v>2585</v>
      </c>
      <c r="C523" s="16" t="s">
        <v>304</v>
      </c>
      <c r="D523" s="16" t="s">
        <v>212</v>
      </c>
      <c r="E523" s="19" t="s">
        <v>34</v>
      </c>
      <c r="F523" s="16" t="s">
        <v>2588</v>
      </c>
      <c r="G523" s="16" t="s">
        <v>71</v>
      </c>
      <c r="H523" s="16" t="s">
        <v>31</v>
      </c>
      <c r="I523" s="16" t="s">
        <v>63</v>
      </c>
      <c r="J523" s="16" t="s">
        <v>27</v>
      </c>
      <c r="K523" s="16" t="s">
        <v>1573</v>
      </c>
      <c r="L523" s="16" t="s">
        <v>35</v>
      </c>
      <c r="M523" s="17">
        <v>75</v>
      </c>
      <c r="N523" s="23">
        <v>1.29</v>
      </c>
      <c r="O523" s="16" t="s">
        <v>67</v>
      </c>
      <c r="P523" s="16" t="s">
        <v>63</v>
      </c>
      <c r="Q523" s="16" t="s">
        <v>29</v>
      </c>
      <c r="R523" s="16" t="s">
        <v>29</v>
      </c>
      <c r="S523" s="12" t="s">
        <v>2097</v>
      </c>
      <c r="T523" s="13">
        <v>45929</v>
      </c>
      <c r="U523" s="19"/>
      <c r="V523" s="53">
        <f>M523-Z523-AB523-AD523-AF523-AH523-AJ523-AL523-AN523-AP523-AR523-AT523-AV523-AX523-AZ523-BB523-BD523-BF523-BH523-U523</f>
        <v>-1.9000000000000057</v>
      </c>
      <c r="W523" s="22" t="s">
        <v>2594</v>
      </c>
      <c r="X523" s="88" t="s">
        <v>1806</v>
      </c>
      <c r="Y523" s="88"/>
      <c r="Z523" s="19">
        <v>76.900000000000006</v>
      </c>
      <c r="AA523" s="227">
        <v>45922</v>
      </c>
      <c r="AB523" s="19"/>
      <c r="AC523" s="227"/>
      <c r="AD523" s="19"/>
      <c r="AE523" s="227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G523" s="29"/>
      <c r="BH523" s="29"/>
      <c r="BI523" s="29"/>
      <c r="BJ523" s="29"/>
      <c r="BK523" s="29"/>
      <c r="BL523" s="29"/>
      <c r="BM523" s="29"/>
      <c r="BN523" s="29"/>
      <c r="BO523" s="29"/>
    </row>
    <row r="524" spans="1:67" s="28" customFormat="1" ht="20.25" customHeight="1">
      <c r="A524" s="11">
        <v>45909</v>
      </c>
      <c r="B524" s="16" t="s">
        <v>2586</v>
      </c>
      <c r="C524" s="16" t="s">
        <v>382</v>
      </c>
      <c r="D524" s="16" t="s">
        <v>212</v>
      </c>
      <c r="E524" s="19" t="s">
        <v>34</v>
      </c>
      <c r="F524" s="16" t="s">
        <v>2589</v>
      </c>
      <c r="G524" s="16" t="s">
        <v>1714</v>
      </c>
      <c r="H524" s="16" t="s">
        <v>31</v>
      </c>
      <c r="I524" s="1" t="s">
        <v>63</v>
      </c>
      <c r="J524" s="1" t="s">
        <v>27</v>
      </c>
      <c r="K524" s="16" t="s">
        <v>2462</v>
      </c>
      <c r="L524" s="1" t="s">
        <v>35</v>
      </c>
      <c r="M524" s="17">
        <v>19</v>
      </c>
      <c r="N524" s="23">
        <v>1.3</v>
      </c>
      <c r="O524" s="16" t="s">
        <v>67</v>
      </c>
      <c r="P524" s="16" t="s">
        <v>63</v>
      </c>
      <c r="Q524" s="16" t="s">
        <v>29</v>
      </c>
      <c r="R524" s="16" t="s">
        <v>29</v>
      </c>
      <c r="S524" s="12" t="s">
        <v>2400</v>
      </c>
      <c r="T524" s="13">
        <v>45929</v>
      </c>
      <c r="U524" s="19"/>
      <c r="V524" s="53">
        <f>M524-Z524-AB524-AD524-AF524-AH524-AJ524-AL524-AN524-AP524-AR524-AT524-AV524-AX524-AZ524-BB524-BD524-BF524-BH524-U524</f>
        <v>-2.5</v>
      </c>
      <c r="W524" s="22" t="s">
        <v>2595</v>
      </c>
      <c r="X524" s="88" t="s">
        <v>29</v>
      </c>
      <c r="Y524" s="88"/>
      <c r="Z524" s="19">
        <v>21.5</v>
      </c>
      <c r="AA524" s="227">
        <v>45925</v>
      </c>
      <c r="AB524" s="19"/>
      <c r="AC524" s="227"/>
      <c r="AD524" s="19"/>
      <c r="AE524" s="227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G524" s="29"/>
      <c r="BH524" s="29"/>
      <c r="BI524" s="29"/>
      <c r="BJ524" s="29"/>
      <c r="BK524" s="29"/>
      <c r="BL524" s="29"/>
      <c r="BM524" s="29"/>
      <c r="BN524" s="29"/>
      <c r="BO524" s="29"/>
    </row>
    <row r="525" spans="1:67" s="28" customFormat="1" ht="20.25" customHeight="1">
      <c r="A525" s="11">
        <v>45910</v>
      </c>
      <c r="B525" s="16" t="s">
        <v>2607</v>
      </c>
      <c r="C525" s="16" t="s">
        <v>228</v>
      </c>
      <c r="D525" s="16" t="s">
        <v>212</v>
      </c>
      <c r="E525" s="16" t="s">
        <v>25</v>
      </c>
      <c r="F525" s="16" t="s">
        <v>2609</v>
      </c>
      <c r="G525" s="16" t="s">
        <v>71</v>
      </c>
      <c r="H525" s="16" t="s">
        <v>31</v>
      </c>
      <c r="I525" s="16" t="s">
        <v>63</v>
      </c>
      <c r="J525" s="16" t="s">
        <v>27</v>
      </c>
      <c r="K525" s="16" t="s">
        <v>230</v>
      </c>
      <c r="L525" s="16" t="s">
        <v>35</v>
      </c>
      <c r="M525" s="17">
        <v>120</v>
      </c>
      <c r="N525" s="23">
        <v>1.31</v>
      </c>
      <c r="O525" s="16" t="s">
        <v>67</v>
      </c>
      <c r="P525" s="16" t="s">
        <v>63</v>
      </c>
      <c r="Q525" s="16" t="s">
        <v>29</v>
      </c>
      <c r="R525" s="16" t="s">
        <v>481</v>
      </c>
      <c r="S525" s="12" t="s">
        <v>2611</v>
      </c>
      <c r="T525" s="13">
        <v>45931</v>
      </c>
      <c r="U525" s="19"/>
      <c r="V525" s="53">
        <f>M525-Z525-AB525-AD525-AF525-AH525-AJ525-AL525-AN525-AP525-AR525-AT525-AV525-AX525-AZ525-BB525-BD525-BF525-BH525-U525</f>
        <v>-1.2000000000000028</v>
      </c>
      <c r="W525" s="22" t="s">
        <v>2612</v>
      </c>
      <c r="X525" s="16" t="s">
        <v>29</v>
      </c>
      <c r="Y525" s="9"/>
      <c r="Z525" s="19">
        <v>121.2</v>
      </c>
      <c r="AA525" s="252">
        <v>45931</v>
      </c>
    </row>
    <row r="526" spans="1:67" s="28" customFormat="1" ht="20.25" customHeight="1">
      <c r="A526" s="11">
        <v>45910</v>
      </c>
      <c r="B526" s="16" t="s">
        <v>2608</v>
      </c>
      <c r="C526" s="16" t="s">
        <v>228</v>
      </c>
      <c r="D526" s="16" t="s">
        <v>212</v>
      </c>
      <c r="E526" s="16" t="s">
        <v>25</v>
      </c>
      <c r="F526" s="16" t="s">
        <v>2610</v>
      </c>
      <c r="G526" s="16" t="s">
        <v>71</v>
      </c>
      <c r="H526" s="16" t="s">
        <v>31</v>
      </c>
      <c r="I526" s="16" t="s">
        <v>63</v>
      </c>
      <c r="J526" s="16" t="s">
        <v>27</v>
      </c>
      <c r="K526" s="16" t="s">
        <v>230</v>
      </c>
      <c r="L526" s="16" t="s">
        <v>35</v>
      </c>
      <c r="M526" s="17">
        <v>376.67</v>
      </c>
      <c r="N526" s="23">
        <v>1.31</v>
      </c>
      <c r="O526" s="16" t="s">
        <v>67</v>
      </c>
      <c r="P526" s="16" t="s">
        <v>63</v>
      </c>
      <c r="Q526" s="16" t="s">
        <v>1965</v>
      </c>
      <c r="R526" s="16" t="s">
        <v>1966</v>
      </c>
      <c r="S526" s="12" t="s">
        <v>2611</v>
      </c>
      <c r="T526" s="13">
        <v>45931</v>
      </c>
      <c r="U526" s="19"/>
      <c r="V526" s="53">
        <f>M526-Z526-AB526-AD526-AF526-AH526-AJ526-AL526-AN526-AP526-AR526-AT526-AV526-AX526-AZ526-BB526-BD526-BF526-BH526-U526</f>
        <v>-0.22999999999996135</v>
      </c>
      <c r="W526" s="22" t="s">
        <v>2613</v>
      </c>
      <c r="X526" s="16" t="s">
        <v>29</v>
      </c>
      <c r="Y526" s="9"/>
      <c r="Z526" s="19">
        <v>376.9</v>
      </c>
      <c r="AA526" s="252">
        <v>45931</v>
      </c>
    </row>
    <row r="527" spans="1:67" s="28" customFormat="1" ht="20.25" customHeight="1">
      <c r="A527" s="11">
        <v>45911</v>
      </c>
      <c r="B527" s="16" t="s">
        <v>2626</v>
      </c>
      <c r="C527" s="16" t="s">
        <v>267</v>
      </c>
      <c r="D527" s="16" t="s">
        <v>212</v>
      </c>
      <c r="E527" s="16" t="s">
        <v>25</v>
      </c>
      <c r="F527" s="16" t="s">
        <v>2629</v>
      </c>
      <c r="G527" s="16" t="s">
        <v>71</v>
      </c>
      <c r="H527" s="16" t="s">
        <v>31</v>
      </c>
      <c r="I527" s="16" t="s">
        <v>63</v>
      </c>
      <c r="J527" s="16" t="s">
        <v>27</v>
      </c>
      <c r="K527" s="16" t="s">
        <v>2230</v>
      </c>
      <c r="L527" s="16" t="s">
        <v>35</v>
      </c>
      <c r="M527" s="17">
        <v>550</v>
      </c>
      <c r="N527" s="23">
        <v>1.29</v>
      </c>
      <c r="O527" s="16" t="s">
        <v>67</v>
      </c>
      <c r="P527" s="16" t="s">
        <v>63</v>
      </c>
      <c r="Q527" s="16" t="s">
        <v>29</v>
      </c>
      <c r="R527" s="16" t="s">
        <v>29</v>
      </c>
      <c r="S527" s="12" t="s">
        <v>2633</v>
      </c>
      <c r="T527" s="13">
        <v>45932</v>
      </c>
      <c r="U527" s="19"/>
      <c r="V527" s="53">
        <f>M527-Z527-AB527-AD527-AF527-AH527-AJ527-AL527-AN527-AP527-AR527-AT527-AV527-AX527-AZ527-BB527-BD527-BF527-BH527-U527</f>
        <v>-1.3999999999999773</v>
      </c>
      <c r="W527" s="22" t="s">
        <v>2634</v>
      </c>
      <c r="X527" s="16" t="s">
        <v>29</v>
      </c>
      <c r="Y527" s="9"/>
      <c r="Z527" s="19">
        <f>47.2+504.2</f>
        <v>551.4</v>
      </c>
      <c r="AA527" s="252">
        <v>45932</v>
      </c>
    </row>
    <row r="528" spans="1:67" s="28" customFormat="1" ht="20.25" customHeight="1">
      <c r="A528" s="11">
        <v>45911</v>
      </c>
      <c r="B528" s="16" t="s">
        <v>2627</v>
      </c>
      <c r="C528" s="16" t="s">
        <v>304</v>
      </c>
      <c r="D528" s="16" t="s">
        <v>212</v>
      </c>
      <c r="E528" s="16" t="s">
        <v>25</v>
      </c>
      <c r="F528" s="16" t="s">
        <v>2630</v>
      </c>
      <c r="G528" s="16" t="s">
        <v>71</v>
      </c>
      <c r="H528" s="16" t="s">
        <v>31</v>
      </c>
      <c r="I528" s="16" t="s">
        <v>63</v>
      </c>
      <c r="J528" s="16" t="s">
        <v>27</v>
      </c>
      <c r="K528" s="16" t="s">
        <v>2632</v>
      </c>
      <c r="L528" s="16" t="s">
        <v>35</v>
      </c>
      <c r="M528" s="17">
        <v>1920</v>
      </c>
      <c r="N528" s="23">
        <v>1.29</v>
      </c>
      <c r="O528" s="16" t="s">
        <v>67</v>
      </c>
      <c r="P528" s="16" t="s">
        <v>63</v>
      </c>
      <c r="Q528" s="16" t="s">
        <v>29</v>
      </c>
      <c r="R528" s="16" t="s">
        <v>29</v>
      </c>
      <c r="S528" s="12" t="s">
        <v>2633</v>
      </c>
      <c r="T528" s="13">
        <v>45932</v>
      </c>
      <c r="U528" s="19"/>
      <c r="V528" s="53">
        <f>M528-Z528-AB528-AD528-AF528-AH528-AJ528-AL528-AN528-AP528-AR528-AT528-AV528-AX528-AZ528-BB528-BD528-BF528-BH528-U528</f>
        <v>-0.59999999999990905</v>
      </c>
      <c r="W528" s="22" t="s">
        <v>2635</v>
      </c>
      <c r="X528" s="16" t="s">
        <v>29</v>
      </c>
      <c r="Y528" s="9"/>
      <c r="Z528" s="19">
        <v>1920.6</v>
      </c>
      <c r="AA528" s="252">
        <v>45922</v>
      </c>
    </row>
    <row r="529" spans="1:67" s="28" customFormat="1" ht="20.25" customHeight="1">
      <c r="A529" s="11">
        <v>45911</v>
      </c>
      <c r="B529" s="16" t="s">
        <v>2628</v>
      </c>
      <c r="C529" s="16" t="s">
        <v>304</v>
      </c>
      <c r="D529" s="16" t="s">
        <v>212</v>
      </c>
      <c r="E529" s="16" t="s">
        <v>25</v>
      </c>
      <c r="F529" s="16" t="s">
        <v>2631</v>
      </c>
      <c r="G529" s="16" t="s">
        <v>71</v>
      </c>
      <c r="H529" s="16" t="s">
        <v>26</v>
      </c>
      <c r="I529" s="16" t="s">
        <v>63</v>
      </c>
      <c r="J529" s="16" t="s">
        <v>27</v>
      </c>
      <c r="K529" s="16" t="s">
        <v>645</v>
      </c>
      <c r="L529" s="16" t="s">
        <v>35</v>
      </c>
      <c r="M529" s="17">
        <v>3945</v>
      </c>
      <c r="N529" s="23">
        <v>1.29</v>
      </c>
      <c r="O529" s="16" t="s">
        <v>67</v>
      </c>
      <c r="P529" s="16" t="s">
        <v>63</v>
      </c>
      <c r="Q529" s="16" t="s">
        <v>29</v>
      </c>
      <c r="R529" s="16" t="s">
        <v>29</v>
      </c>
      <c r="S529" s="12" t="s">
        <v>2633</v>
      </c>
      <c r="T529" s="13">
        <v>45932</v>
      </c>
      <c r="U529" s="19"/>
      <c r="V529" s="53">
        <f>M529-Z529-AB529-AD529-AF529-AH529-AJ529-AL529-AN529-AP529-AR529-AT529-AV529-AX529-AZ529-BB529-BD529-BF529-BH529-U529</f>
        <v>-7</v>
      </c>
      <c r="W529" s="22" t="s">
        <v>2636</v>
      </c>
      <c r="X529" s="16" t="s">
        <v>342</v>
      </c>
      <c r="Y529" s="9"/>
      <c r="Z529" s="19">
        <f>1554.4+684.5</f>
        <v>2238.9</v>
      </c>
      <c r="AA529" s="252">
        <v>45924</v>
      </c>
      <c r="AB529" s="19">
        <f>923+79.3+710.8</f>
        <v>1713.1</v>
      </c>
      <c r="AC529" s="252">
        <v>45932</v>
      </c>
    </row>
    <row r="530" spans="1:67" s="28" customFormat="1" ht="20.25" customHeight="1">
      <c r="A530" s="11">
        <v>45911</v>
      </c>
      <c r="B530" s="16" t="s">
        <v>2628</v>
      </c>
      <c r="C530" s="16" t="s">
        <v>304</v>
      </c>
      <c r="D530" s="16" t="s">
        <v>212</v>
      </c>
      <c r="E530" s="16" t="s">
        <v>25</v>
      </c>
      <c r="F530" s="16" t="s">
        <v>2631</v>
      </c>
      <c r="G530" s="16" t="s">
        <v>71</v>
      </c>
      <c r="H530" s="16" t="s">
        <v>31</v>
      </c>
      <c r="I530" s="16" t="s">
        <v>63</v>
      </c>
      <c r="J530" s="16" t="s">
        <v>27</v>
      </c>
      <c r="K530" s="16" t="s">
        <v>2632</v>
      </c>
      <c r="L530" s="16" t="s">
        <v>35</v>
      </c>
      <c r="M530" s="17">
        <v>2260</v>
      </c>
      <c r="N530" s="23">
        <v>1.29</v>
      </c>
      <c r="O530" s="16" t="s">
        <v>67</v>
      </c>
      <c r="P530" s="16" t="s">
        <v>63</v>
      </c>
      <c r="Q530" s="16" t="s">
        <v>29</v>
      </c>
      <c r="R530" s="16" t="s">
        <v>29</v>
      </c>
      <c r="S530" s="12" t="s">
        <v>2633</v>
      </c>
      <c r="T530" s="13">
        <v>45932</v>
      </c>
      <c r="U530" s="19"/>
      <c r="V530" s="53">
        <f>M530-Z530-AB530-AD530-AF530-AH530-AJ530-AL530-AN530-AP530-AR530-AT530-AV530-AX530-AZ530-BB530-BD530-BF530-BH530-U530</f>
        <v>-3</v>
      </c>
      <c r="W530" s="22" t="s">
        <v>2637</v>
      </c>
      <c r="X530" s="16" t="s">
        <v>1806</v>
      </c>
      <c r="Y530" s="9"/>
      <c r="Z530" s="19">
        <f>178.3+740.8</f>
        <v>919.09999999999991</v>
      </c>
      <c r="AA530" s="252">
        <v>45922</v>
      </c>
      <c r="AB530" s="19">
        <v>426.2</v>
      </c>
      <c r="AC530" s="252">
        <v>45932</v>
      </c>
      <c r="AD530" s="19">
        <v>917.7</v>
      </c>
      <c r="AE530" s="252">
        <v>45936</v>
      </c>
    </row>
    <row r="531" spans="1:67" s="28" customFormat="1" ht="20.25" customHeight="1">
      <c r="A531" s="11">
        <v>45911</v>
      </c>
      <c r="B531" s="16" t="s">
        <v>2670</v>
      </c>
      <c r="C531" s="16" t="s">
        <v>2624</v>
      </c>
      <c r="D531" s="16" t="s">
        <v>212</v>
      </c>
      <c r="E531" s="19" t="s">
        <v>25</v>
      </c>
      <c r="F531" s="16" t="s">
        <v>2331</v>
      </c>
      <c r="G531" s="16" t="s">
        <v>71</v>
      </c>
      <c r="H531" s="16" t="s">
        <v>31</v>
      </c>
      <c r="I531" s="16"/>
      <c r="J531" s="16" t="s">
        <v>27</v>
      </c>
      <c r="K531" s="16" t="s">
        <v>214</v>
      </c>
      <c r="L531" s="16" t="s">
        <v>75</v>
      </c>
      <c r="M531" s="17">
        <v>274.7</v>
      </c>
      <c r="N531" s="23">
        <v>1.31</v>
      </c>
      <c r="O531" s="16" t="s">
        <v>1063</v>
      </c>
      <c r="P531" s="16" t="s">
        <v>63</v>
      </c>
      <c r="Q531" s="16" t="s">
        <v>920</v>
      </c>
      <c r="R531" s="16" t="s">
        <v>2000</v>
      </c>
      <c r="S531" s="12" t="s">
        <v>2234</v>
      </c>
      <c r="T531" s="13">
        <v>45910</v>
      </c>
      <c r="U531" s="19"/>
      <c r="V531" s="53">
        <f>M531-Z531-AB531-AD531-AF531-AH531-AJ531-AL531-AN531-AP531-AR531-AT531-AV531-AX531-AZ531-BB531-BD531-BF531-BH531-U531</f>
        <v>-0.90000000000003411</v>
      </c>
      <c r="W531" s="22" t="s">
        <v>2625</v>
      </c>
      <c r="X531" s="88" t="s">
        <v>2389</v>
      </c>
      <c r="Y531" s="88"/>
      <c r="Z531" s="19">
        <v>275.60000000000002</v>
      </c>
      <c r="AA531" s="252">
        <v>45916</v>
      </c>
      <c r="AB531" s="104"/>
      <c r="AC531" s="252"/>
      <c r="AD531" s="104"/>
      <c r="AE531" s="252"/>
      <c r="BG531" s="29"/>
      <c r="BH531" s="29"/>
      <c r="BI531" s="29"/>
      <c r="BJ531" s="29"/>
      <c r="BK531" s="29"/>
      <c r="BL531" s="29"/>
      <c r="BM531" s="29"/>
      <c r="BN531" s="29"/>
      <c r="BO531" s="29"/>
    </row>
    <row r="532" spans="1:67" s="28" customFormat="1" ht="20.25" customHeight="1">
      <c r="A532" s="11">
        <v>45912</v>
      </c>
      <c r="B532" s="16" t="s">
        <v>2638</v>
      </c>
      <c r="C532" s="16" t="s">
        <v>243</v>
      </c>
      <c r="D532" s="16" t="s">
        <v>212</v>
      </c>
      <c r="E532" s="16" t="s">
        <v>25</v>
      </c>
      <c r="F532" s="16" t="s">
        <v>2640</v>
      </c>
      <c r="G532" s="16" t="s">
        <v>71</v>
      </c>
      <c r="H532" s="16" t="s">
        <v>31</v>
      </c>
      <c r="I532" s="16" t="s">
        <v>63</v>
      </c>
      <c r="J532" s="16" t="s">
        <v>27</v>
      </c>
      <c r="K532" s="16" t="s">
        <v>292</v>
      </c>
      <c r="L532" s="16" t="s">
        <v>35</v>
      </c>
      <c r="M532" s="17">
        <v>45.8</v>
      </c>
      <c r="N532" s="23">
        <v>1.29</v>
      </c>
      <c r="O532" s="16" t="s">
        <v>67</v>
      </c>
      <c r="P532" s="16" t="s">
        <v>63</v>
      </c>
      <c r="Q532" s="16" t="s">
        <v>1286</v>
      </c>
      <c r="R532" s="16" t="s">
        <v>2356</v>
      </c>
      <c r="S532" s="12" t="s">
        <v>2642</v>
      </c>
      <c r="T532" s="13">
        <v>45933</v>
      </c>
      <c r="U532" s="19"/>
      <c r="V532" s="53">
        <f>M532-Z532-AB532-AD532-AF532-AH532-AJ532-AL532-AN532-AP532-AR532-AT532-AV532-AX532-AZ532-BB532-BD532-BF532-BH532-U532</f>
        <v>-1.8000000000000043</v>
      </c>
      <c r="W532" s="22" t="s">
        <v>2643</v>
      </c>
      <c r="X532" s="16" t="s">
        <v>29</v>
      </c>
      <c r="Y532" s="9"/>
      <c r="Z532" s="19">
        <v>47.6</v>
      </c>
      <c r="AA532" s="252">
        <v>45932</v>
      </c>
    </row>
    <row r="533" spans="1:67" s="282" customFormat="1" ht="20.25" customHeight="1">
      <c r="A533" s="11">
        <v>45912</v>
      </c>
      <c r="B533" s="16" t="s">
        <v>2639</v>
      </c>
      <c r="C533" s="16" t="s">
        <v>243</v>
      </c>
      <c r="D533" s="16" t="s">
        <v>212</v>
      </c>
      <c r="E533" s="16" t="s">
        <v>25</v>
      </c>
      <c r="F533" s="16" t="s">
        <v>2641</v>
      </c>
      <c r="G533" s="16" t="s">
        <v>71</v>
      </c>
      <c r="H533" s="16" t="s">
        <v>31</v>
      </c>
      <c r="I533" s="16" t="s">
        <v>63</v>
      </c>
      <c r="J533" s="16" t="s">
        <v>27</v>
      </c>
      <c r="K533" s="16" t="s">
        <v>2123</v>
      </c>
      <c r="L533" s="16" t="s">
        <v>35</v>
      </c>
      <c r="M533" s="17">
        <v>132.6</v>
      </c>
      <c r="N533" s="23">
        <v>1.29</v>
      </c>
      <c r="O533" s="16" t="s">
        <v>67</v>
      </c>
      <c r="P533" s="16" t="s">
        <v>63</v>
      </c>
      <c r="Q533" s="16" t="s">
        <v>1286</v>
      </c>
      <c r="R533" s="16" t="s">
        <v>2356</v>
      </c>
      <c r="S533" s="12" t="s">
        <v>2642</v>
      </c>
      <c r="T533" s="13">
        <v>45933</v>
      </c>
      <c r="U533" s="19"/>
      <c r="V533" s="53">
        <f>M533-Z533-AB533-AD533-AF533-AH533-AJ533-AL533-AN533-AP533-AR533-AT533-AV533-AX533-AZ533-BB533-BD533-BF533-BH533-U533</f>
        <v>-1.0999999999999943</v>
      </c>
      <c r="W533" s="22" t="s">
        <v>2644</v>
      </c>
      <c r="X533" s="16" t="s">
        <v>29</v>
      </c>
      <c r="Y533" s="9"/>
      <c r="Z533" s="19">
        <v>133.69999999999999</v>
      </c>
      <c r="AA533" s="252">
        <v>45932</v>
      </c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</row>
    <row r="534" spans="1:67" s="101" customFormat="1" ht="20.25" customHeight="1">
      <c r="A534" s="11">
        <v>45915</v>
      </c>
      <c r="B534" s="16" t="s">
        <v>2645</v>
      </c>
      <c r="C534" s="16" t="s">
        <v>382</v>
      </c>
      <c r="D534" s="16" t="s">
        <v>212</v>
      </c>
      <c r="E534" s="16" t="s">
        <v>25</v>
      </c>
      <c r="F534" s="16" t="s">
        <v>2649</v>
      </c>
      <c r="G534" s="16" t="s">
        <v>1714</v>
      </c>
      <c r="H534" s="16" t="s">
        <v>31</v>
      </c>
      <c r="I534" s="1" t="s">
        <v>63</v>
      </c>
      <c r="J534" s="1" t="s">
        <v>27</v>
      </c>
      <c r="K534" s="16" t="s">
        <v>2653</v>
      </c>
      <c r="L534" s="1" t="s">
        <v>35</v>
      </c>
      <c r="M534" s="17">
        <v>296.61</v>
      </c>
      <c r="N534" s="23">
        <v>1.31</v>
      </c>
      <c r="O534" s="16" t="s">
        <v>67</v>
      </c>
      <c r="P534" s="16" t="s">
        <v>63</v>
      </c>
      <c r="Q534" s="16" t="s">
        <v>2654</v>
      </c>
      <c r="R534" s="16" t="s">
        <v>2655</v>
      </c>
      <c r="S534" s="12" t="s">
        <v>2401</v>
      </c>
      <c r="T534" s="13">
        <v>45919</v>
      </c>
      <c r="U534" s="19"/>
      <c r="V534" s="53">
        <f>M534-Z534-AB534-AD534-AF534-AH534-AJ534-AL534-AN534-AP534-AR534-AT534-AV534-AX534-AZ534-BB534-BD534-BF534-BH534-U534</f>
        <v>-1.9900000000000091</v>
      </c>
      <c r="W534" s="22" t="s">
        <v>2658</v>
      </c>
      <c r="X534" s="16" t="s">
        <v>29</v>
      </c>
      <c r="Y534" s="9"/>
      <c r="Z534" s="19">
        <v>298.60000000000002</v>
      </c>
      <c r="AA534" s="252">
        <v>45925</v>
      </c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</row>
    <row r="535" spans="1:67" s="28" customFormat="1" ht="20.25" customHeight="1">
      <c r="A535" s="11">
        <v>45915</v>
      </c>
      <c r="B535" s="16" t="s">
        <v>2646</v>
      </c>
      <c r="C535" s="16" t="s">
        <v>304</v>
      </c>
      <c r="D535" s="16" t="s">
        <v>212</v>
      </c>
      <c r="E535" s="16" t="s">
        <v>25</v>
      </c>
      <c r="F535" s="16" t="s">
        <v>2650</v>
      </c>
      <c r="G535" s="16" t="s">
        <v>71</v>
      </c>
      <c r="H535" s="16" t="s">
        <v>31</v>
      </c>
      <c r="I535" s="16" t="s">
        <v>63</v>
      </c>
      <c r="J535" s="16" t="s">
        <v>27</v>
      </c>
      <c r="K535" s="16" t="s">
        <v>2632</v>
      </c>
      <c r="L535" s="16" t="s">
        <v>35</v>
      </c>
      <c r="M535" s="17">
        <v>235</v>
      </c>
      <c r="N535" s="23">
        <v>1.29</v>
      </c>
      <c r="O535" s="16" t="s">
        <v>67</v>
      </c>
      <c r="P535" s="16" t="s">
        <v>63</v>
      </c>
      <c r="Q535" s="16" t="s">
        <v>29</v>
      </c>
      <c r="R535" s="16" t="s">
        <v>1580</v>
      </c>
      <c r="S535" s="12" t="s">
        <v>2657</v>
      </c>
      <c r="T535" s="13">
        <v>45936</v>
      </c>
      <c r="U535" s="19"/>
      <c r="V535" s="53">
        <f>M535-Z535-AB535-AD535-AF535-AH535-AJ535-AL535-AN535-AP535-AR535-AT535-AV535-AX535-AZ535-BB535-BD535-BF535-BH535-U535</f>
        <v>-7.1999999999999886</v>
      </c>
      <c r="W535" s="22" t="s">
        <v>2659</v>
      </c>
      <c r="X535" s="16" t="s">
        <v>29</v>
      </c>
      <c r="Y535" s="9"/>
      <c r="Z535" s="19">
        <v>242.2</v>
      </c>
      <c r="AA535" s="252">
        <v>45936</v>
      </c>
    </row>
    <row r="536" spans="1:67" s="28" customFormat="1" ht="20.25" customHeight="1">
      <c r="A536" s="11">
        <v>45915</v>
      </c>
      <c r="B536" s="16" t="s">
        <v>2647</v>
      </c>
      <c r="C536" s="16" t="s">
        <v>243</v>
      </c>
      <c r="D536" s="16" t="s">
        <v>212</v>
      </c>
      <c r="E536" s="16" t="s">
        <v>25</v>
      </c>
      <c r="F536" s="16" t="s">
        <v>2651</v>
      </c>
      <c r="G536" s="16" t="s">
        <v>71</v>
      </c>
      <c r="H536" s="16" t="s">
        <v>31</v>
      </c>
      <c r="I536" s="16" t="s">
        <v>63</v>
      </c>
      <c r="J536" s="16" t="s">
        <v>27</v>
      </c>
      <c r="K536" s="16" t="s">
        <v>332</v>
      </c>
      <c r="L536" s="16" t="s">
        <v>35</v>
      </c>
      <c r="M536" s="17">
        <v>30</v>
      </c>
      <c r="N536" s="23">
        <v>1.31</v>
      </c>
      <c r="O536" s="16" t="s">
        <v>67</v>
      </c>
      <c r="P536" s="16" t="s">
        <v>63</v>
      </c>
      <c r="Q536" s="16" t="s">
        <v>29</v>
      </c>
      <c r="R536" s="16" t="s">
        <v>2656</v>
      </c>
      <c r="S536" s="12" t="s">
        <v>1797</v>
      </c>
      <c r="T536" s="13">
        <v>45929</v>
      </c>
      <c r="U536" s="19"/>
      <c r="V536" s="53">
        <f>M536-Z536-AB536-AD536-AF536-AH536-AJ536-AL536-AN536-AP536-AR536-AT536-AV536-AX536-AZ536-BB536-BD536-BF536-BH536-U536</f>
        <v>-1.8999999999999986</v>
      </c>
      <c r="W536" s="22" t="s">
        <v>2660</v>
      </c>
      <c r="X536" s="16" t="s">
        <v>29</v>
      </c>
      <c r="Y536" s="9"/>
      <c r="Z536" s="19">
        <v>31.9</v>
      </c>
      <c r="AA536" s="252">
        <v>45932</v>
      </c>
    </row>
    <row r="537" spans="1:67" s="28" customFormat="1" ht="20.25" customHeight="1">
      <c r="A537" s="11">
        <v>45915</v>
      </c>
      <c r="B537" s="16" t="s">
        <v>2648</v>
      </c>
      <c r="C537" s="16" t="s">
        <v>243</v>
      </c>
      <c r="D537" s="16" t="s">
        <v>212</v>
      </c>
      <c r="E537" s="16" t="s">
        <v>25</v>
      </c>
      <c r="F537" s="16" t="s">
        <v>2652</v>
      </c>
      <c r="G537" s="16" t="s">
        <v>71</v>
      </c>
      <c r="H537" s="16" t="s">
        <v>31</v>
      </c>
      <c r="I537" s="16" t="s">
        <v>63</v>
      </c>
      <c r="J537" s="16" t="s">
        <v>27</v>
      </c>
      <c r="K537" s="16" t="s">
        <v>2123</v>
      </c>
      <c r="L537" s="16" t="s">
        <v>35</v>
      </c>
      <c r="M537" s="17">
        <v>80</v>
      </c>
      <c r="N537" s="23">
        <v>1.31</v>
      </c>
      <c r="O537" s="16" t="s">
        <v>67</v>
      </c>
      <c r="P537" s="16" t="s">
        <v>63</v>
      </c>
      <c r="Q537" s="16" t="s">
        <v>29</v>
      </c>
      <c r="R537" s="16" t="s">
        <v>2357</v>
      </c>
      <c r="S537" s="12" t="s">
        <v>1797</v>
      </c>
      <c r="T537" s="13">
        <v>45929</v>
      </c>
      <c r="U537" s="19"/>
      <c r="V537" s="53">
        <f>M537-Z537-AB537-AD537-AF537-AH537-AJ537-AL537-AN537-AP537-AR537-AT537-AV537-AX537-AZ537-BB537-BD537-BF537-BH537-U537</f>
        <v>-3</v>
      </c>
      <c r="W537" s="22" t="s">
        <v>2661</v>
      </c>
      <c r="X537" s="16" t="s">
        <v>29</v>
      </c>
      <c r="Y537" s="9"/>
      <c r="Z537" s="19">
        <v>83</v>
      </c>
      <c r="AA537" s="227">
        <v>45932</v>
      </c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</row>
    <row r="538" spans="1:67" s="28" customFormat="1" ht="20.25" customHeight="1">
      <c r="A538" s="11">
        <v>45916</v>
      </c>
      <c r="B538" s="16" t="s">
        <v>2672</v>
      </c>
      <c r="C538" s="16" t="s">
        <v>290</v>
      </c>
      <c r="D538" s="16" t="s">
        <v>212</v>
      </c>
      <c r="E538" s="16" t="s">
        <v>25</v>
      </c>
      <c r="F538" s="16" t="s">
        <v>2676</v>
      </c>
      <c r="G538" s="16" t="s">
        <v>71</v>
      </c>
      <c r="H538" s="16" t="s">
        <v>31</v>
      </c>
      <c r="I538" s="16" t="s">
        <v>63</v>
      </c>
      <c r="J538" s="16" t="s">
        <v>27</v>
      </c>
      <c r="K538" s="16" t="s">
        <v>2653</v>
      </c>
      <c r="L538" s="16" t="s">
        <v>35</v>
      </c>
      <c r="M538" s="17">
        <v>2700</v>
      </c>
      <c r="N538" s="23">
        <v>1.3</v>
      </c>
      <c r="O538" s="16" t="s">
        <v>67</v>
      </c>
      <c r="P538" s="16" t="s">
        <v>63</v>
      </c>
      <c r="Q538" s="16" t="s">
        <v>2680</v>
      </c>
      <c r="R538" s="16" t="s">
        <v>29</v>
      </c>
      <c r="S538" s="12" t="s">
        <v>2556</v>
      </c>
      <c r="T538" s="13"/>
      <c r="U538" s="19"/>
      <c r="V538" s="53">
        <f>M538-U538-Z538</f>
        <v>0</v>
      </c>
      <c r="W538" s="22" t="s">
        <v>2684</v>
      </c>
      <c r="X538" s="16" t="s">
        <v>29</v>
      </c>
      <c r="Y538" s="9"/>
      <c r="Z538" s="9">
        <v>2700</v>
      </c>
      <c r="AA538" s="252">
        <v>45916</v>
      </c>
    </row>
    <row r="539" spans="1:67" s="28" customFormat="1" ht="20.25" customHeight="1">
      <c r="A539" s="11">
        <v>45916</v>
      </c>
      <c r="B539" s="16" t="s">
        <v>2673</v>
      </c>
      <c r="C539" s="16" t="s">
        <v>290</v>
      </c>
      <c r="D539" s="16" t="s">
        <v>212</v>
      </c>
      <c r="E539" s="16" t="s">
        <v>25</v>
      </c>
      <c r="F539" s="16" t="s">
        <v>2677</v>
      </c>
      <c r="G539" s="16" t="s">
        <v>71</v>
      </c>
      <c r="H539" s="16" t="s">
        <v>31</v>
      </c>
      <c r="I539" s="16" t="s">
        <v>63</v>
      </c>
      <c r="J539" s="16" t="s">
        <v>27</v>
      </c>
      <c r="K539" s="16" t="s">
        <v>372</v>
      </c>
      <c r="L539" s="16" t="s">
        <v>35</v>
      </c>
      <c r="M539" s="17">
        <v>480</v>
      </c>
      <c r="N539" s="23">
        <v>1.3</v>
      </c>
      <c r="O539" s="16" t="s">
        <v>67</v>
      </c>
      <c r="P539" s="16" t="s">
        <v>63</v>
      </c>
      <c r="Q539" s="16" t="s">
        <v>2681</v>
      </c>
      <c r="R539" s="16" t="s">
        <v>29</v>
      </c>
      <c r="S539" s="12" t="s">
        <v>2521</v>
      </c>
      <c r="T539" s="13"/>
      <c r="U539" s="19"/>
      <c r="V539" s="53">
        <f>M539-U539-Z539</f>
        <v>0</v>
      </c>
      <c r="W539" s="22" t="s">
        <v>2685</v>
      </c>
      <c r="X539" s="16" t="s">
        <v>29</v>
      </c>
      <c r="Y539" s="9"/>
      <c r="Z539" s="9">
        <v>480</v>
      </c>
      <c r="AA539" s="252">
        <v>45916</v>
      </c>
    </row>
    <row r="540" spans="1:67" s="28" customFormat="1" ht="20.25" customHeight="1">
      <c r="A540" s="11">
        <v>45916</v>
      </c>
      <c r="B540" s="16" t="s">
        <v>2674</v>
      </c>
      <c r="C540" s="16" t="s">
        <v>304</v>
      </c>
      <c r="D540" s="16" t="s">
        <v>212</v>
      </c>
      <c r="E540" s="16" t="s">
        <v>25</v>
      </c>
      <c r="F540" s="16" t="s">
        <v>2678</v>
      </c>
      <c r="G540" s="16" t="s">
        <v>71</v>
      </c>
      <c r="H540" s="16" t="s">
        <v>31</v>
      </c>
      <c r="I540" s="16" t="s">
        <v>63</v>
      </c>
      <c r="J540" s="16" t="s">
        <v>27</v>
      </c>
      <c r="K540" s="16" t="s">
        <v>2632</v>
      </c>
      <c r="L540" s="16" t="s">
        <v>35</v>
      </c>
      <c r="M540" s="17">
        <v>25</v>
      </c>
      <c r="N540" s="23">
        <v>1.29</v>
      </c>
      <c r="O540" s="16" t="s">
        <v>67</v>
      </c>
      <c r="P540" s="16" t="s">
        <v>63</v>
      </c>
      <c r="Q540" s="16" t="s">
        <v>29</v>
      </c>
      <c r="R540" s="16" t="s">
        <v>2682</v>
      </c>
      <c r="S540" s="12" t="s">
        <v>2683</v>
      </c>
      <c r="T540" s="13">
        <v>45932</v>
      </c>
      <c r="U540" s="19"/>
      <c r="V540" s="53">
        <f>M540-Z540-AB540-AD540-AF540-AH540-AJ540-AL540-AN540-AP540-AR540-AT540-AV540-AX540-AZ540-BB540-BD540-BF540-BH540-U540</f>
        <v>0</v>
      </c>
      <c r="W540" s="22" t="s">
        <v>2686</v>
      </c>
      <c r="X540" s="16" t="s">
        <v>29</v>
      </c>
      <c r="Y540" s="9"/>
      <c r="Z540" s="19">
        <v>25</v>
      </c>
      <c r="AA540" s="252">
        <v>45936</v>
      </c>
    </row>
    <row r="541" spans="1:67" s="28" customFormat="1" ht="20.25" customHeight="1">
      <c r="A541" s="11">
        <v>45916</v>
      </c>
      <c r="B541" s="16" t="s">
        <v>2675</v>
      </c>
      <c r="C541" s="16" t="s">
        <v>304</v>
      </c>
      <c r="D541" s="16" t="s">
        <v>212</v>
      </c>
      <c r="E541" s="16" t="s">
        <v>25</v>
      </c>
      <c r="F541" s="16" t="s">
        <v>2679</v>
      </c>
      <c r="G541" s="16" t="s">
        <v>71</v>
      </c>
      <c r="H541" s="16" t="s">
        <v>31</v>
      </c>
      <c r="I541" s="16" t="s">
        <v>63</v>
      </c>
      <c r="J541" s="16" t="s">
        <v>27</v>
      </c>
      <c r="K541" s="16" t="s">
        <v>2632</v>
      </c>
      <c r="L541" s="16" t="s">
        <v>35</v>
      </c>
      <c r="M541" s="17">
        <v>50</v>
      </c>
      <c r="N541" s="23">
        <v>1.29</v>
      </c>
      <c r="O541" s="16" t="s">
        <v>67</v>
      </c>
      <c r="P541" s="16" t="s">
        <v>63</v>
      </c>
      <c r="Q541" s="16" t="s">
        <v>29</v>
      </c>
      <c r="R541" s="16" t="s">
        <v>2413</v>
      </c>
      <c r="S541" s="12" t="s">
        <v>2683</v>
      </c>
      <c r="T541" s="13">
        <v>45932</v>
      </c>
      <c r="U541" s="19"/>
      <c r="V541" s="53">
        <f>M541-Z541-AB541-AD541-AF541-AH541-AJ541-AL541-AN541-AP541-AR541-AT541-AV541-AX541-AZ541-BB541-BD541-BF541-BH541-U541</f>
        <v>-1.3999999999999986</v>
      </c>
      <c r="W541" s="22" t="s">
        <v>2687</v>
      </c>
      <c r="X541" s="16" t="s">
        <v>29</v>
      </c>
      <c r="Y541" s="9"/>
      <c r="Z541" s="19">
        <f>10.8+31+9.6</f>
        <v>51.4</v>
      </c>
      <c r="AA541" s="252">
        <v>45936</v>
      </c>
    </row>
    <row r="542" spans="1:67" s="28" customFormat="1" ht="20.25" customHeight="1">
      <c r="A542" s="11">
        <v>45917</v>
      </c>
      <c r="B542" s="16" t="s">
        <v>2697</v>
      </c>
      <c r="C542" s="16" t="s">
        <v>304</v>
      </c>
      <c r="D542" s="16" t="s">
        <v>212</v>
      </c>
      <c r="E542" s="16" t="s">
        <v>34</v>
      </c>
      <c r="F542" s="16" t="s">
        <v>2698</v>
      </c>
      <c r="G542" s="16" t="s">
        <v>71</v>
      </c>
      <c r="H542" s="16" t="s">
        <v>31</v>
      </c>
      <c r="I542" s="16"/>
      <c r="J542" s="16" t="s">
        <v>27</v>
      </c>
      <c r="K542" s="16" t="s">
        <v>2632</v>
      </c>
      <c r="L542" s="16" t="s">
        <v>35</v>
      </c>
      <c r="M542" s="17">
        <v>25</v>
      </c>
      <c r="N542" s="23">
        <v>1.29</v>
      </c>
      <c r="O542" s="16" t="s">
        <v>67</v>
      </c>
      <c r="P542" s="16" t="s">
        <v>63</v>
      </c>
      <c r="Q542" s="16" t="s">
        <v>29</v>
      </c>
      <c r="R542" s="16" t="s">
        <v>1580</v>
      </c>
      <c r="S542" s="12" t="s">
        <v>2611</v>
      </c>
      <c r="T542" s="13">
        <v>45931</v>
      </c>
      <c r="U542" s="19"/>
      <c r="V542" s="53">
        <f>M542-Z542-AB542-AD542-AF542-AH542-AJ542-AL542-AN542-AP542-AR542-AT542-AV542-AX542-AZ542-BB542-BD542-BF542-BH542-U542</f>
        <v>0</v>
      </c>
      <c r="W542" s="22" t="s">
        <v>2699</v>
      </c>
      <c r="X542" s="16"/>
      <c r="Y542" s="9"/>
      <c r="Z542" s="19">
        <v>25</v>
      </c>
      <c r="AA542" s="252">
        <v>45936</v>
      </c>
    </row>
    <row r="543" spans="1:67" s="28" customFormat="1" ht="20.25" customHeight="1">
      <c r="A543" s="11">
        <v>45917</v>
      </c>
      <c r="B543" s="16" t="s">
        <v>2700</v>
      </c>
      <c r="C543" s="16" t="s">
        <v>2624</v>
      </c>
      <c r="D543" s="16" t="s">
        <v>212</v>
      </c>
      <c r="E543" s="16" t="s">
        <v>25</v>
      </c>
      <c r="F543" s="16" t="s">
        <v>2703</v>
      </c>
      <c r="G543" s="16" t="s">
        <v>71</v>
      </c>
      <c r="H543" s="16" t="s">
        <v>31</v>
      </c>
      <c r="I543" s="16"/>
      <c r="J543" s="16" t="s">
        <v>27</v>
      </c>
      <c r="K543" s="16" t="s">
        <v>2355</v>
      </c>
      <c r="L543" s="16" t="s">
        <v>35</v>
      </c>
      <c r="M543" s="17">
        <v>80</v>
      </c>
      <c r="N543" s="23">
        <v>1.31</v>
      </c>
      <c r="O543" s="16" t="s">
        <v>67</v>
      </c>
      <c r="P543" s="16" t="s">
        <v>63</v>
      </c>
      <c r="Q543" s="16" t="s">
        <v>920</v>
      </c>
      <c r="R543" s="16" t="s">
        <v>2357</v>
      </c>
      <c r="S543" s="12" t="s">
        <v>2611</v>
      </c>
      <c r="T543" s="13">
        <v>45931</v>
      </c>
      <c r="U543" s="19"/>
      <c r="V543" s="53">
        <f>M543-Z543-AB543-AD543-AF543-AH543-AJ543-AL543-AN543-AP543-AR543-AT543-AV543-AX543-AZ543-BB543-BD543-BF543-BH543-U543</f>
        <v>-4.2999999999999972</v>
      </c>
      <c r="W543" s="22" t="s">
        <v>2708</v>
      </c>
      <c r="X543" s="16" t="s">
        <v>29</v>
      </c>
      <c r="Y543" s="9"/>
      <c r="Z543" s="19">
        <v>84.3</v>
      </c>
      <c r="AA543" s="252">
        <v>45936</v>
      </c>
    </row>
    <row r="544" spans="1:67" s="28" customFormat="1" ht="20.25" customHeight="1">
      <c r="A544" s="11">
        <v>45917</v>
      </c>
      <c r="B544" s="16" t="s">
        <v>2701</v>
      </c>
      <c r="C544" s="16" t="s">
        <v>228</v>
      </c>
      <c r="D544" s="16" t="s">
        <v>212</v>
      </c>
      <c r="E544" s="16" t="s">
        <v>25</v>
      </c>
      <c r="F544" s="16" t="s">
        <v>2704</v>
      </c>
      <c r="G544" s="16" t="s">
        <v>71</v>
      </c>
      <c r="H544" s="16" t="s">
        <v>31</v>
      </c>
      <c r="I544" s="16"/>
      <c r="J544" s="16" t="s">
        <v>27</v>
      </c>
      <c r="K544" s="16" t="s">
        <v>2706</v>
      </c>
      <c r="L544" s="16" t="s">
        <v>35</v>
      </c>
      <c r="M544" s="17">
        <v>80.78</v>
      </c>
      <c r="N544" s="23">
        <v>1.31</v>
      </c>
      <c r="O544" s="16" t="s">
        <v>67</v>
      </c>
      <c r="P544" s="16" t="s">
        <v>63</v>
      </c>
      <c r="Q544" s="16" t="s">
        <v>362</v>
      </c>
      <c r="R544" s="16" t="s">
        <v>466</v>
      </c>
      <c r="S544" s="12" t="s">
        <v>2707</v>
      </c>
      <c r="T544" s="13">
        <v>45938</v>
      </c>
      <c r="U544" s="19"/>
      <c r="V544" s="53">
        <f>M544-Z544-AB544-AD544-AF544-AH544-AJ544-AL544-AN544-AP544-AR544-AT544-AV544-AX544-AZ544-BB544-BD544-BF544-BH544-U544</f>
        <v>-2.9200000000000017</v>
      </c>
      <c r="W544" s="22" t="s">
        <v>2709</v>
      </c>
      <c r="X544" s="16" t="s">
        <v>29</v>
      </c>
      <c r="Y544" s="9"/>
      <c r="Z544" s="19">
        <v>83.7</v>
      </c>
      <c r="AA544" s="252">
        <v>45931</v>
      </c>
    </row>
    <row r="545" spans="1:29" s="28" customFormat="1" ht="20.25" customHeight="1">
      <c r="A545" s="11">
        <v>45917</v>
      </c>
      <c r="B545" s="16" t="s">
        <v>2702</v>
      </c>
      <c r="C545" s="16" t="s">
        <v>243</v>
      </c>
      <c r="D545" s="16" t="s">
        <v>212</v>
      </c>
      <c r="E545" s="16" t="s">
        <v>25</v>
      </c>
      <c r="F545" s="16" t="s">
        <v>2705</v>
      </c>
      <c r="G545" s="16" t="s">
        <v>71</v>
      </c>
      <c r="H545" s="16" t="s">
        <v>31</v>
      </c>
      <c r="I545" s="16"/>
      <c r="J545" s="16" t="s">
        <v>27</v>
      </c>
      <c r="K545" s="16" t="s">
        <v>2355</v>
      </c>
      <c r="L545" s="16" t="s">
        <v>35</v>
      </c>
      <c r="M545" s="17">
        <v>393.5</v>
      </c>
      <c r="N545" s="23">
        <v>1.31</v>
      </c>
      <c r="O545" s="16" t="s">
        <v>67</v>
      </c>
      <c r="P545" s="16" t="s">
        <v>63</v>
      </c>
      <c r="Q545" s="16" t="s">
        <v>2126</v>
      </c>
      <c r="R545" s="16" t="s">
        <v>2185</v>
      </c>
      <c r="S545" s="12" t="s">
        <v>2707</v>
      </c>
      <c r="T545" s="13">
        <v>45938</v>
      </c>
      <c r="U545" s="19"/>
      <c r="V545" s="53">
        <f>M545-Z545-AB545-AD545-AF545-AH545-AJ545-AL545-AN545-AP545-AR545-AT545-AV545-AX545-AZ545-BB545-BD545-BF545-BH545-U545</f>
        <v>-5.3999999999999773</v>
      </c>
      <c r="W545" s="22" t="s">
        <v>2710</v>
      </c>
      <c r="X545" s="16" t="s">
        <v>29</v>
      </c>
      <c r="Y545" s="9"/>
      <c r="Z545" s="19">
        <v>398.9</v>
      </c>
      <c r="AA545" s="252">
        <v>45932</v>
      </c>
    </row>
    <row r="546" spans="1:29" s="28" customFormat="1" ht="20.25" customHeight="1">
      <c r="A546" s="11">
        <v>45917</v>
      </c>
      <c r="B546" s="16" t="s">
        <v>2711</v>
      </c>
      <c r="C546" s="16" t="s">
        <v>400</v>
      </c>
      <c r="D546" s="16" t="s">
        <v>212</v>
      </c>
      <c r="E546" s="16" t="s">
        <v>25</v>
      </c>
      <c r="F546" s="16" t="s">
        <v>2712</v>
      </c>
      <c r="G546" s="16" t="s">
        <v>71</v>
      </c>
      <c r="H546" s="16" t="s">
        <v>31</v>
      </c>
      <c r="I546" s="16"/>
      <c r="J546" s="16" t="s">
        <v>27</v>
      </c>
      <c r="K546" s="16" t="s">
        <v>483</v>
      </c>
      <c r="L546" s="16" t="s">
        <v>35</v>
      </c>
      <c r="M546" s="17">
        <v>41.26</v>
      </c>
      <c r="N546" s="23">
        <v>1.31</v>
      </c>
      <c r="O546" s="16" t="s">
        <v>67</v>
      </c>
      <c r="P546" s="16" t="s">
        <v>63</v>
      </c>
      <c r="Q546" s="16" t="s">
        <v>362</v>
      </c>
      <c r="R546" s="16" t="s">
        <v>235</v>
      </c>
      <c r="S546" s="12" t="s">
        <v>2611</v>
      </c>
      <c r="T546" s="13">
        <v>45931</v>
      </c>
      <c r="U546" s="19"/>
      <c r="V546" s="53">
        <f>M546-Z546-AB546-AD546-AF546-AH546-AJ546-AL546-AN546-AP546-AR546-AT546-AV546-AX546-AZ546-BB546-BD546-BF546-BH546-U546</f>
        <v>-1.5399999999999991</v>
      </c>
      <c r="W546" s="22" t="s">
        <v>2713</v>
      </c>
      <c r="X546" s="16" t="s">
        <v>1021</v>
      </c>
      <c r="Y546" s="9"/>
      <c r="Z546" s="19">
        <v>42.8</v>
      </c>
      <c r="AA546" s="252">
        <v>45939</v>
      </c>
    </row>
    <row r="547" spans="1:29" s="28" customFormat="1" ht="20.25" customHeight="1">
      <c r="A547" s="11">
        <v>45918</v>
      </c>
      <c r="B547" s="16" t="s">
        <v>2714</v>
      </c>
      <c r="C547" s="16" t="s">
        <v>267</v>
      </c>
      <c r="D547" s="16" t="s">
        <v>212</v>
      </c>
      <c r="E547" s="16" t="s">
        <v>25</v>
      </c>
      <c r="F547" s="16" t="s">
        <v>2715</v>
      </c>
      <c r="G547" s="16" t="s">
        <v>71</v>
      </c>
      <c r="H547" s="16" t="s">
        <v>31</v>
      </c>
      <c r="I547" s="16"/>
      <c r="J547" s="16" t="s">
        <v>27</v>
      </c>
      <c r="K547" s="16" t="s">
        <v>2530</v>
      </c>
      <c r="L547" s="16" t="s">
        <v>35</v>
      </c>
      <c r="M547" s="17">
        <v>125</v>
      </c>
      <c r="N547" s="23">
        <v>1.29</v>
      </c>
      <c r="O547" s="16" t="s">
        <v>67</v>
      </c>
      <c r="P547" s="16" t="s">
        <v>63</v>
      </c>
      <c r="Q547" s="16" t="s">
        <v>29</v>
      </c>
      <c r="R547" s="16" t="s">
        <v>2716</v>
      </c>
      <c r="S547" s="12" t="s">
        <v>2633</v>
      </c>
      <c r="T547" s="13">
        <v>45932</v>
      </c>
      <c r="U547" s="19"/>
      <c r="V547" s="53">
        <f>M547-Z547-AB547-AD547-AF547-AH547-AJ547-AL547-AN547-AP547-AR547-AT547-AV547-AX547-AZ547-BB547-BD547-BF547-BH547-U547</f>
        <v>-0.79999999999999716</v>
      </c>
      <c r="W547" s="22" t="s">
        <v>2717</v>
      </c>
      <c r="X547" s="16"/>
      <c r="Y547" s="9"/>
      <c r="Z547" s="19">
        <v>125.8</v>
      </c>
      <c r="AA547" s="252">
        <v>45932</v>
      </c>
    </row>
    <row r="548" spans="1:29" s="28" customFormat="1" ht="20.25" customHeight="1">
      <c r="A548" s="11">
        <v>45918</v>
      </c>
      <c r="B548" s="16" t="s">
        <v>2718</v>
      </c>
      <c r="C548" s="16" t="s">
        <v>298</v>
      </c>
      <c r="D548" s="16" t="s">
        <v>212</v>
      </c>
      <c r="E548" s="16" t="s">
        <v>25</v>
      </c>
      <c r="F548" s="16" t="s">
        <v>2719</v>
      </c>
      <c r="G548" s="16" t="s">
        <v>71</v>
      </c>
      <c r="H548" s="16" t="s">
        <v>31</v>
      </c>
      <c r="I548" s="16"/>
      <c r="J548" s="16" t="s">
        <v>27</v>
      </c>
      <c r="K548" s="16" t="s">
        <v>1012</v>
      </c>
      <c r="L548" s="16" t="s">
        <v>35</v>
      </c>
      <c r="M548" s="17">
        <v>10651</v>
      </c>
      <c r="N548" s="23">
        <v>1.31</v>
      </c>
      <c r="O548" s="16" t="s">
        <v>67</v>
      </c>
      <c r="P548" s="16" t="s">
        <v>63</v>
      </c>
      <c r="Q548" s="16" t="s">
        <v>29</v>
      </c>
      <c r="R548" s="16" t="s">
        <v>2720</v>
      </c>
      <c r="S548" s="12" t="s">
        <v>2074</v>
      </c>
      <c r="T548" s="13">
        <v>45925</v>
      </c>
      <c r="U548" s="19"/>
      <c r="V548" s="53">
        <f>M548-Z548-AB548-AD548-AF548-AH548-AJ548-AL548-AN548-AP548-AR548-AT548-AV548-AX548-AZ548-BB548-BD548-BF548-BH548-U548</f>
        <v>-2.9000000000003752</v>
      </c>
      <c r="W548" s="22" t="s">
        <v>2721</v>
      </c>
      <c r="X548" s="16"/>
      <c r="Y548" s="9"/>
      <c r="Z548" s="19">
        <f>2721+343.8+2240+695.7+4247.1</f>
        <v>10247.6</v>
      </c>
      <c r="AA548" s="252">
        <v>45924</v>
      </c>
      <c r="AB548" s="19">
        <v>406.3</v>
      </c>
      <c r="AC548" s="252">
        <v>45926</v>
      </c>
    </row>
    <row r="549" spans="1:29" s="28" customFormat="1" ht="20.25" customHeight="1">
      <c r="A549" s="11">
        <v>45919</v>
      </c>
      <c r="B549" s="16" t="s">
        <v>2725</v>
      </c>
      <c r="C549" s="16" t="s">
        <v>304</v>
      </c>
      <c r="D549" s="16" t="s">
        <v>212</v>
      </c>
      <c r="E549" s="16" t="s">
        <v>34</v>
      </c>
      <c r="F549" s="16" t="s">
        <v>2727</v>
      </c>
      <c r="G549" s="16" t="s">
        <v>71</v>
      </c>
      <c r="H549" s="16" t="s">
        <v>26</v>
      </c>
      <c r="I549" s="16"/>
      <c r="J549" s="16" t="s">
        <v>27</v>
      </c>
      <c r="K549" s="16" t="s">
        <v>340</v>
      </c>
      <c r="L549" s="16" t="s">
        <v>35</v>
      </c>
      <c r="M549" s="17">
        <v>50</v>
      </c>
      <c r="N549" s="23">
        <v>1.29</v>
      </c>
      <c r="O549" s="16" t="s">
        <v>67</v>
      </c>
      <c r="P549" s="16" t="s">
        <v>63</v>
      </c>
      <c r="Q549" s="16" t="s">
        <v>29</v>
      </c>
      <c r="R549" s="16" t="s">
        <v>1526</v>
      </c>
      <c r="S549" s="12" t="s">
        <v>2499</v>
      </c>
      <c r="T549" s="13">
        <v>45936</v>
      </c>
      <c r="U549" s="19"/>
      <c r="V549" s="53">
        <f>M549-Z549-AB549-AD549-AF549-AH549-AJ549-AL549-AN549-AP549-AR549-AT549-AV549-AX549-AZ549-BB549-BD549-BF549-BH549-U549</f>
        <v>-3.5</v>
      </c>
      <c r="W549" s="22" t="s">
        <v>2730</v>
      </c>
      <c r="X549" s="16" t="s">
        <v>29</v>
      </c>
      <c r="Y549" s="9"/>
      <c r="Z549" s="19">
        <v>53.5</v>
      </c>
      <c r="AA549" s="252">
        <v>45932</v>
      </c>
    </row>
    <row r="550" spans="1:29" s="28" customFormat="1" ht="20.25" customHeight="1">
      <c r="A550" s="11">
        <v>45919</v>
      </c>
      <c r="B550" s="16" t="s">
        <v>2726</v>
      </c>
      <c r="C550" s="16" t="s">
        <v>382</v>
      </c>
      <c r="D550" s="16" t="s">
        <v>212</v>
      </c>
      <c r="E550" s="16" t="s">
        <v>34</v>
      </c>
      <c r="F550" s="16" t="s">
        <v>2728</v>
      </c>
      <c r="G550" s="16" t="s">
        <v>71</v>
      </c>
      <c r="H550" s="16" t="s">
        <v>31</v>
      </c>
      <c r="I550" s="16"/>
      <c r="J550" s="16" t="s">
        <v>27</v>
      </c>
      <c r="K550" s="16" t="s">
        <v>929</v>
      </c>
      <c r="L550" s="16" t="s">
        <v>35</v>
      </c>
      <c r="M550" s="17">
        <v>826.59</v>
      </c>
      <c r="N550" s="23">
        <v>1.31</v>
      </c>
      <c r="O550" s="16" t="s">
        <v>67</v>
      </c>
      <c r="P550" s="16" t="s">
        <v>63</v>
      </c>
      <c r="Q550" s="16" t="s">
        <v>1997</v>
      </c>
      <c r="R550" s="16" t="s">
        <v>2729</v>
      </c>
      <c r="S550" s="12" t="s">
        <v>2642</v>
      </c>
      <c r="T550" s="13">
        <v>45933</v>
      </c>
      <c r="U550" s="19"/>
      <c r="V550" s="53">
        <f>M550-Z550-AB550-AD550-AF550-AH550-AJ550-AL550-AN550-AP550-AR550-AT550-AV550-AX550-AZ550-BB550-BD550-BF550-BH550-U550</f>
        <v>-1.1100000000000136</v>
      </c>
      <c r="W550" s="22" t="s">
        <v>2731</v>
      </c>
      <c r="X550" s="16" t="s">
        <v>1021</v>
      </c>
      <c r="Y550" s="9"/>
      <c r="Z550" s="19">
        <v>827.7</v>
      </c>
      <c r="AA550" s="252">
        <v>45938</v>
      </c>
    </row>
    <row r="551" spans="1:29" s="28" customFormat="1" ht="20.25" customHeight="1">
      <c r="A551" s="11">
        <v>45919</v>
      </c>
      <c r="B551" s="16" t="s">
        <v>2732</v>
      </c>
      <c r="C551" s="16" t="s">
        <v>243</v>
      </c>
      <c r="D551" s="16" t="s">
        <v>212</v>
      </c>
      <c r="E551" s="16" t="s">
        <v>25</v>
      </c>
      <c r="F551" s="16" t="s">
        <v>2735</v>
      </c>
      <c r="G551" s="16" t="s">
        <v>71</v>
      </c>
      <c r="H551" s="16" t="s">
        <v>31</v>
      </c>
      <c r="I551" s="16"/>
      <c r="J551" s="16" t="s">
        <v>27</v>
      </c>
      <c r="K551" s="16" t="s">
        <v>2355</v>
      </c>
      <c r="L551" s="16" t="s">
        <v>35</v>
      </c>
      <c r="M551" s="17">
        <v>442</v>
      </c>
      <c r="N551" s="23">
        <v>1.31</v>
      </c>
      <c r="O551" s="16" t="s">
        <v>67</v>
      </c>
      <c r="P551" s="16" t="s">
        <v>63</v>
      </c>
      <c r="Q551" s="16" t="s">
        <v>2126</v>
      </c>
      <c r="R551" s="16" t="s">
        <v>2185</v>
      </c>
      <c r="S551" s="12" t="s">
        <v>2499</v>
      </c>
      <c r="T551" s="13">
        <v>45936</v>
      </c>
      <c r="U551" s="19"/>
      <c r="V551" s="53">
        <f>M551-Z551-AB551-AD551-AF551-AH551-AJ551-AL551-AN551-AP551-AR551-AT551-AV551-AX551-AZ551-BB551-BD551-BF551-BH551-U551</f>
        <v>-2.8000000000000114</v>
      </c>
      <c r="W551" s="22" t="s">
        <v>2739</v>
      </c>
      <c r="X551" s="16" t="s">
        <v>29</v>
      </c>
      <c r="Y551" s="9"/>
      <c r="Z551" s="19">
        <v>444.8</v>
      </c>
      <c r="AA551" s="252">
        <v>45932</v>
      </c>
    </row>
    <row r="552" spans="1:29" s="282" customFormat="1" ht="20.25" customHeight="1">
      <c r="A552" s="272">
        <v>45919</v>
      </c>
      <c r="B552" s="273" t="s">
        <v>2733</v>
      </c>
      <c r="C552" s="273" t="s">
        <v>243</v>
      </c>
      <c r="D552" s="273" t="s">
        <v>212</v>
      </c>
      <c r="E552" s="273" t="s">
        <v>25</v>
      </c>
      <c r="F552" s="273" t="s">
        <v>2736</v>
      </c>
      <c r="G552" s="273" t="s">
        <v>71</v>
      </c>
      <c r="H552" s="273" t="s">
        <v>31</v>
      </c>
      <c r="I552" s="273"/>
      <c r="J552" s="273" t="s">
        <v>27</v>
      </c>
      <c r="K552" s="273" t="s">
        <v>2738</v>
      </c>
      <c r="L552" s="273" t="s">
        <v>35</v>
      </c>
      <c r="M552" s="274"/>
      <c r="N552" s="275">
        <v>1.31</v>
      </c>
      <c r="O552" s="273" t="s">
        <v>67</v>
      </c>
      <c r="P552" s="273" t="s">
        <v>63</v>
      </c>
      <c r="Q552" s="273" t="s">
        <v>920</v>
      </c>
      <c r="R552" s="273" t="s">
        <v>2357</v>
      </c>
      <c r="S552" s="276" t="s">
        <v>2499</v>
      </c>
      <c r="T552" s="277"/>
      <c r="U552" s="278"/>
      <c r="V552" s="279">
        <f>M552-U552-Y552-AA552</f>
        <v>0</v>
      </c>
      <c r="W552" s="280" t="s">
        <v>2740</v>
      </c>
      <c r="X552" s="273" t="s">
        <v>29</v>
      </c>
      <c r="Y552" s="322"/>
      <c r="Z552" s="322"/>
    </row>
    <row r="553" spans="1:29" s="282" customFormat="1" ht="20.25" customHeight="1">
      <c r="A553" s="272">
        <v>45919</v>
      </c>
      <c r="B553" s="273" t="s">
        <v>2734</v>
      </c>
      <c r="C553" s="273" t="s">
        <v>243</v>
      </c>
      <c r="D553" s="273" t="s">
        <v>212</v>
      </c>
      <c r="E553" s="273" t="s">
        <v>25</v>
      </c>
      <c r="F553" s="273" t="s">
        <v>2737</v>
      </c>
      <c r="G553" s="273" t="s">
        <v>71</v>
      </c>
      <c r="H553" s="273" t="s">
        <v>31</v>
      </c>
      <c r="I553" s="273"/>
      <c r="J553" s="273" t="s">
        <v>27</v>
      </c>
      <c r="K553" s="273" t="s">
        <v>292</v>
      </c>
      <c r="L553" s="273" t="s">
        <v>35</v>
      </c>
      <c r="M553" s="274"/>
      <c r="N553" s="275">
        <v>1.31</v>
      </c>
      <c r="O553" s="273" t="s">
        <v>67</v>
      </c>
      <c r="P553" s="273" t="s">
        <v>63</v>
      </c>
      <c r="Q553" s="273" t="s">
        <v>920</v>
      </c>
      <c r="R553" s="273" t="s">
        <v>2357</v>
      </c>
      <c r="S553" s="276" t="s">
        <v>2499</v>
      </c>
      <c r="T553" s="277"/>
      <c r="U553" s="278"/>
      <c r="V553" s="279">
        <f>M553-U553-Y553-AA553</f>
        <v>0</v>
      </c>
      <c r="W553" s="280" t="s">
        <v>2741</v>
      </c>
      <c r="X553" s="273" t="s">
        <v>29</v>
      </c>
      <c r="Y553" s="322"/>
      <c r="Z553" s="322"/>
    </row>
    <row r="554" spans="1:29" s="28" customFormat="1" ht="20.25" customHeight="1">
      <c r="A554" s="11">
        <v>45922</v>
      </c>
      <c r="B554" s="16" t="s">
        <v>2745</v>
      </c>
      <c r="C554" s="16" t="s">
        <v>2624</v>
      </c>
      <c r="D554" s="16" t="s">
        <v>212</v>
      </c>
      <c r="E554" s="16" t="s">
        <v>25</v>
      </c>
      <c r="F554" s="16" t="s">
        <v>2736</v>
      </c>
      <c r="G554" s="16" t="s">
        <v>71</v>
      </c>
      <c r="H554" s="16" t="s">
        <v>31</v>
      </c>
      <c r="I554" s="16"/>
      <c r="J554" s="16" t="s">
        <v>27</v>
      </c>
      <c r="K554" s="16" t="s">
        <v>2746</v>
      </c>
      <c r="L554" s="16" t="s">
        <v>35</v>
      </c>
      <c r="M554" s="17">
        <v>480</v>
      </c>
      <c r="N554" s="23">
        <v>1.31</v>
      </c>
      <c r="O554" s="16" t="s">
        <v>67</v>
      </c>
      <c r="P554" s="16" t="s">
        <v>63</v>
      </c>
      <c r="Q554" s="16" t="s">
        <v>920</v>
      </c>
      <c r="R554" s="16" t="s">
        <v>2357</v>
      </c>
      <c r="S554" s="12" t="s">
        <v>2657</v>
      </c>
      <c r="T554" s="13">
        <v>45936</v>
      </c>
      <c r="U554" s="19"/>
      <c r="V554" s="53">
        <f>M554-Z554-AB554-AD554-AF554-AH554-AJ554-AL554-AN554-AP554-AR554-AT554-AV554-AX554-AZ554-BB554-BD554-BF554-BH554-U554</f>
        <v>-0.89999999999997726</v>
      </c>
      <c r="W554" s="22" t="s">
        <v>2747</v>
      </c>
      <c r="X554" s="16"/>
      <c r="Y554" s="9"/>
      <c r="Z554" s="19">
        <v>480.9</v>
      </c>
      <c r="AA554" s="252">
        <v>45936</v>
      </c>
    </row>
    <row r="555" spans="1:29" s="28" customFormat="1" ht="20.25" customHeight="1">
      <c r="A555" s="11">
        <v>45922</v>
      </c>
      <c r="B555" s="16" t="s">
        <v>2748</v>
      </c>
      <c r="C555" s="16" t="s">
        <v>2624</v>
      </c>
      <c r="D555" s="16" t="s">
        <v>212</v>
      </c>
      <c r="E555" s="16" t="s">
        <v>25</v>
      </c>
      <c r="F555" s="16" t="s">
        <v>2737</v>
      </c>
      <c r="G555" s="16" t="s">
        <v>71</v>
      </c>
      <c r="H555" s="16" t="s">
        <v>31</v>
      </c>
      <c r="I555" s="16"/>
      <c r="J555" s="16" t="s">
        <v>27</v>
      </c>
      <c r="K555" s="16" t="s">
        <v>2746</v>
      </c>
      <c r="L555" s="16" t="s">
        <v>35</v>
      </c>
      <c r="M555" s="17">
        <v>167</v>
      </c>
      <c r="N555" s="23">
        <v>1.31</v>
      </c>
      <c r="O555" s="16" t="s">
        <v>67</v>
      </c>
      <c r="P555" s="16" t="s">
        <v>63</v>
      </c>
      <c r="Q555" s="16" t="s">
        <v>920</v>
      </c>
      <c r="R555" s="16" t="s">
        <v>2357</v>
      </c>
      <c r="S555" s="12" t="s">
        <v>2657</v>
      </c>
      <c r="T555" s="13">
        <v>45936</v>
      </c>
      <c r="U555" s="19"/>
      <c r="V555" s="53">
        <f>M555-Z555-AB555-AD555-AF555-AH555-AJ555-AL555-AN555-AP555-AR555-AT555-AV555-AX555-AZ555-BB555-BD555-BF555-BH555-U555</f>
        <v>-0.69999999999998863</v>
      </c>
      <c r="W555" s="22" t="s">
        <v>2749</v>
      </c>
      <c r="X555" s="16"/>
      <c r="Y555" s="9"/>
      <c r="Z555" s="19">
        <v>167.7</v>
      </c>
      <c r="AA555" s="252">
        <v>45936</v>
      </c>
    </row>
    <row r="556" spans="1:29" s="28" customFormat="1" ht="20.25" customHeight="1">
      <c r="A556" s="11">
        <v>45922</v>
      </c>
      <c r="B556" s="16" t="s">
        <v>2750</v>
      </c>
      <c r="C556" s="16" t="s">
        <v>315</v>
      </c>
      <c r="D556" s="16" t="s">
        <v>212</v>
      </c>
      <c r="E556" s="16" t="s">
        <v>25</v>
      </c>
      <c r="F556" s="16" t="s">
        <v>2758</v>
      </c>
      <c r="G556" s="16" t="s">
        <v>71</v>
      </c>
      <c r="H556" s="16" t="s">
        <v>26</v>
      </c>
      <c r="I556" s="1"/>
      <c r="J556" s="1" t="s">
        <v>27</v>
      </c>
      <c r="K556" s="16" t="s">
        <v>645</v>
      </c>
      <c r="L556" s="1" t="s">
        <v>35</v>
      </c>
      <c r="M556" s="17">
        <v>868</v>
      </c>
      <c r="N556" s="6">
        <v>1.31</v>
      </c>
      <c r="O556" s="1" t="s">
        <v>67</v>
      </c>
      <c r="P556" s="1" t="s">
        <v>63</v>
      </c>
      <c r="Q556" s="1" t="s">
        <v>29</v>
      </c>
      <c r="R556" s="1" t="s">
        <v>2190</v>
      </c>
      <c r="S556" s="12" t="s">
        <v>2657</v>
      </c>
      <c r="T556" s="13">
        <v>45936</v>
      </c>
      <c r="U556" s="19"/>
      <c r="V556" s="53">
        <f>M556-Z556-AB556-AD556-AF556-AH556-AJ556-AL556-AN556-AP556-AR556-AT556-AV556-AX556-AZ556-BB556-BD556-BF556-BH556-U556</f>
        <v>-1.8999999999999773</v>
      </c>
      <c r="W556" s="22" t="s">
        <v>2771</v>
      </c>
      <c r="X556" s="16" t="s">
        <v>29</v>
      </c>
      <c r="Y556" s="9"/>
      <c r="Z556" s="19">
        <v>869.9</v>
      </c>
      <c r="AA556" s="252">
        <v>45923</v>
      </c>
    </row>
    <row r="557" spans="1:29" s="28" customFormat="1" ht="20.25" customHeight="1">
      <c r="A557" s="11">
        <v>45922</v>
      </c>
      <c r="B557" s="16" t="s">
        <v>2751</v>
      </c>
      <c r="C557" s="16" t="s">
        <v>243</v>
      </c>
      <c r="D557" s="16" t="s">
        <v>212</v>
      </c>
      <c r="E557" s="16" t="s">
        <v>25</v>
      </c>
      <c r="F557" s="16" t="s">
        <v>2759</v>
      </c>
      <c r="G557" s="16" t="s">
        <v>71</v>
      </c>
      <c r="H557" s="16" t="s">
        <v>31</v>
      </c>
      <c r="I557" s="16"/>
      <c r="J557" s="16" t="s">
        <v>27</v>
      </c>
      <c r="K557" s="16" t="s">
        <v>487</v>
      </c>
      <c r="L557" s="16" t="s">
        <v>35</v>
      </c>
      <c r="M557" s="17">
        <v>200</v>
      </c>
      <c r="N557" s="23">
        <v>1.31</v>
      </c>
      <c r="O557" s="16" t="s">
        <v>67</v>
      </c>
      <c r="P557" s="16" t="s">
        <v>63</v>
      </c>
      <c r="Q557" s="16" t="s">
        <v>1286</v>
      </c>
      <c r="R557" s="16" t="s">
        <v>1300</v>
      </c>
      <c r="S557" s="12" t="s">
        <v>2769</v>
      </c>
      <c r="T557" s="13">
        <v>45943</v>
      </c>
      <c r="U557" s="19"/>
      <c r="V557" s="53">
        <f>M557-Z557-AB557-AD557-AF557-AH557-AJ557-AL557-AN557-AP557-AR557-AT557-AV557-AX557-AZ557-BB557-BD557-BF557-BH557-U557</f>
        <v>-1.6999999999999886</v>
      </c>
      <c r="W557" s="22" t="s">
        <v>2772</v>
      </c>
      <c r="X557" s="16" t="s">
        <v>29</v>
      </c>
      <c r="Y557" s="9"/>
      <c r="Z557" s="19">
        <v>201.7</v>
      </c>
      <c r="AA557" s="252">
        <v>45932</v>
      </c>
    </row>
    <row r="558" spans="1:29" s="28" customFormat="1" ht="20.25" customHeight="1">
      <c r="A558" s="11">
        <v>45922</v>
      </c>
      <c r="B558" s="16" t="s">
        <v>2752</v>
      </c>
      <c r="C558" s="16" t="s">
        <v>243</v>
      </c>
      <c r="D558" s="16" t="s">
        <v>212</v>
      </c>
      <c r="E558" s="16" t="s">
        <v>25</v>
      </c>
      <c r="F558" s="16" t="s">
        <v>2760</v>
      </c>
      <c r="G558" s="16" t="s">
        <v>71</v>
      </c>
      <c r="H558" s="16" t="s">
        <v>31</v>
      </c>
      <c r="I558" s="16"/>
      <c r="J558" s="16" t="s">
        <v>27</v>
      </c>
      <c r="K558" s="16" t="s">
        <v>2766</v>
      </c>
      <c r="L558" s="16" t="s">
        <v>35</v>
      </c>
      <c r="M558" s="17">
        <v>1026</v>
      </c>
      <c r="N558" s="23">
        <v>1.31</v>
      </c>
      <c r="O558" s="16" t="s">
        <v>67</v>
      </c>
      <c r="P558" s="16" t="s">
        <v>63</v>
      </c>
      <c r="Q558" s="16" t="s">
        <v>29</v>
      </c>
      <c r="R558" s="16" t="s">
        <v>29</v>
      </c>
      <c r="S558" s="12" t="s">
        <v>2657</v>
      </c>
      <c r="T558" s="13">
        <v>45936</v>
      </c>
      <c r="U558" s="19"/>
      <c r="V558" s="55">
        <f>M558-Z558-AB558-AD558-AF558-AH558-AJ558-AL558-AN558-AP558-AR558-AT558-AV558-AX558-AZ558-BB558-BD558-BF558-BH558-U558</f>
        <v>-5.1999999999999886</v>
      </c>
      <c r="W558" s="22" t="s">
        <v>2773</v>
      </c>
      <c r="X558" s="16" t="s">
        <v>3120</v>
      </c>
      <c r="Y558" s="9"/>
      <c r="Z558" s="19">
        <v>730</v>
      </c>
      <c r="AA558" s="252">
        <v>45932</v>
      </c>
      <c r="AB558" s="19">
        <v>301.2</v>
      </c>
      <c r="AC558" s="252">
        <v>45938</v>
      </c>
    </row>
    <row r="559" spans="1:29" s="28" customFormat="1" ht="20.25" customHeight="1">
      <c r="A559" s="11">
        <v>45922</v>
      </c>
      <c r="B559" s="16" t="s">
        <v>2753</v>
      </c>
      <c r="C559" s="16" t="s">
        <v>267</v>
      </c>
      <c r="D559" s="16" t="s">
        <v>212</v>
      </c>
      <c r="E559" s="16" t="s">
        <v>25</v>
      </c>
      <c r="F559" s="16" t="s">
        <v>2761</v>
      </c>
      <c r="G559" s="16" t="s">
        <v>71</v>
      </c>
      <c r="H559" s="16" t="s">
        <v>26</v>
      </c>
      <c r="I559" s="16"/>
      <c r="J559" s="16" t="s">
        <v>27</v>
      </c>
      <c r="K559" s="16" t="s">
        <v>214</v>
      </c>
      <c r="L559" s="16" t="s">
        <v>35</v>
      </c>
      <c r="M559" s="17">
        <v>100</v>
      </c>
      <c r="N559" s="23">
        <v>1.29</v>
      </c>
      <c r="O559" s="16" t="s">
        <v>67</v>
      </c>
      <c r="P559" s="16" t="s">
        <v>63</v>
      </c>
      <c r="Q559" s="16" t="s">
        <v>29</v>
      </c>
      <c r="R559" s="16" t="s">
        <v>713</v>
      </c>
      <c r="S559" s="12" t="s">
        <v>2657</v>
      </c>
      <c r="T559" s="13">
        <v>45940</v>
      </c>
      <c r="U559" s="19"/>
      <c r="V559" s="53">
        <f>M559-Z559-AB559-AD559-AF559-AH559-AJ559-AL559-AN559-AP559-AR559-AT559-AV559-AX559-AZ559-BB559-BD559-BF559-BH559-U559</f>
        <v>-0.79999999999999716</v>
      </c>
      <c r="W559" s="22" t="s">
        <v>2774</v>
      </c>
      <c r="X559" s="16" t="s">
        <v>29</v>
      </c>
      <c r="Y559" s="9"/>
      <c r="Z559" s="19">
        <v>100.8</v>
      </c>
      <c r="AA559" s="252">
        <v>45936</v>
      </c>
    </row>
    <row r="560" spans="1:29" s="28" customFormat="1" ht="20.25" customHeight="1">
      <c r="A560" s="11">
        <v>45922</v>
      </c>
      <c r="B560" s="16" t="s">
        <v>2754</v>
      </c>
      <c r="C560" s="16" t="s">
        <v>267</v>
      </c>
      <c r="D560" s="16" t="s">
        <v>212</v>
      </c>
      <c r="E560" s="16" t="s">
        <v>25</v>
      </c>
      <c r="F560" s="16" t="s">
        <v>2762</v>
      </c>
      <c r="G560" s="16" t="s">
        <v>71</v>
      </c>
      <c r="H560" s="16" t="s">
        <v>31</v>
      </c>
      <c r="I560" s="16"/>
      <c r="J560" s="16" t="s">
        <v>27</v>
      </c>
      <c r="K560" s="16" t="s">
        <v>2230</v>
      </c>
      <c r="L560" s="16" t="s">
        <v>35</v>
      </c>
      <c r="M560" s="17">
        <v>100</v>
      </c>
      <c r="N560" s="23">
        <v>1.29</v>
      </c>
      <c r="O560" s="16" t="s">
        <v>67</v>
      </c>
      <c r="P560" s="16" t="s">
        <v>63</v>
      </c>
      <c r="Q560" s="16" t="s">
        <v>29</v>
      </c>
      <c r="R560" s="16" t="s">
        <v>29</v>
      </c>
      <c r="S560" s="12" t="s">
        <v>2657</v>
      </c>
      <c r="T560" s="13">
        <v>45940</v>
      </c>
      <c r="U560" s="19"/>
      <c r="V560" s="53">
        <f>M560-Z560-AB560-AD560-AF560-AH560-AJ560-AL560-AN560-AP560-AR560-AT560-AV560-AX560-AZ560-BB560-BD560-BF560-BH560-U560</f>
        <v>-3.7000000000000028</v>
      </c>
      <c r="W560" s="22" t="s">
        <v>2775</v>
      </c>
      <c r="X560" s="16" t="s">
        <v>29</v>
      </c>
      <c r="Y560" s="9"/>
      <c r="Z560" s="19">
        <v>103.7</v>
      </c>
      <c r="AA560" s="252">
        <v>45932</v>
      </c>
    </row>
    <row r="561" spans="1:29" s="28" customFormat="1" ht="20.25" customHeight="1">
      <c r="A561" s="11">
        <v>45922</v>
      </c>
      <c r="B561" s="16" t="s">
        <v>2755</v>
      </c>
      <c r="C561" s="16" t="s">
        <v>400</v>
      </c>
      <c r="D561" s="16" t="s">
        <v>212</v>
      </c>
      <c r="E561" s="16" t="s">
        <v>25</v>
      </c>
      <c r="F561" s="16" t="s">
        <v>2763</v>
      </c>
      <c r="G561" s="16" t="s">
        <v>71</v>
      </c>
      <c r="H561" s="16" t="s">
        <v>31</v>
      </c>
      <c r="I561" s="16"/>
      <c r="J561" s="16" t="s">
        <v>27</v>
      </c>
      <c r="K561" s="16" t="s">
        <v>1601</v>
      </c>
      <c r="L561" s="16" t="s">
        <v>35</v>
      </c>
      <c r="M561" s="17">
        <v>19.23</v>
      </c>
      <c r="N561" s="23">
        <v>1.31</v>
      </c>
      <c r="O561" s="16" t="s">
        <v>67</v>
      </c>
      <c r="P561" s="16" t="s">
        <v>63</v>
      </c>
      <c r="Q561" s="16" t="s">
        <v>474</v>
      </c>
      <c r="R561" s="16" t="s">
        <v>1387</v>
      </c>
      <c r="S561" s="12" t="s">
        <v>2657</v>
      </c>
      <c r="T561" s="13">
        <v>45926</v>
      </c>
      <c r="U561" s="19"/>
      <c r="V561" s="53">
        <f>M561-Z561-AB561-AD561-AF561-AH561-AJ561-AL561-AN561-AP561-AR561-AT561-AV561-AX561-AZ561-BB561-BD561-BF561-BH561-U561</f>
        <v>-0.87000000000000099</v>
      </c>
      <c r="W561" s="22" t="s">
        <v>2776</v>
      </c>
      <c r="X561" s="16" t="s">
        <v>29</v>
      </c>
      <c r="Y561" s="9"/>
      <c r="Z561" s="19">
        <v>20.100000000000001</v>
      </c>
      <c r="AA561" s="252">
        <v>45926</v>
      </c>
    </row>
    <row r="562" spans="1:29" s="28" customFormat="1" ht="20.25" customHeight="1">
      <c r="A562" s="11">
        <v>45922</v>
      </c>
      <c r="B562" s="16" t="s">
        <v>2756</v>
      </c>
      <c r="C562" s="16" t="s">
        <v>382</v>
      </c>
      <c r="D562" s="16" t="s">
        <v>212</v>
      </c>
      <c r="E562" s="16" t="s">
        <v>25</v>
      </c>
      <c r="F562" s="16" t="s">
        <v>2764</v>
      </c>
      <c r="G562" s="16" t="s">
        <v>71</v>
      </c>
      <c r="H562" s="16" t="s">
        <v>31</v>
      </c>
      <c r="I562" s="16"/>
      <c r="J562" s="16" t="s">
        <v>27</v>
      </c>
      <c r="K562" s="16" t="s">
        <v>230</v>
      </c>
      <c r="L562" s="16" t="s">
        <v>35</v>
      </c>
      <c r="M562" s="17">
        <v>9391.2999999999993</v>
      </c>
      <c r="N562" s="23">
        <v>1.3</v>
      </c>
      <c r="O562" s="16" t="s">
        <v>67</v>
      </c>
      <c r="P562" s="16" t="s">
        <v>63</v>
      </c>
      <c r="Q562" s="16" t="s">
        <v>2767</v>
      </c>
      <c r="R562" s="16" t="s">
        <v>2768</v>
      </c>
      <c r="S562" s="12" t="s">
        <v>2770</v>
      </c>
      <c r="T562" s="13">
        <v>45939</v>
      </c>
      <c r="U562" s="19"/>
      <c r="V562" s="53">
        <f>M562-Z562-AB562-AD562-AF562-AH562-AJ562-AL562-AN562-AP562-AR562-AT562-AV562-AX562-AZ562-BB562-BD562-BF562-BH562-U562</f>
        <v>-1.7000000000007276</v>
      </c>
      <c r="W562" s="22" t="s">
        <v>2777</v>
      </c>
      <c r="X562" s="16" t="s">
        <v>29</v>
      </c>
      <c r="Y562" s="9"/>
      <c r="Z562" s="19">
        <f>508.3+926+7958.7</f>
        <v>9393</v>
      </c>
      <c r="AA562" s="252">
        <v>45938</v>
      </c>
    </row>
    <row r="563" spans="1:29" s="36" customFormat="1" ht="20.25" customHeight="1">
      <c r="A563" s="7">
        <v>45922</v>
      </c>
      <c r="B563" s="19" t="s">
        <v>2757</v>
      </c>
      <c r="C563" s="19" t="s">
        <v>304</v>
      </c>
      <c r="D563" s="19" t="s">
        <v>212</v>
      </c>
      <c r="E563" s="19" t="s">
        <v>25</v>
      </c>
      <c r="F563" s="19" t="s">
        <v>2765</v>
      </c>
      <c r="G563" s="19" t="s">
        <v>71</v>
      </c>
      <c r="H563" s="19" t="s">
        <v>31</v>
      </c>
      <c r="I563" s="19"/>
      <c r="J563" s="19" t="s">
        <v>27</v>
      </c>
      <c r="K563" s="19" t="s">
        <v>214</v>
      </c>
      <c r="L563" s="19" t="s">
        <v>35</v>
      </c>
      <c r="M563" s="20">
        <v>50</v>
      </c>
      <c r="N563" s="25">
        <v>1.29</v>
      </c>
      <c r="O563" s="19" t="s">
        <v>1063</v>
      </c>
      <c r="P563" s="19" t="s">
        <v>63</v>
      </c>
      <c r="Q563" s="19" t="s">
        <v>29</v>
      </c>
      <c r="R563" s="19" t="s">
        <v>1576</v>
      </c>
      <c r="S563" s="45" t="s">
        <v>2657</v>
      </c>
      <c r="T563" s="8">
        <v>45936</v>
      </c>
      <c r="U563" s="19"/>
      <c r="V563" s="55">
        <f>M563-Z563-AB563-AD563-AF563-AH563-AJ563-AL563-AN563-AP563-AR563-AT563-AV563-AX563-AZ563-BB563-BD563-BF563-BH563-U563</f>
        <v>-2.7000000000000028</v>
      </c>
      <c r="W563" s="15" t="s">
        <v>2778</v>
      </c>
      <c r="X563" s="19" t="s">
        <v>29</v>
      </c>
      <c r="Y563" s="10"/>
      <c r="Z563" s="19">
        <v>52.7</v>
      </c>
      <c r="AA563" s="123">
        <v>45939</v>
      </c>
    </row>
    <row r="564" spans="1:29" s="28" customFormat="1" ht="20.25" customHeight="1">
      <c r="A564" s="11">
        <v>45923</v>
      </c>
      <c r="B564" s="16" t="s">
        <v>2779</v>
      </c>
      <c r="C564" s="16" t="s">
        <v>304</v>
      </c>
      <c r="D564" s="16" t="s">
        <v>212</v>
      </c>
      <c r="E564" s="16" t="s">
        <v>34</v>
      </c>
      <c r="F564" s="16" t="s">
        <v>2782</v>
      </c>
      <c r="G564" s="16" t="s">
        <v>71</v>
      </c>
      <c r="H564" s="16" t="s">
        <v>31</v>
      </c>
      <c r="I564" s="16"/>
      <c r="J564" s="16" t="s">
        <v>27</v>
      </c>
      <c r="K564" s="16" t="s">
        <v>2632</v>
      </c>
      <c r="L564" s="16" t="s">
        <v>35</v>
      </c>
      <c r="M564" s="17">
        <v>50</v>
      </c>
      <c r="N564" s="23">
        <v>1.29</v>
      </c>
      <c r="O564" s="16" t="s">
        <v>67</v>
      </c>
      <c r="P564" s="16" t="s">
        <v>63</v>
      </c>
      <c r="Q564" s="16" t="s">
        <v>29</v>
      </c>
      <c r="R564" s="16" t="s">
        <v>1580</v>
      </c>
      <c r="S564" s="12" t="s">
        <v>2683</v>
      </c>
      <c r="T564" s="13">
        <v>45944</v>
      </c>
      <c r="U564" s="19"/>
      <c r="V564" s="53">
        <f>M564-Z564-AB564-AD564-AF564-AH564-AJ564-AL564-AN564-AP564-AR564-AT564-AV564-AX564-AZ564-BB564-BD564-BF564-BH564-U564</f>
        <v>-0.70000000000000284</v>
      </c>
      <c r="W564" s="22" t="s">
        <v>2785</v>
      </c>
      <c r="X564" s="16" t="s">
        <v>1358</v>
      </c>
      <c r="Y564" s="9"/>
      <c r="Z564" s="19">
        <f>30.7+20</f>
        <v>50.7</v>
      </c>
      <c r="AA564" s="252">
        <v>45936</v>
      </c>
    </row>
    <row r="565" spans="1:29" s="28" customFormat="1" ht="20.25" customHeight="1">
      <c r="A565" s="11">
        <v>45923</v>
      </c>
      <c r="B565" s="16" t="s">
        <v>2780</v>
      </c>
      <c r="C565" s="16" t="s">
        <v>304</v>
      </c>
      <c r="D565" s="16" t="s">
        <v>212</v>
      </c>
      <c r="E565" s="16" t="s">
        <v>34</v>
      </c>
      <c r="F565" s="16" t="s">
        <v>2783</v>
      </c>
      <c r="G565" s="16" t="s">
        <v>71</v>
      </c>
      <c r="H565" s="16" t="s">
        <v>31</v>
      </c>
      <c r="I565" s="16"/>
      <c r="J565" s="16" t="s">
        <v>27</v>
      </c>
      <c r="K565" s="16" t="s">
        <v>2632</v>
      </c>
      <c r="L565" s="16" t="s">
        <v>35</v>
      </c>
      <c r="M565" s="17">
        <v>25</v>
      </c>
      <c r="N565" s="23">
        <v>1.29</v>
      </c>
      <c r="O565" s="16" t="s">
        <v>67</v>
      </c>
      <c r="P565" s="16" t="s">
        <v>63</v>
      </c>
      <c r="Q565" s="16" t="s">
        <v>29</v>
      </c>
      <c r="R565" s="16" t="s">
        <v>2413</v>
      </c>
      <c r="S565" s="12" t="s">
        <v>2683</v>
      </c>
      <c r="T565" s="13">
        <v>45944</v>
      </c>
      <c r="U565" s="19"/>
      <c r="V565" s="53">
        <f>M565-Z565-AB565-AD565-AF565-AH565-AJ565-AL565-AN565-AP565-AR565-AT565-AV565-AX565-AZ565-BB565-BD565-BF565-BH565-U565</f>
        <v>-6.3999999999999986</v>
      </c>
      <c r="W565" s="22" t="s">
        <v>2786</v>
      </c>
      <c r="X565" s="16" t="s">
        <v>76</v>
      </c>
      <c r="Y565" s="9"/>
      <c r="Z565" s="19">
        <v>31.4</v>
      </c>
      <c r="AA565" s="252">
        <v>45936</v>
      </c>
    </row>
    <row r="566" spans="1:29" s="28" customFormat="1" ht="20.25" customHeight="1">
      <c r="A566" s="11">
        <v>45923</v>
      </c>
      <c r="B566" s="16" t="s">
        <v>2781</v>
      </c>
      <c r="C566" s="16" t="s">
        <v>400</v>
      </c>
      <c r="D566" s="16" t="s">
        <v>212</v>
      </c>
      <c r="E566" s="16" t="s">
        <v>34</v>
      </c>
      <c r="F566" s="16" t="s">
        <v>2784</v>
      </c>
      <c r="G566" s="16" t="s">
        <v>71</v>
      </c>
      <c r="H566" s="16" t="s">
        <v>31</v>
      </c>
      <c r="I566" s="16"/>
      <c r="J566" s="16" t="s">
        <v>27</v>
      </c>
      <c r="K566" s="16" t="s">
        <v>1822</v>
      </c>
      <c r="L566" s="16" t="s">
        <v>35</v>
      </c>
      <c r="M566" s="17">
        <v>29.96</v>
      </c>
      <c r="N566" s="23">
        <v>1.31</v>
      </c>
      <c r="O566" s="16" t="s">
        <v>67</v>
      </c>
      <c r="P566" s="16" t="s">
        <v>63</v>
      </c>
      <c r="Q566" s="16" t="s">
        <v>474</v>
      </c>
      <c r="R566" s="16" t="s">
        <v>1387</v>
      </c>
      <c r="S566" s="12" t="s">
        <v>2683</v>
      </c>
      <c r="T566" s="13">
        <v>45944</v>
      </c>
      <c r="U566" s="19"/>
      <c r="V566" s="53">
        <f>M566-Z566-AB566-AD566-AF566-AH566-AJ566-AL566-AN566-AP566-AR566-AT566-AV566-AX566-AZ566-BB566-BD566-BF566-BH566-U566</f>
        <v>-0.93999999999999773</v>
      </c>
      <c r="W566" s="22" t="s">
        <v>2787</v>
      </c>
      <c r="X566" s="16" t="s">
        <v>1021</v>
      </c>
      <c r="Y566" s="9"/>
      <c r="Z566" s="19">
        <v>30.9</v>
      </c>
      <c r="AA566" s="252">
        <v>45939</v>
      </c>
    </row>
    <row r="567" spans="1:29" s="28" customFormat="1" ht="20.25" customHeight="1">
      <c r="A567" s="11">
        <v>45923</v>
      </c>
      <c r="B567" s="16" t="s">
        <v>2788</v>
      </c>
      <c r="C567" s="16" t="s">
        <v>1568</v>
      </c>
      <c r="D567" s="16" t="s">
        <v>212</v>
      </c>
      <c r="E567" s="16" t="s">
        <v>25</v>
      </c>
      <c r="F567" s="16" t="s">
        <v>2794</v>
      </c>
      <c r="G567" s="16" t="s">
        <v>71</v>
      </c>
      <c r="H567" s="16" t="s">
        <v>26</v>
      </c>
      <c r="I567" s="16"/>
      <c r="J567" s="16" t="s">
        <v>27</v>
      </c>
      <c r="K567" s="16" t="s">
        <v>218</v>
      </c>
      <c r="L567" s="16" t="s">
        <v>35</v>
      </c>
      <c r="M567" s="17">
        <v>4103</v>
      </c>
      <c r="N567" s="23">
        <v>1.31</v>
      </c>
      <c r="O567" s="16" t="s">
        <v>67</v>
      </c>
      <c r="P567" s="16" t="s">
        <v>63</v>
      </c>
      <c r="Q567" s="16" t="s">
        <v>29</v>
      </c>
      <c r="R567" s="16" t="s">
        <v>2801</v>
      </c>
      <c r="S567" s="12" t="s">
        <v>2813</v>
      </c>
      <c r="T567" s="13">
        <v>45944</v>
      </c>
      <c r="U567" s="19"/>
      <c r="V567" s="53">
        <f>M567-Z567-AB567-AD567-AF567-AH567-AJ567-AL567-AN567-AP567-AR567-AT567-AV567-AX567-AZ567-BB567-BD567-BF567-BH567-U567</f>
        <v>0</v>
      </c>
      <c r="W567" s="22" t="s">
        <v>2814</v>
      </c>
      <c r="X567" s="16" t="s">
        <v>29</v>
      </c>
      <c r="Y567" s="9"/>
      <c r="Z567" s="19">
        <v>1993.8</v>
      </c>
      <c r="AA567" s="252">
        <v>45937</v>
      </c>
      <c r="AB567" s="19">
        <v>2109.1999999999998</v>
      </c>
      <c r="AC567" s="252">
        <v>45940</v>
      </c>
    </row>
    <row r="568" spans="1:29" s="28" customFormat="1" ht="20.25" customHeight="1">
      <c r="A568" s="11">
        <v>45923</v>
      </c>
      <c r="B568" s="16" t="s">
        <v>2788</v>
      </c>
      <c r="C568" s="16" t="s">
        <v>1568</v>
      </c>
      <c r="D568" s="16" t="s">
        <v>212</v>
      </c>
      <c r="E568" s="16" t="s">
        <v>25</v>
      </c>
      <c r="F568" s="16" t="s">
        <v>2794</v>
      </c>
      <c r="G568" s="16" t="s">
        <v>71</v>
      </c>
      <c r="H568" s="16" t="s">
        <v>26</v>
      </c>
      <c r="I568" s="16"/>
      <c r="J568" s="16" t="s">
        <v>27</v>
      </c>
      <c r="K568" s="16" t="s">
        <v>2800</v>
      </c>
      <c r="L568" s="16" t="s">
        <v>35</v>
      </c>
      <c r="M568" s="17">
        <v>2663</v>
      </c>
      <c r="N568" s="23">
        <v>1.31</v>
      </c>
      <c r="O568" s="16" t="s">
        <v>67</v>
      </c>
      <c r="P568" s="16" t="s">
        <v>63</v>
      </c>
      <c r="Q568" s="16" t="s">
        <v>29</v>
      </c>
      <c r="R568" s="16" t="s">
        <v>2802</v>
      </c>
      <c r="S568" s="12" t="s">
        <v>2813</v>
      </c>
      <c r="T568" s="13">
        <v>45944</v>
      </c>
      <c r="U568" s="19"/>
      <c r="V568" s="53">
        <f>M568-Z568-AB568-AD568-AF568-AH568-AJ568-AL568-AN568-AP568-AR568-AT568-AV568-AX568-AZ568-BB568-BD568-BF568-BH568-U568</f>
        <v>-1.5999999999999091</v>
      </c>
      <c r="W568" s="22" t="s">
        <v>2815</v>
      </c>
      <c r="X568" s="16" t="s">
        <v>29</v>
      </c>
      <c r="Y568" s="9"/>
      <c r="Z568" s="19">
        <f>334.1+2066.5</f>
        <v>2400.6</v>
      </c>
      <c r="AA568" s="252">
        <v>45944</v>
      </c>
      <c r="AB568" s="19">
        <v>264</v>
      </c>
      <c r="AC568" s="252">
        <v>45951</v>
      </c>
    </row>
    <row r="569" spans="1:29" s="28" customFormat="1" ht="20.25" customHeight="1">
      <c r="A569" s="11">
        <v>45923</v>
      </c>
      <c r="B569" s="16" t="s">
        <v>2788</v>
      </c>
      <c r="C569" s="16" t="s">
        <v>1568</v>
      </c>
      <c r="D569" s="16" t="s">
        <v>212</v>
      </c>
      <c r="E569" s="16" t="s">
        <v>25</v>
      </c>
      <c r="F569" s="16" t="s">
        <v>2794</v>
      </c>
      <c r="G569" s="16" t="s">
        <v>71</v>
      </c>
      <c r="H569" s="16" t="s">
        <v>26</v>
      </c>
      <c r="I569" s="16"/>
      <c r="J569" s="16" t="s">
        <v>27</v>
      </c>
      <c r="K569" s="16" t="s">
        <v>372</v>
      </c>
      <c r="L569" s="16" t="s">
        <v>35</v>
      </c>
      <c r="M569" s="17">
        <v>2307</v>
      </c>
      <c r="N569" s="23">
        <v>1.31</v>
      </c>
      <c r="O569" s="16" t="s">
        <v>67</v>
      </c>
      <c r="P569" s="16" t="s">
        <v>63</v>
      </c>
      <c r="Q569" s="16" t="s">
        <v>29</v>
      </c>
      <c r="R569" s="16" t="s">
        <v>1721</v>
      </c>
      <c r="S569" s="12" t="s">
        <v>2813</v>
      </c>
      <c r="T569" s="13">
        <v>45944</v>
      </c>
      <c r="U569" s="19"/>
      <c r="V569" s="53">
        <f>M569-Z569-AB569-AD569-AF569-AH569-AJ569-AL569-AN569-AP569-AR569-AT569-AV569-AX569-AZ569-BB569-BD569-BF569-BH569-U569</f>
        <v>-0.1999999999998181</v>
      </c>
      <c r="W569" s="22" t="s">
        <v>2816</v>
      </c>
      <c r="X569" s="16" t="s">
        <v>29</v>
      </c>
      <c r="Y569" s="9"/>
      <c r="Z569" s="19">
        <v>2307.1999999999998</v>
      </c>
      <c r="AA569" s="252">
        <v>45933</v>
      </c>
    </row>
    <row r="570" spans="1:29" s="282" customFormat="1" ht="20.25" customHeight="1">
      <c r="A570" s="272">
        <v>45923</v>
      </c>
      <c r="B570" s="273" t="s">
        <v>2789</v>
      </c>
      <c r="C570" s="273" t="s">
        <v>290</v>
      </c>
      <c r="D570" s="273" t="s">
        <v>212</v>
      </c>
      <c r="E570" s="273" t="s">
        <v>25</v>
      </c>
      <c r="F570" s="273" t="s">
        <v>2795</v>
      </c>
      <c r="G570" s="273" t="s">
        <v>71</v>
      </c>
      <c r="H570" s="273" t="s">
        <v>31</v>
      </c>
      <c r="I570" s="273"/>
      <c r="J570" s="273" t="s">
        <v>27</v>
      </c>
      <c r="K570" s="273" t="s">
        <v>2766</v>
      </c>
      <c r="L570" s="273" t="s">
        <v>35</v>
      </c>
      <c r="M570" s="274"/>
      <c r="N570" s="275">
        <v>1.3</v>
      </c>
      <c r="O570" s="273" t="s">
        <v>67</v>
      </c>
      <c r="P570" s="273" t="s">
        <v>63</v>
      </c>
      <c r="Q570" s="273" t="s">
        <v>2803</v>
      </c>
      <c r="R570" s="273" t="s">
        <v>2804</v>
      </c>
      <c r="S570" s="276" t="s">
        <v>2813</v>
      </c>
      <c r="T570" s="277">
        <v>45944</v>
      </c>
      <c r="U570" s="278"/>
      <c r="V570" s="279">
        <f>M570-Z570-AB570-AD570-AF570-AH570-AJ570-AL570-AN570-AP570-AR570-AT570-AV570-AX570-AZ570-BB570-BD570-BF570-BH570-U570</f>
        <v>0</v>
      </c>
      <c r="W570" s="280" t="s">
        <v>2817</v>
      </c>
      <c r="X570" s="273" t="s">
        <v>2825</v>
      </c>
      <c r="Y570" s="322"/>
      <c r="Z570" s="322"/>
    </row>
    <row r="571" spans="1:29" s="282" customFormat="1" ht="20.25" customHeight="1">
      <c r="A571" s="272">
        <v>45923</v>
      </c>
      <c r="B571" s="273" t="s">
        <v>2790</v>
      </c>
      <c r="C571" s="273" t="s">
        <v>290</v>
      </c>
      <c r="D571" s="273" t="s">
        <v>212</v>
      </c>
      <c r="E571" s="273" t="s">
        <v>25</v>
      </c>
      <c r="F571" s="273" t="s">
        <v>2796</v>
      </c>
      <c r="G571" s="273" t="s">
        <v>71</v>
      </c>
      <c r="H571" s="273" t="s">
        <v>31</v>
      </c>
      <c r="I571" s="273"/>
      <c r="J571" s="273" t="s">
        <v>27</v>
      </c>
      <c r="K571" s="273" t="s">
        <v>2766</v>
      </c>
      <c r="L571" s="273" t="s">
        <v>35</v>
      </c>
      <c r="M571" s="274"/>
      <c r="N571" s="275">
        <v>1.3</v>
      </c>
      <c r="O571" s="273" t="s">
        <v>67</v>
      </c>
      <c r="P571" s="273" t="s">
        <v>63</v>
      </c>
      <c r="Q571" s="273" t="s">
        <v>2805</v>
      </c>
      <c r="R571" s="273" t="s">
        <v>2806</v>
      </c>
      <c r="S571" s="276" t="s">
        <v>2813</v>
      </c>
      <c r="T571" s="277">
        <v>45944</v>
      </c>
      <c r="U571" s="278"/>
      <c r="V571" s="279">
        <f>M571-Z571-AB571-AD571-AF571-AH571-AJ571-AL571-AN571-AP571-AR571-AT571-AV571-AX571-AZ571-BB571-BD571-BF571-BH571-U571</f>
        <v>0</v>
      </c>
      <c r="W571" s="280" t="s">
        <v>2818</v>
      </c>
      <c r="X571" s="273" t="s">
        <v>2825</v>
      </c>
      <c r="Y571" s="322"/>
      <c r="Z571" s="322"/>
    </row>
    <row r="572" spans="1:29" s="282" customFormat="1" ht="20.25" customHeight="1">
      <c r="A572" s="272">
        <v>45923</v>
      </c>
      <c r="B572" s="273" t="s">
        <v>2791</v>
      </c>
      <c r="C572" s="273" t="s">
        <v>290</v>
      </c>
      <c r="D572" s="273" t="s">
        <v>212</v>
      </c>
      <c r="E572" s="273" t="s">
        <v>25</v>
      </c>
      <c r="F572" s="273" t="s">
        <v>2797</v>
      </c>
      <c r="G572" s="273" t="s">
        <v>71</v>
      </c>
      <c r="H572" s="273" t="s">
        <v>31</v>
      </c>
      <c r="I572" s="273"/>
      <c r="J572" s="273" t="s">
        <v>27</v>
      </c>
      <c r="K572" s="273" t="s">
        <v>2766</v>
      </c>
      <c r="L572" s="273" t="s">
        <v>35</v>
      </c>
      <c r="M572" s="274"/>
      <c r="N572" s="275">
        <v>1.3</v>
      </c>
      <c r="O572" s="273" t="s">
        <v>67</v>
      </c>
      <c r="P572" s="273" t="s">
        <v>63</v>
      </c>
      <c r="Q572" s="273" t="s">
        <v>2807</v>
      </c>
      <c r="R572" s="273" t="s">
        <v>2808</v>
      </c>
      <c r="S572" s="276" t="s">
        <v>2813</v>
      </c>
      <c r="T572" s="277">
        <v>45944</v>
      </c>
      <c r="U572" s="278"/>
      <c r="V572" s="279">
        <f>M572-Z572-AB572-AD572-AF572-AH572-AJ572-AL572-AN572-AP572-AR572-AT572-AV572-AX572-AZ572-BB572-BD572-BF572-BH572-U572</f>
        <v>0</v>
      </c>
      <c r="W572" s="280" t="s">
        <v>2819</v>
      </c>
      <c r="X572" s="273" t="s">
        <v>2825</v>
      </c>
      <c r="Y572" s="322"/>
      <c r="Z572" s="322"/>
    </row>
    <row r="573" spans="1:29" s="282" customFormat="1" ht="20.25" customHeight="1">
      <c r="A573" s="272">
        <v>45923</v>
      </c>
      <c r="B573" s="273" t="s">
        <v>2792</v>
      </c>
      <c r="C573" s="273" t="s">
        <v>290</v>
      </c>
      <c r="D573" s="273" t="s">
        <v>212</v>
      </c>
      <c r="E573" s="273" t="s">
        <v>25</v>
      </c>
      <c r="F573" s="273" t="s">
        <v>2798</v>
      </c>
      <c r="G573" s="273" t="s">
        <v>71</v>
      </c>
      <c r="H573" s="273" t="s">
        <v>31</v>
      </c>
      <c r="I573" s="273"/>
      <c r="J573" s="273" t="s">
        <v>27</v>
      </c>
      <c r="K573" s="273" t="s">
        <v>2766</v>
      </c>
      <c r="L573" s="273" t="s">
        <v>35</v>
      </c>
      <c r="M573" s="274"/>
      <c r="N573" s="275">
        <v>1.3</v>
      </c>
      <c r="O573" s="273" t="s">
        <v>67</v>
      </c>
      <c r="P573" s="273" t="s">
        <v>63</v>
      </c>
      <c r="Q573" s="273" t="s">
        <v>2809</v>
      </c>
      <c r="R573" s="273" t="s">
        <v>2810</v>
      </c>
      <c r="S573" s="276" t="s">
        <v>2813</v>
      </c>
      <c r="T573" s="277">
        <v>45944</v>
      </c>
      <c r="U573" s="278"/>
      <c r="V573" s="279">
        <f>M573-Z573-AB573-AD573-AF573-AH573-AJ573-AL573-AN573-AP573-AR573-AT573-AV573-AX573-AZ573-BB573-BD573-BF573-BH573-U573</f>
        <v>0</v>
      </c>
      <c r="W573" s="280" t="s">
        <v>2820</v>
      </c>
      <c r="X573" s="273" t="s">
        <v>2825</v>
      </c>
      <c r="Y573" s="322"/>
      <c r="Z573" s="322"/>
    </row>
    <row r="574" spans="1:29" s="282" customFormat="1" ht="20.25" customHeight="1">
      <c r="A574" s="272">
        <v>45923</v>
      </c>
      <c r="B574" s="273" t="s">
        <v>2793</v>
      </c>
      <c r="C574" s="273" t="s">
        <v>290</v>
      </c>
      <c r="D574" s="273" t="s">
        <v>212</v>
      </c>
      <c r="E574" s="273" t="s">
        <v>25</v>
      </c>
      <c r="F574" s="273" t="s">
        <v>2799</v>
      </c>
      <c r="G574" s="273" t="s">
        <v>71</v>
      </c>
      <c r="H574" s="273" t="s">
        <v>31</v>
      </c>
      <c r="I574" s="273"/>
      <c r="J574" s="273" t="s">
        <v>27</v>
      </c>
      <c r="K574" s="273" t="s">
        <v>2766</v>
      </c>
      <c r="L574" s="273" t="s">
        <v>35</v>
      </c>
      <c r="M574" s="274"/>
      <c r="N574" s="275">
        <v>1.3</v>
      </c>
      <c r="O574" s="273" t="s">
        <v>67</v>
      </c>
      <c r="P574" s="273" t="s">
        <v>63</v>
      </c>
      <c r="Q574" s="273" t="s">
        <v>2811</v>
      </c>
      <c r="R574" s="273" t="s">
        <v>2812</v>
      </c>
      <c r="S574" s="276" t="s">
        <v>2813</v>
      </c>
      <c r="T574" s="277">
        <v>45944</v>
      </c>
      <c r="U574" s="278"/>
      <c r="V574" s="279">
        <f>M574-Z574-AB574-AD574-AF574-AH574-AJ574-AL574-AN574-AP574-AR574-AT574-AV574-AX574-AZ574-BB574-BD574-BF574-BH574-U574</f>
        <v>0</v>
      </c>
      <c r="W574" s="280" t="s">
        <v>2821</v>
      </c>
      <c r="X574" s="273" t="s">
        <v>2825</v>
      </c>
      <c r="Y574" s="322"/>
      <c r="Z574" s="322"/>
    </row>
    <row r="575" spans="1:29" s="28" customFormat="1" ht="20.25" customHeight="1">
      <c r="A575" s="11">
        <v>45924</v>
      </c>
      <c r="B575" s="16" t="s">
        <v>2788</v>
      </c>
      <c r="C575" s="16" t="s">
        <v>1568</v>
      </c>
      <c r="D575" s="16" t="s">
        <v>212</v>
      </c>
      <c r="E575" s="16" t="s">
        <v>25</v>
      </c>
      <c r="F575" s="16" t="s">
        <v>2794</v>
      </c>
      <c r="G575" s="16" t="s">
        <v>71</v>
      </c>
      <c r="H575" s="16" t="s">
        <v>31</v>
      </c>
      <c r="I575" s="16"/>
      <c r="J575" s="16" t="s">
        <v>27</v>
      </c>
      <c r="K575" s="16" t="s">
        <v>250</v>
      </c>
      <c r="L575" s="16" t="s">
        <v>35</v>
      </c>
      <c r="M575" s="17">
        <v>222</v>
      </c>
      <c r="N575" s="23">
        <v>0</v>
      </c>
      <c r="O575" s="16" t="s">
        <v>67</v>
      </c>
      <c r="P575" s="16" t="s">
        <v>63</v>
      </c>
      <c r="Q575" s="16" t="s">
        <v>29</v>
      </c>
      <c r="R575" s="16" t="s">
        <v>2826</v>
      </c>
      <c r="S575" s="12" t="s">
        <v>2813</v>
      </c>
      <c r="T575" s="13">
        <v>45944</v>
      </c>
      <c r="U575" s="19"/>
      <c r="V575" s="53">
        <f>M575-Z575-AB575-AD575-AF575-AH575-AJ575-AL575-AN575-AP575-AR575-AT575-AV575-AX575-AZ575-BB575-BD575-BF575-BH575-U575</f>
        <v>-0.59999999999999432</v>
      </c>
      <c r="W575" s="22" t="s">
        <v>2827</v>
      </c>
      <c r="X575" s="16"/>
      <c r="Y575" s="9"/>
      <c r="Z575" s="19">
        <v>222.6</v>
      </c>
      <c r="AA575" s="252">
        <v>45933</v>
      </c>
    </row>
    <row r="576" spans="1:29" s="28" customFormat="1" ht="20.25" customHeight="1">
      <c r="A576" s="11">
        <v>45924</v>
      </c>
      <c r="B576" s="16" t="s">
        <v>2828</v>
      </c>
      <c r="C576" s="16" t="s">
        <v>243</v>
      </c>
      <c r="D576" s="16" t="s">
        <v>212</v>
      </c>
      <c r="E576" s="16" t="s">
        <v>25</v>
      </c>
      <c r="F576" s="16" t="s">
        <v>2844</v>
      </c>
      <c r="G576" s="16" t="s">
        <v>71</v>
      </c>
      <c r="H576" s="16" t="s">
        <v>31</v>
      </c>
      <c r="I576" s="16"/>
      <c r="J576" s="16" t="s">
        <v>27</v>
      </c>
      <c r="K576" s="16" t="s">
        <v>332</v>
      </c>
      <c r="L576" s="16" t="s">
        <v>35</v>
      </c>
      <c r="M576" s="17">
        <v>175</v>
      </c>
      <c r="N576" s="23">
        <v>1.31</v>
      </c>
      <c r="O576" s="16" t="s">
        <v>67</v>
      </c>
      <c r="P576" s="16" t="s">
        <v>63</v>
      </c>
      <c r="Q576" s="16" t="s">
        <v>920</v>
      </c>
      <c r="R576" s="16" t="s">
        <v>2051</v>
      </c>
      <c r="S576" s="12" t="s">
        <v>2867</v>
      </c>
      <c r="T576" s="13">
        <v>45945</v>
      </c>
      <c r="U576" s="19"/>
      <c r="V576" s="53">
        <f>M576-Z576-AB576-AD576-AF576-AH576-AJ576-AL576-AN576-AP576-AR576-AT576-AV576-AX576-AZ576-BB576-BD576-BF576-BH576-U576</f>
        <v>-2.7000000000000171</v>
      </c>
      <c r="W576" s="22" t="s">
        <v>2868</v>
      </c>
      <c r="X576" s="16" t="s">
        <v>29</v>
      </c>
      <c r="Y576" s="9" t="s">
        <v>1021</v>
      </c>
      <c r="Z576" s="19">
        <f>149.3+28.4</f>
        <v>177.70000000000002</v>
      </c>
      <c r="AA576" s="252">
        <v>45946</v>
      </c>
    </row>
    <row r="577" spans="1:31" s="28" customFormat="1" ht="20.25" customHeight="1">
      <c r="A577" s="11">
        <v>45924</v>
      </c>
      <c r="B577" s="16" t="s">
        <v>2829</v>
      </c>
      <c r="C577" s="16" t="s">
        <v>243</v>
      </c>
      <c r="D577" s="16" t="s">
        <v>212</v>
      </c>
      <c r="E577" s="16" t="s">
        <v>25</v>
      </c>
      <c r="F577" s="16" t="s">
        <v>2845</v>
      </c>
      <c r="G577" s="16" t="s">
        <v>71</v>
      </c>
      <c r="H577" s="16" t="s">
        <v>31</v>
      </c>
      <c r="I577" s="16"/>
      <c r="J577" s="16" t="s">
        <v>27</v>
      </c>
      <c r="K577" s="16" t="s">
        <v>2123</v>
      </c>
      <c r="L577" s="16" t="s">
        <v>35</v>
      </c>
      <c r="M577" s="17">
        <v>78.900000000000006</v>
      </c>
      <c r="N577" s="23">
        <v>1.31</v>
      </c>
      <c r="O577" s="16" t="s">
        <v>67</v>
      </c>
      <c r="P577" s="16" t="s">
        <v>63</v>
      </c>
      <c r="Q577" s="16" t="s">
        <v>2861</v>
      </c>
      <c r="R577" s="16" t="s">
        <v>2862</v>
      </c>
      <c r="S577" s="12" t="s">
        <v>2867</v>
      </c>
      <c r="T577" s="13">
        <v>45945</v>
      </c>
      <c r="U577" s="19"/>
      <c r="V577" s="53">
        <f>M577-Z577-AB577-AD577-AF577-AH577-AJ577-AL577-AN577-AP577-AR577-AT577-AV577-AX577-AZ577-BB577-BD577-BF577-BH577-U577</f>
        <v>0</v>
      </c>
      <c r="W577" s="22" t="s">
        <v>2869</v>
      </c>
      <c r="X577" s="16" t="s">
        <v>29</v>
      </c>
      <c r="Y577" s="9"/>
      <c r="Z577" s="19">
        <v>78.900000000000006</v>
      </c>
      <c r="AA577" s="252">
        <v>45938</v>
      </c>
    </row>
    <row r="578" spans="1:31" s="28" customFormat="1" ht="20.25" customHeight="1">
      <c r="A578" s="11">
        <v>45924</v>
      </c>
      <c r="B578" s="16" t="s">
        <v>2830</v>
      </c>
      <c r="C578" s="16" t="s">
        <v>1568</v>
      </c>
      <c r="D578" s="16" t="s">
        <v>212</v>
      </c>
      <c r="E578" s="16" t="s">
        <v>25</v>
      </c>
      <c r="F578" s="16" t="s">
        <v>2846</v>
      </c>
      <c r="G578" s="16" t="s">
        <v>71</v>
      </c>
      <c r="H578" s="16" t="s">
        <v>31</v>
      </c>
      <c r="I578" s="16"/>
      <c r="J578" s="16" t="s">
        <v>27</v>
      </c>
      <c r="K578" s="16" t="s">
        <v>1822</v>
      </c>
      <c r="L578" s="16" t="s">
        <v>35</v>
      </c>
      <c r="M578" s="17">
        <v>531</v>
      </c>
      <c r="N578" s="23">
        <v>1.31</v>
      </c>
      <c r="O578" s="16" t="s">
        <v>67</v>
      </c>
      <c r="P578" s="16" t="s">
        <v>63</v>
      </c>
      <c r="Q578" s="16" t="s">
        <v>29</v>
      </c>
      <c r="R578" s="16" t="s">
        <v>775</v>
      </c>
      <c r="S578" s="12" t="s">
        <v>2707</v>
      </c>
      <c r="T578" s="13">
        <v>45947</v>
      </c>
      <c r="U578" s="19"/>
      <c r="V578" s="53">
        <f>M578-Z578-AB578-AD578-AF578-AH578-AJ578-AL578-AN578-AP578-AR578-AT578-AV578-AX578-AZ578-BB578-BD578-BF578-BH578-U578</f>
        <v>-3</v>
      </c>
      <c r="W578" s="22" t="s">
        <v>2870</v>
      </c>
      <c r="X578" s="16" t="s">
        <v>29</v>
      </c>
      <c r="Y578" s="9"/>
      <c r="Z578" s="19">
        <v>534</v>
      </c>
      <c r="AA578" s="252">
        <v>45961</v>
      </c>
    </row>
    <row r="579" spans="1:31" s="28" customFormat="1" ht="20.25" customHeight="1">
      <c r="A579" s="11">
        <v>45924</v>
      </c>
      <c r="B579" s="16" t="s">
        <v>2830</v>
      </c>
      <c r="C579" s="16" t="s">
        <v>1568</v>
      </c>
      <c r="D579" s="16" t="s">
        <v>212</v>
      </c>
      <c r="E579" s="16" t="s">
        <v>25</v>
      </c>
      <c r="F579" s="16" t="s">
        <v>2846</v>
      </c>
      <c r="G579" s="16" t="s">
        <v>71</v>
      </c>
      <c r="H579" s="16" t="s">
        <v>31</v>
      </c>
      <c r="I579" s="1"/>
      <c r="J579" s="1" t="s">
        <v>27</v>
      </c>
      <c r="K579" s="16" t="s">
        <v>1328</v>
      </c>
      <c r="L579" s="1" t="s">
        <v>35</v>
      </c>
      <c r="M579" s="17">
        <v>3273</v>
      </c>
      <c r="N579" s="6">
        <v>1.31</v>
      </c>
      <c r="O579" s="1" t="s">
        <v>67</v>
      </c>
      <c r="P579" s="1" t="s">
        <v>63</v>
      </c>
      <c r="Q579" s="1" t="s">
        <v>29</v>
      </c>
      <c r="R579" s="1" t="s">
        <v>2496</v>
      </c>
      <c r="S579" s="121" t="s">
        <v>2867</v>
      </c>
      <c r="T579" s="13">
        <v>45947</v>
      </c>
      <c r="U579" s="19"/>
      <c r="V579" s="53">
        <f>M579-Z579-AB579-AD579-AF579-AH579-AJ579-AL579-AN579-AP579-AR579-AT579-AV579-AX579-AZ579-BB579-BD579-BF579-BH579-U579</f>
        <v>-5.2000000000000455</v>
      </c>
      <c r="W579" s="22" t="s">
        <v>2871</v>
      </c>
      <c r="X579" s="16" t="s">
        <v>29</v>
      </c>
      <c r="Y579" s="9"/>
      <c r="Z579" s="19">
        <v>129.4</v>
      </c>
      <c r="AA579" s="252">
        <v>45933</v>
      </c>
      <c r="AB579" s="19">
        <f>70.1+1485.5+1162.9</f>
        <v>2718.5</v>
      </c>
      <c r="AC579" s="252">
        <v>45951</v>
      </c>
      <c r="AD579" s="19">
        <f>313.9+116.4</f>
        <v>430.29999999999995</v>
      </c>
      <c r="AE579" s="252">
        <v>45954</v>
      </c>
    </row>
    <row r="580" spans="1:31" s="36" customFormat="1" ht="20.25" customHeight="1">
      <c r="A580" s="7">
        <v>45924</v>
      </c>
      <c r="B580" s="19" t="s">
        <v>2831</v>
      </c>
      <c r="C580" s="19" t="s">
        <v>304</v>
      </c>
      <c r="D580" s="19" t="s">
        <v>212</v>
      </c>
      <c r="E580" s="19" t="s">
        <v>25</v>
      </c>
      <c r="F580" s="19" t="s">
        <v>2847</v>
      </c>
      <c r="G580" s="19" t="s">
        <v>71</v>
      </c>
      <c r="H580" s="19" t="s">
        <v>31</v>
      </c>
      <c r="I580" s="19"/>
      <c r="J580" s="19" t="s">
        <v>27</v>
      </c>
      <c r="K580" s="19" t="s">
        <v>2860</v>
      </c>
      <c r="L580" s="19" t="s">
        <v>35</v>
      </c>
      <c r="M580" s="20">
        <v>50</v>
      </c>
      <c r="N580" s="25">
        <v>1.29</v>
      </c>
      <c r="O580" s="19" t="s">
        <v>67</v>
      </c>
      <c r="P580" s="19" t="s">
        <v>63</v>
      </c>
      <c r="Q580" s="19" t="s">
        <v>29</v>
      </c>
      <c r="R580" s="19" t="s">
        <v>2863</v>
      </c>
      <c r="S580" s="45" t="s">
        <v>2707</v>
      </c>
      <c r="T580" s="8">
        <v>45938</v>
      </c>
      <c r="U580" s="19"/>
      <c r="V580" s="55">
        <f>M580-Z580-AB580-AD580-AF580-AH580-AJ580-AL580-AN580-AP580-AR580-AT580-AV580-AX580-AZ580-BB580-BD580-BF580-BH580-U580</f>
        <v>-1.5</v>
      </c>
      <c r="W580" s="15" t="s">
        <v>2872</v>
      </c>
      <c r="X580" s="19" t="s">
        <v>29</v>
      </c>
      <c r="Y580" s="10"/>
      <c r="Z580" s="19">
        <v>51.5</v>
      </c>
      <c r="AA580" s="123">
        <v>45939</v>
      </c>
    </row>
    <row r="581" spans="1:31" s="36" customFormat="1" ht="20.25" customHeight="1">
      <c r="A581" s="7">
        <v>45924</v>
      </c>
      <c r="B581" s="19" t="s">
        <v>2832</v>
      </c>
      <c r="C581" s="19" t="s">
        <v>304</v>
      </c>
      <c r="D581" s="19" t="s">
        <v>212</v>
      </c>
      <c r="E581" s="19" t="s">
        <v>25</v>
      </c>
      <c r="F581" s="19" t="s">
        <v>2848</v>
      </c>
      <c r="G581" s="19" t="s">
        <v>71</v>
      </c>
      <c r="H581" s="19" t="s">
        <v>31</v>
      </c>
      <c r="I581" s="19"/>
      <c r="J581" s="19" t="s">
        <v>27</v>
      </c>
      <c r="K581" s="19" t="s">
        <v>372</v>
      </c>
      <c r="L581" s="19" t="s">
        <v>35</v>
      </c>
      <c r="M581" s="20">
        <v>25</v>
      </c>
      <c r="N581" s="25">
        <v>1.29</v>
      </c>
      <c r="O581" s="19" t="s">
        <v>67</v>
      </c>
      <c r="P581" s="19" t="s">
        <v>63</v>
      </c>
      <c r="Q581" s="19" t="s">
        <v>29</v>
      </c>
      <c r="R581" s="19" t="s">
        <v>2863</v>
      </c>
      <c r="S581" s="45" t="s">
        <v>2707</v>
      </c>
      <c r="T581" s="8">
        <v>45938</v>
      </c>
      <c r="U581" s="19"/>
      <c r="V581" s="55">
        <f>M581-Z581-AB581-AD581-AF581-AH581-AJ581-AL581-AN581-AP581-AR581-AT581-AV581-AX581-AZ581-BB581-BD581-BF581-BH581-U581</f>
        <v>-0.10000000000000142</v>
      </c>
      <c r="W581" s="15" t="s">
        <v>2873</v>
      </c>
      <c r="X581" s="19" t="s">
        <v>29</v>
      </c>
      <c r="Y581" s="10"/>
      <c r="Z581" s="19">
        <v>25.1</v>
      </c>
      <c r="AA581" s="123">
        <v>45939</v>
      </c>
    </row>
    <row r="582" spans="1:31" s="122" customFormat="1" ht="20.25" customHeight="1">
      <c r="A582" s="300">
        <v>45924</v>
      </c>
      <c r="B582" s="301" t="s">
        <v>2832</v>
      </c>
      <c r="C582" s="301" t="s">
        <v>304</v>
      </c>
      <c r="D582" s="301" t="s">
        <v>212</v>
      </c>
      <c r="E582" s="301" t="s">
        <v>25</v>
      </c>
      <c r="F582" s="301" t="s">
        <v>2848</v>
      </c>
      <c r="G582" s="301" t="s">
        <v>71</v>
      </c>
      <c r="H582" s="301" t="s">
        <v>31</v>
      </c>
      <c r="I582" s="301"/>
      <c r="J582" s="301" t="s">
        <v>27</v>
      </c>
      <c r="K582" s="301" t="s">
        <v>2632</v>
      </c>
      <c r="L582" s="301" t="s">
        <v>35</v>
      </c>
      <c r="M582" s="302">
        <v>25</v>
      </c>
      <c r="N582" s="303">
        <v>1.29</v>
      </c>
      <c r="O582" s="301" t="s">
        <v>67</v>
      </c>
      <c r="P582" s="301" t="s">
        <v>63</v>
      </c>
      <c r="Q582" s="301" t="s">
        <v>29</v>
      </c>
      <c r="R582" s="301" t="s">
        <v>2864</v>
      </c>
      <c r="S582" s="304" t="s">
        <v>2707</v>
      </c>
      <c r="T582" s="305">
        <v>45938</v>
      </c>
      <c r="U582" s="301"/>
      <c r="V582" s="306">
        <f>M582-Z582-AB582-AD582-AF582-AH582-AJ582-AL582-AN582-AP582-AR582-AT582-AV582-AX582-AZ582-BB582-BD582-BF582-BH582-U582</f>
        <v>-4.1999999999999993</v>
      </c>
      <c r="W582" s="307" t="s">
        <v>2874</v>
      </c>
      <c r="X582" s="301" t="s">
        <v>29</v>
      </c>
      <c r="Y582" s="335"/>
      <c r="Z582" s="301">
        <v>29.2</v>
      </c>
      <c r="AA582" s="312">
        <v>45936</v>
      </c>
    </row>
    <row r="583" spans="1:31" s="36" customFormat="1" ht="20.25" customHeight="1">
      <c r="A583" s="7">
        <v>45924</v>
      </c>
      <c r="B583" s="19" t="s">
        <v>2833</v>
      </c>
      <c r="C583" s="19" t="s">
        <v>304</v>
      </c>
      <c r="D583" s="19" t="s">
        <v>212</v>
      </c>
      <c r="E583" s="19" t="s">
        <v>25</v>
      </c>
      <c r="F583" s="19" t="s">
        <v>2849</v>
      </c>
      <c r="G583" s="19" t="s">
        <v>71</v>
      </c>
      <c r="H583" s="19" t="s">
        <v>31</v>
      </c>
      <c r="I583" s="19"/>
      <c r="J583" s="19" t="s">
        <v>27</v>
      </c>
      <c r="K583" s="19" t="s">
        <v>2860</v>
      </c>
      <c r="L583" s="19" t="s">
        <v>35</v>
      </c>
      <c r="M583" s="20">
        <v>3865</v>
      </c>
      <c r="N583" s="25">
        <v>1.29</v>
      </c>
      <c r="O583" s="19" t="s">
        <v>67</v>
      </c>
      <c r="P583" s="19" t="s">
        <v>63</v>
      </c>
      <c r="Q583" s="19" t="s">
        <v>29</v>
      </c>
      <c r="R583" s="19" t="s">
        <v>2863</v>
      </c>
      <c r="S583" s="45" t="s">
        <v>2707</v>
      </c>
      <c r="T583" s="8">
        <v>45938</v>
      </c>
      <c r="U583" s="19"/>
      <c r="V583" s="55">
        <f>M583-Z583-AB583-AD583-AF583-AH583-AJ583-AL583-AN583-AP583-AR583-AT583-AV583-AX583-AZ583-BB583-BD583-BF583-BH583-U583</f>
        <v>-4.3000000000001819</v>
      </c>
      <c r="W583" s="15" t="s">
        <v>2875</v>
      </c>
      <c r="X583" s="19" t="s">
        <v>29</v>
      </c>
      <c r="Y583" s="10"/>
      <c r="Z583" s="19">
        <v>3869.3</v>
      </c>
      <c r="AA583" s="123">
        <v>45939</v>
      </c>
    </row>
    <row r="584" spans="1:31" s="36" customFormat="1" ht="20.25" customHeight="1">
      <c r="A584" s="7">
        <v>45924</v>
      </c>
      <c r="B584" s="19" t="s">
        <v>2834</v>
      </c>
      <c r="C584" s="19" t="s">
        <v>304</v>
      </c>
      <c r="D584" s="19" t="s">
        <v>212</v>
      </c>
      <c r="E584" s="19" t="s">
        <v>25</v>
      </c>
      <c r="F584" s="19" t="s">
        <v>2850</v>
      </c>
      <c r="G584" s="19" t="s">
        <v>71</v>
      </c>
      <c r="H584" s="19" t="s">
        <v>31</v>
      </c>
      <c r="I584" s="19"/>
      <c r="J584" s="19" t="s">
        <v>27</v>
      </c>
      <c r="K584" s="19" t="s">
        <v>372</v>
      </c>
      <c r="L584" s="19" t="s">
        <v>35</v>
      </c>
      <c r="M584" s="20">
        <v>167</v>
      </c>
      <c r="N584" s="25">
        <v>1.29</v>
      </c>
      <c r="O584" s="19" t="s">
        <v>67</v>
      </c>
      <c r="P584" s="19" t="s">
        <v>63</v>
      </c>
      <c r="Q584" s="19" t="s">
        <v>29</v>
      </c>
      <c r="R584" s="19" t="s">
        <v>2865</v>
      </c>
      <c r="S584" s="45" t="s">
        <v>2707</v>
      </c>
      <c r="T584" s="8">
        <v>45938</v>
      </c>
      <c r="U584" s="19"/>
      <c r="V584" s="55">
        <f>M584-Z584-AB584-AD584-AF584-AH584-AJ584-AL584-AN584-AP584-AR584-AT584-AV584-AX584-AZ584-BB584-BD584-BF584-BH584-U584</f>
        <v>-3</v>
      </c>
      <c r="W584" s="15" t="s">
        <v>2876</v>
      </c>
      <c r="X584" s="19" t="s">
        <v>29</v>
      </c>
      <c r="Y584" s="10"/>
      <c r="Z584" s="19">
        <v>170</v>
      </c>
      <c r="AA584" s="123">
        <v>45939</v>
      </c>
    </row>
    <row r="585" spans="1:31" s="36" customFormat="1" ht="20.25" customHeight="1">
      <c r="A585" s="7">
        <v>45924</v>
      </c>
      <c r="B585" s="19" t="s">
        <v>2835</v>
      </c>
      <c r="C585" s="19" t="s">
        <v>304</v>
      </c>
      <c r="D585" s="19" t="s">
        <v>212</v>
      </c>
      <c r="E585" s="19" t="s">
        <v>25</v>
      </c>
      <c r="F585" s="19" t="s">
        <v>2851</v>
      </c>
      <c r="G585" s="19" t="s">
        <v>71</v>
      </c>
      <c r="H585" s="19" t="s">
        <v>31</v>
      </c>
      <c r="I585" s="19"/>
      <c r="J585" s="19" t="s">
        <v>27</v>
      </c>
      <c r="K585" s="19" t="s">
        <v>2860</v>
      </c>
      <c r="L585" s="19" t="s">
        <v>35</v>
      </c>
      <c r="M585" s="20">
        <v>510</v>
      </c>
      <c r="N585" s="25">
        <v>1.29</v>
      </c>
      <c r="O585" s="19" t="s">
        <v>67</v>
      </c>
      <c r="P585" s="19" t="s">
        <v>63</v>
      </c>
      <c r="Q585" s="19" t="s">
        <v>29</v>
      </c>
      <c r="R585" s="19" t="s">
        <v>2865</v>
      </c>
      <c r="S585" s="45" t="s">
        <v>2707</v>
      </c>
      <c r="T585" s="8">
        <v>45938</v>
      </c>
      <c r="U585" s="19"/>
      <c r="V585" s="55">
        <f>M585-Z585-AB585-AD585-AF585-AH585-AJ585-AL585-AN585-AP585-AR585-AT585-AV585-AX585-AZ585-BB585-BD585-BF585-BH585-U585</f>
        <v>-0.60000000000002274</v>
      </c>
      <c r="W585" s="15" t="s">
        <v>2877</v>
      </c>
      <c r="X585" s="19" t="s">
        <v>29</v>
      </c>
      <c r="Y585" s="10"/>
      <c r="Z585" s="19">
        <v>510.6</v>
      </c>
      <c r="AA585" s="123">
        <v>45939</v>
      </c>
    </row>
    <row r="586" spans="1:31" s="282" customFormat="1" ht="20.25" customHeight="1">
      <c r="A586" s="272">
        <v>45924</v>
      </c>
      <c r="B586" s="273" t="s">
        <v>2836</v>
      </c>
      <c r="C586" s="273" t="s">
        <v>304</v>
      </c>
      <c r="D586" s="273" t="s">
        <v>212</v>
      </c>
      <c r="E586" s="273" t="s">
        <v>25</v>
      </c>
      <c r="F586" s="273" t="s">
        <v>2852</v>
      </c>
      <c r="G586" s="273" t="s">
        <v>71</v>
      </c>
      <c r="H586" s="273" t="s">
        <v>31</v>
      </c>
      <c r="I586" s="273"/>
      <c r="J586" s="273" t="s">
        <v>27</v>
      </c>
      <c r="K586" s="273" t="s">
        <v>598</v>
      </c>
      <c r="L586" s="273" t="s">
        <v>35</v>
      </c>
      <c r="M586" s="274"/>
      <c r="N586" s="275">
        <v>1.29</v>
      </c>
      <c r="O586" s="273" t="s">
        <v>67</v>
      </c>
      <c r="P586" s="273" t="s">
        <v>63</v>
      </c>
      <c r="Q586" s="273" t="s">
        <v>29</v>
      </c>
      <c r="R586" s="273" t="s">
        <v>2865</v>
      </c>
      <c r="S586" s="276" t="s">
        <v>2707</v>
      </c>
      <c r="T586" s="277">
        <v>45938</v>
      </c>
      <c r="U586" s="278"/>
      <c r="V586" s="279">
        <f>M586-Z586-AB586-AD586-AF586-AH586-AJ586-AL586-AN586-AP586-AR586-AT586-AV586-AX586-AZ586-BB586-BD586-BF586-BH586-U586</f>
        <v>0</v>
      </c>
      <c r="W586" s="280" t="s">
        <v>2878</v>
      </c>
      <c r="X586" s="273" t="s">
        <v>29</v>
      </c>
      <c r="Y586" s="322"/>
      <c r="Z586" s="322"/>
    </row>
    <row r="587" spans="1:31" s="36" customFormat="1" ht="20.25" customHeight="1">
      <c r="A587" s="7">
        <v>45924</v>
      </c>
      <c r="B587" s="19" t="s">
        <v>2837</v>
      </c>
      <c r="C587" s="19" t="s">
        <v>304</v>
      </c>
      <c r="D587" s="19" t="s">
        <v>212</v>
      </c>
      <c r="E587" s="19" t="s">
        <v>25</v>
      </c>
      <c r="F587" s="19" t="s">
        <v>2853</v>
      </c>
      <c r="G587" s="19" t="s">
        <v>71</v>
      </c>
      <c r="H587" s="19" t="s">
        <v>31</v>
      </c>
      <c r="I587" s="19"/>
      <c r="J587" s="19" t="s">
        <v>27</v>
      </c>
      <c r="K587" s="19" t="s">
        <v>760</v>
      </c>
      <c r="L587" s="19" t="s">
        <v>35</v>
      </c>
      <c r="M587" s="20">
        <v>1200</v>
      </c>
      <c r="N587" s="25">
        <v>1.29</v>
      </c>
      <c r="O587" s="19" t="s">
        <v>67</v>
      </c>
      <c r="P587" s="19" t="s">
        <v>63</v>
      </c>
      <c r="Q587" s="19" t="s">
        <v>29</v>
      </c>
      <c r="R587" s="19" t="s">
        <v>1419</v>
      </c>
      <c r="S587" s="45" t="s">
        <v>2707</v>
      </c>
      <c r="T587" s="8">
        <v>45938</v>
      </c>
      <c r="U587" s="19"/>
      <c r="V587" s="55">
        <f>M587-Z587-AB587-AD587-AF587-AH587-AJ587-AL587-AN587-AP587-AR587-AT587-AV587-AX587-AZ587-BB587-BD587-BF587-BH587-U587</f>
        <v>-1</v>
      </c>
      <c r="W587" s="15" t="s">
        <v>2879</v>
      </c>
      <c r="X587" s="19" t="s">
        <v>3119</v>
      </c>
      <c r="Y587" s="10" t="s">
        <v>3211</v>
      </c>
      <c r="Z587" s="19">
        <v>765.1</v>
      </c>
      <c r="AA587" s="123">
        <v>45936</v>
      </c>
      <c r="AB587" s="19">
        <v>435.9</v>
      </c>
      <c r="AC587" s="123">
        <v>45940</v>
      </c>
    </row>
    <row r="588" spans="1:31" s="282" customFormat="1" ht="20.25" customHeight="1">
      <c r="A588" s="272">
        <v>45924</v>
      </c>
      <c r="B588" s="273" t="s">
        <v>2838</v>
      </c>
      <c r="C588" s="273" t="s">
        <v>304</v>
      </c>
      <c r="D588" s="273" t="s">
        <v>212</v>
      </c>
      <c r="E588" s="273" t="s">
        <v>25</v>
      </c>
      <c r="F588" s="273" t="s">
        <v>2854</v>
      </c>
      <c r="G588" s="273" t="s">
        <v>71</v>
      </c>
      <c r="H588" s="273" t="s">
        <v>31</v>
      </c>
      <c r="I588" s="273"/>
      <c r="J588" s="273" t="s">
        <v>27</v>
      </c>
      <c r="K588" s="273" t="s">
        <v>250</v>
      </c>
      <c r="L588" s="273" t="s">
        <v>35</v>
      </c>
      <c r="M588" s="274"/>
      <c r="N588" s="275">
        <v>1.29</v>
      </c>
      <c r="O588" s="273" t="s">
        <v>67</v>
      </c>
      <c r="P588" s="273" t="s">
        <v>63</v>
      </c>
      <c r="Q588" s="273" t="s">
        <v>29</v>
      </c>
      <c r="R588" s="273" t="s">
        <v>2863</v>
      </c>
      <c r="S588" s="276" t="s">
        <v>2707</v>
      </c>
      <c r="T588" s="277">
        <v>45938</v>
      </c>
      <c r="U588" s="278"/>
      <c r="V588" s="279">
        <f>M588-Z588-AB588-AD588-AF588-AH588-AJ588-AL588-AN588-AP588-AR588-AT588-AV588-AX588-AZ588-BB588-BD588-BF588-BH588-U588</f>
        <v>0</v>
      </c>
      <c r="W588" s="280" t="s">
        <v>2880</v>
      </c>
      <c r="X588" s="273" t="s">
        <v>29</v>
      </c>
      <c r="Y588" s="322"/>
      <c r="Z588" s="322"/>
    </row>
    <row r="589" spans="1:31" s="36" customFormat="1" ht="20.25" customHeight="1">
      <c r="A589" s="7">
        <v>45924</v>
      </c>
      <c r="B589" s="19" t="s">
        <v>2839</v>
      </c>
      <c r="C589" s="19" t="s">
        <v>304</v>
      </c>
      <c r="D589" s="19" t="s">
        <v>212</v>
      </c>
      <c r="E589" s="19" t="s">
        <v>25</v>
      </c>
      <c r="F589" s="19" t="s">
        <v>2855</v>
      </c>
      <c r="G589" s="19" t="s">
        <v>71</v>
      </c>
      <c r="H589" s="19" t="s">
        <v>31</v>
      </c>
      <c r="I589" s="19"/>
      <c r="J589" s="19" t="s">
        <v>27</v>
      </c>
      <c r="K589" s="19" t="s">
        <v>2123</v>
      </c>
      <c r="L589" s="19" t="s">
        <v>35</v>
      </c>
      <c r="M589" s="20">
        <v>1035</v>
      </c>
      <c r="N589" s="25">
        <v>1.29</v>
      </c>
      <c r="O589" s="19" t="s">
        <v>67</v>
      </c>
      <c r="P589" s="19" t="s">
        <v>63</v>
      </c>
      <c r="Q589" s="19" t="s">
        <v>29</v>
      </c>
      <c r="R589" s="19" t="s">
        <v>2866</v>
      </c>
      <c r="S589" s="45" t="s">
        <v>2707</v>
      </c>
      <c r="T589" s="8">
        <v>45938</v>
      </c>
      <c r="U589" s="19"/>
      <c r="V589" s="55">
        <f>M589-Z589-AB589-AD589-AF589-AH589-AJ589-AL589-AN589-AP589-AR589-AT589-AV589-AX589-AZ589-BB589-BD589-BF589-BH589-U589</f>
        <v>-7.1000000000000227</v>
      </c>
      <c r="W589" s="15" t="s">
        <v>2881</v>
      </c>
      <c r="X589" s="19" t="s">
        <v>29</v>
      </c>
      <c r="Y589" s="10" t="s">
        <v>3210</v>
      </c>
      <c r="Z589" s="19">
        <v>112.6</v>
      </c>
      <c r="AA589" s="123">
        <v>45936</v>
      </c>
      <c r="AB589" s="19">
        <v>929.5</v>
      </c>
      <c r="AC589" s="123">
        <v>45940</v>
      </c>
    </row>
    <row r="590" spans="1:31" s="36" customFormat="1" ht="20.25" customHeight="1">
      <c r="A590" s="7">
        <v>45924</v>
      </c>
      <c r="B590" s="19" t="s">
        <v>2840</v>
      </c>
      <c r="C590" s="19" t="s">
        <v>304</v>
      </c>
      <c r="D590" s="19" t="s">
        <v>212</v>
      </c>
      <c r="E590" s="19" t="s">
        <v>25</v>
      </c>
      <c r="F590" s="19" t="s">
        <v>2856</v>
      </c>
      <c r="G590" s="19" t="s">
        <v>71</v>
      </c>
      <c r="H590" s="19" t="s">
        <v>31</v>
      </c>
      <c r="I590" s="19"/>
      <c r="J590" s="19" t="s">
        <v>27</v>
      </c>
      <c r="K590" s="19" t="s">
        <v>2860</v>
      </c>
      <c r="L590" s="19" t="s">
        <v>35</v>
      </c>
      <c r="M590" s="20">
        <v>2075</v>
      </c>
      <c r="N590" s="25">
        <v>1.29</v>
      </c>
      <c r="O590" s="19" t="s">
        <v>67</v>
      </c>
      <c r="P590" s="19" t="s">
        <v>63</v>
      </c>
      <c r="Q590" s="19" t="s">
        <v>29</v>
      </c>
      <c r="R590" s="19" t="s">
        <v>2863</v>
      </c>
      <c r="S590" s="45" t="s">
        <v>2707</v>
      </c>
      <c r="T590" s="8">
        <v>45938</v>
      </c>
      <c r="U590" s="19"/>
      <c r="V590" s="55">
        <f>M590-Z590-AB590-AD590-AF590-AH590-AJ590-AL590-AN590-AP590-AR590-AT590-AV590-AX590-AZ590-BB590-BD590-BF590-BH590-U590</f>
        <v>0</v>
      </c>
      <c r="W590" s="15" t="s">
        <v>2882</v>
      </c>
      <c r="X590" s="19" t="s">
        <v>29</v>
      </c>
      <c r="Y590" s="10"/>
      <c r="Z590" s="19">
        <f>98.3+1976.7</f>
        <v>2075</v>
      </c>
      <c r="AA590" s="123">
        <v>45939</v>
      </c>
    </row>
    <row r="591" spans="1:31" s="36" customFormat="1" ht="20.25" customHeight="1">
      <c r="A591" s="7">
        <v>45924</v>
      </c>
      <c r="B591" s="19" t="s">
        <v>2841</v>
      </c>
      <c r="C591" s="19" t="s">
        <v>304</v>
      </c>
      <c r="D591" s="19" t="s">
        <v>212</v>
      </c>
      <c r="E591" s="19" t="s">
        <v>25</v>
      </c>
      <c r="F591" s="19" t="s">
        <v>2857</v>
      </c>
      <c r="G591" s="19" t="s">
        <v>71</v>
      </c>
      <c r="H591" s="19" t="s">
        <v>31</v>
      </c>
      <c r="I591" s="19"/>
      <c r="J591" s="19" t="s">
        <v>27</v>
      </c>
      <c r="K591" s="19" t="s">
        <v>2530</v>
      </c>
      <c r="L591" s="19" t="s">
        <v>35</v>
      </c>
      <c r="M591" s="20">
        <v>1320</v>
      </c>
      <c r="N591" s="25">
        <v>1.29</v>
      </c>
      <c r="O591" s="19" t="s">
        <v>67</v>
      </c>
      <c r="P591" s="19" t="s">
        <v>63</v>
      </c>
      <c r="Q591" s="19" t="s">
        <v>29</v>
      </c>
      <c r="R591" s="19" t="s">
        <v>2716</v>
      </c>
      <c r="S591" s="45" t="s">
        <v>2707</v>
      </c>
      <c r="T591" s="8">
        <v>45938</v>
      </c>
      <c r="U591" s="19"/>
      <c r="V591" s="55">
        <f>M591-Z591-AB591-AD591-AF591-AH591-AJ591-AL591-AN591-AP591-AR591-AT591-AV591-AX591-AZ591-BB591-BD591-BF591-BH591-U591</f>
        <v>5.6843418860808015E-14</v>
      </c>
      <c r="W591" s="15" t="s">
        <v>2883</v>
      </c>
      <c r="X591" s="19" t="s">
        <v>29</v>
      </c>
      <c r="Y591" s="10"/>
      <c r="Z591" s="19">
        <v>1091.8</v>
      </c>
      <c r="AA591" s="123">
        <v>45932</v>
      </c>
      <c r="AB591" s="19">
        <v>228.2</v>
      </c>
      <c r="AC591" s="123">
        <v>45936</v>
      </c>
    </row>
    <row r="592" spans="1:31" s="282" customFormat="1" ht="20.25" customHeight="1">
      <c r="A592" s="272">
        <v>45924</v>
      </c>
      <c r="B592" s="273" t="s">
        <v>2842</v>
      </c>
      <c r="C592" s="273" t="s">
        <v>304</v>
      </c>
      <c r="D592" s="273" t="s">
        <v>212</v>
      </c>
      <c r="E592" s="273" t="s">
        <v>25</v>
      </c>
      <c r="F592" s="273" t="s">
        <v>2858</v>
      </c>
      <c r="G592" s="273" t="s">
        <v>71</v>
      </c>
      <c r="H592" s="273" t="s">
        <v>31</v>
      </c>
      <c r="I592" s="273"/>
      <c r="J592" s="273" t="s">
        <v>27</v>
      </c>
      <c r="K592" s="273" t="s">
        <v>250</v>
      </c>
      <c r="L592" s="273" t="s">
        <v>35</v>
      </c>
      <c r="M592" s="274"/>
      <c r="N592" s="275">
        <v>1.29</v>
      </c>
      <c r="O592" s="273" t="s">
        <v>67</v>
      </c>
      <c r="P592" s="273" t="s">
        <v>63</v>
      </c>
      <c r="Q592" s="273" t="s">
        <v>29</v>
      </c>
      <c r="R592" s="273" t="s">
        <v>2863</v>
      </c>
      <c r="S592" s="276" t="s">
        <v>2707</v>
      </c>
      <c r="T592" s="277">
        <v>45938</v>
      </c>
      <c r="U592" s="278"/>
      <c r="V592" s="279">
        <f>M592-Z592-AB592-AD592-AF592-AH592-AJ592-AL592-AN592-AP592-AR592-AT592-AV592-AX592-AZ592-BB592-BD592-BF592-BH592-U592</f>
        <v>0</v>
      </c>
      <c r="W592" s="280" t="s">
        <v>2884</v>
      </c>
      <c r="X592" s="273" t="s">
        <v>29</v>
      </c>
      <c r="Y592" s="322"/>
      <c r="Z592" s="322"/>
    </row>
    <row r="593" spans="1:31" s="36" customFormat="1" ht="20.25" customHeight="1">
      <c r="A593" s="7">
        <v>45924</v>
      </c>
      <c r="B593" s="19" t="s">
        <v>2843</v>
      </c>
      <c r="C593" s="19" t="s">
        <v>304</v>
      </c>
      <c r="D593" s="19" t="s">
        <v>212</v>
      </c>
      <c r="E593" s="19" t="s">
        <v>25</v>
      </c>
      <c r="F593" s="19" t="s">
        <v>2859</v>
      </c>
      <c r="G593" s="19" t="s">
        <v>71</v>
      </c>
      <c r="H593" s="19" t="s">
        <v>31</v>
      </c>
      <c r="I593" s="19"/>
      <c r="J593" s="19" t="s">
        <v>27</v>
      </c>
      <c r="K593" s="19" t="s">
        <v>2860</v>
      </c>
      <c r="L593" s="19" t="s">
        <v>35</v>
      </c>
      <c r="M593" s="20">
        <v>650</v>
      </c>
      <c r="N593" s="25">
        <v>1.29</v>
      </c>
      <c r="O593" s="19" t="s">
        <v>67</v>
      </c>
      <c r="P593" s="19" t="s">
        <v>63</v>
      </c>
      <c r="Q593" s="19" t="s">
        <v>29</v>
      </c>
      <c r="R593" s="19" t="s">
        <v>2863</v>
      </c>
      <c r="S593" s="45" t="s">
        <v>2707</v>
      </c>
      <c r="T593" s="8">
        <v>45938</v>
      </c>
      <c r="U593" s="19"/>
      <c r="V593" s="55">
        <f>M593-Z593-AB593-AD593-AF593-AH593-AJ593-AL593-AN593-AP593-AR593-AT593-AV593-AX593-AZ593-BB593-BD593-BF593-BH593-U593</f>
        <v>-3.3999999999999773</v>
      </c>
      <c r="W593" s="15" t="s">
        <v>2885</v>
      </c>
      <c r="X593" s="19" t="s">
        <v>29</v>
      </c>
      <c r="Y593" s="10"/>
      <c r="Z593" s="19">
        <v>653.4</v>
      </c>
      <c r="AA593" s="123">
        <v>45939</v>
      </c>
    </row>
    <row r="594" spans="1:31" s="28" customFormat="1" ht="20.25" customHeight="1">
      <c r="A594" s="11">
        <v>45925</v>
      </c>
      <c r="B594" s="16" t="s">
        <v>2887</v>
      </c>
      <c r="C594" s="16" t="s">
        <v>304</v>
      </c>
      <c r="D594" s="16" t="s">
        <v>212</v>
      </c>
      <c r="E594" s="16" t="s">
        <v>34</v>
      </c>
      <c r="F594" s="16" t="s">
        <v>2889</v>
      </c>
      <c r="G594" s="16" t="s">
        <v>71</v>
      </c>
      <c r="H594" s="16" t="s">
        <v>26</v>
      </c>
      <c r="I594" s="16"/>
      <c r="J594" s="16" t="s">
        <v>27</v>
      </c>
      <c r="K594" s="16" t="s">
        <v>760</v>
      </c>
      <c r="L594" s="16" t="s">
        <v>35</v>
      </c>
      <c r="M594" s="17">
        <v>50</v>
      </c>
      <c r="N594" s="23">
        <v>1.29</v>
      </c>
      <c r="O594" s="16" t="s">
        <v>67</v>
      </c>
      <c r="P594" s="16" t="s">
        <v>63</v>
      </c>
      <c r="Q594" s="16" t="s">
        <v>29</v>
      </c>
      <c r="R594" s="16" t="s">
        <v>1235</v>
      </c>
      <c r="S594" s="12" t="s">
        <v>2770</v>
      </c>
      <c r="T594" s="13">
        <v>45939</v>
      </c>
      <c r="U594" s="19"/>
      <c r="V594" s="53">
        <f>M594-Z594-AB594-AD594-AF594-AH594-AJ594-AL594-AN594-AP594-AR594-AT594-AV594-AX594-AZ594-BB594-BD594-BF594-BH594-U594</f>
        <v>-0.70000000000000284</v>
      </c>
      <c r="W594" s="22" t="s">
        <v>2891</v>
      </c>
      <c r="X594" s="16" t="s">
        <v>29</v>
      </c>
      <c r="Y594" s="9"/>
      <c r="Z594" s="19">
        <v>50.7</v>
      </c>
      <c r="AA594" s="252">
        <v>45944</v>
      </c>
    </row>
    <row r="595" spans="1:31" s="36" customFormat="1" ht="20.25" customHeight="1">
      <c r="A595" s="7">
        <v>45925</v>
      </c>
      <c r="B595" s="19" t="s">
        <v>2888</v>
      </c>
      <c r="C595" s="19" t="s">
        <v>304</v>
      </c>
      <c r="D595" s="19" t="s">
        <v>212</v>
      </c>
      <c r="E595" s="19" t="s">
        <v>34</v>
      </c>
      <c r="F595" s="19" t="s">
        <v>2890</v>
      </c>
      <c r="G595" s="19" t="s">
        <v>71</v>
      </c>
      <c r="H595" s="19" t="s">
        <v>26</v>
      </c>
      <c r="I595" s="19"/>
      <c r="J595" s="19" t="s">
        <v>27</v>
      </c>
      <c r="K595" s="19" t="s">
        <v>214</v>
      </c>
      <c r="L595" s="19" t="s">
        <v>35</v>
      </c>
      <c r="M595" s="20">
        <v>50</v>
      </c>
      <c r="N595" s="25">
        <v>1.29</v>
      </c>
      <c r="O595" s="19" t="s">
        <v>1063</v>
      </c>
      <c r="P595" s="19" t="s">
        <v>63</v>
      </c>
      <c r="Q595" s="19" t="s">
        <v>29</v>
      </c>
      <c r="R595" s="19" t="s">
        <v>1203</v>
      </c>
      <c r="S595" s="45" t="s">
        <v>2770</v>
      </c>
      <c r="T595" s="8">
        <v>45939</v>
      </c>
      <c r="U595" s="19"/>
      <c r="V595" s="55">
        <f>M595-Z595-AB595-AD595-AF595-AH595-AJ595-AL595-AN595-AP595-AR595-AT595-AV595-AX595-AZ595-BB595-BD595-BF595-BH595-U595</f>
        <v>-1</v>
      </c>
      <c r="W595" s="15" t="s">
        <v>2892</v>
      </c>
      <c r="X595" s="19" t="s">
        <v>29</v>
      </c>
      <c r="Y595" s="10"/>
      <c r="Z595" s="19">
        <v>51</v>
      </c>
      <c r="AA595" s="123">
        <v>45946</v>
      </c>
    </row>
    <row r="596" spans="1:31" s="28" customFormat="1" ht="20.25" customHeight="1">
      <c r="A596" s="11">
        <v>45925</v>
      </c>
      <c r="B596" s="16" t="s">
        <v>2893</v>
      </c>
      <c r="C596" s="16" t="s">
        <v>1568</v>
      </c>
      <c r="D596" s="16" t="s">
        <v>212</v>
      </c>
      <c r="E596" s="16" t="s">
        <v>25</v>
      </c>
      <c r="F596" s="16" t="s">
        <v>2905</v>
      </c>
      <c r="G596" s="16" t="s">
        <v>71</v>
      </c>
      <c r="H596" s="16" t="s">
        <v>26</v>
      </c>
      <c r="I596" s="16"/>
      <c r="J596" s="16" t="s">
        <v>27</v>
      </c>
      <c r="K596" s="16" t="s">
        <v>214</v>
      </c>
      <c r="L596" s="16" t="s">
        <v>35</v>
      </c>
      <c r="M596" s="17">
        <v>1766</v>
      </c>
      <c r="N596" s="23">
        <v>1.31</v>
      </c>
      <c r="O596" s="16" t="s">
        <v>1063</v>
      </c>
      <c r="P596" s="16" t="s">
        <v>63</v>
      </c>
      <c r="Q596" s="16" t="s">
        <v>29</v>
      </c>
      <c r="R596" s="16" t="s">
        <v>1520</v>
      </c>
      <c r="S596" s="12" t="s">
        <v>2770</v>
      </c>
      <c r="T596" s="13">
        <v>45939</v>
      </c>
      <c r="U596" s="19"/>
      <c r="V596" s="53">
        <f>M596-Z596-AB596-AD596-AF596-AH596-AJ596-AL596-AN596-AP596-AR596-AT596-AV596-AX596-AZ596-BB596-BD596-BF596-BH596-U596</f>
        <v>-1.9000000000000909</v>
      </c>
      <c r="W596" s="22" t="s">
        <v>2927</v>
      </c>
      <c r="X596" s="16" t="s">
        <v>29</v>
      </c>
      <c r="Y596" s="9"/>
      <c r="Z596" s="19">
        <v>1767.9</v>
      </c>
      <c r="AA596" s="252">
        <v>45947</v>
      </c>
    </row>
    <row r="597" spans="1:31" s="28" customFormat="1" ht="20.25" customHeight="1">
      <c r="A597" s="11">
        <v>45925</v>
      </c>
      <c r="B597" s="16" t="s">
        <v>2893</v>
      </c>
      <c r="C597" s="16" t="s">
        <v>1568</v>
      </c>
      <c r="D597" s="16" t="s">
        <v>212</v>
      </c>
      <c r="E597" s="16" t="s">
        <v>25</v>
      </c>
      <c r="F597" s="16" t="s">
        <v>2905</v>
      </c>
      <c r="G597" s="16" t="s">
        <v>71</v>
      </c>
      <c r="H597" s="16" t="s">
        <v>26</v>
      </c>
      <c r="I597" s="16"/>
      <c r="J597" s="16" t="s">
        <v>27</v>
      </c>
      <c r="K597" s="16" t="s">
        <v>966</v>
      </c>
      <c r="L597" s="16" t="s">
        <v>35</v>
      </c>
      <c r="M597" s="17">
        <v>4183</v>
      </c>
      <c r="N597" s="23">
        <v>1.31</v>
      </c>
      <c r="O597" s="16" t="s">
        <v>67</v>
      </c>
      <c r="P597" s="16" t="s">
        <v>63</v>
      </c>
      <c r="Q597" s="16" t="s">
        <v>29</v>
      </c>
      <c r="R597" s="16" t="s">
        <v>1721</v>
      </c>
      <c r="S597" s="12" t="s">
        <v>2770</v>
      </c>
      <c r="T597" s="13">
        <v>45939</v>
      </c>
      <c r="U597" s="19"/>
      <c r="V597" s="53">
        <f>M597-Z597-AB597-AD597-AF597-AH597-AJ597-AL597-AN597-AP597-AR597-AT597-AV597-AX597-AZ597-BB597-BD597-BF597-BH597-U597</f>
        <v>-0.29999999999995453</v>
      </c>
      <c r="W597" s="22" t="s">
        <v>2928</v>
      </c>
      <c r="X597" s="16" t="s">
        <v>29</v>
      </c>
      <c r="Y597" s="9"/>
      <c r="Z597" s="19">
        <v>2903.1</v>
      </c>
      <c r="AA597" s="252">
        <v>45933</v>
      </c>
      <c r="AB597" s="19">
        <f>459.3+820.9</f>
        <v>1280.2</v>
      </c>
      <c r="AC597" s="252">
        <v>45940</v>
      </c>
    </row>
    <row r="598" spans="1:31" s="28" customFormat="1" ht="20.25" customHeight="1">
      <c r="A598" s="11">
        <v>45925</v>
      </c>
      <c r="B598" s="16" t="s">
        <v>2894</v>
      </c>
      <c r="C598" s="16" t="s">
        <v>267</v>
      </c>
      <c r="D598" s="16" t="s">
        <v>212</v>
      </c>
      <c r="E598" s="16" t="s">
        <v>25</v>
      </c>
      <c r="F598" s="16" t="s">
        <v>2906</v>
      </c>
      <c r="G598" s="16" t="s">
        <v>71</v>
      </c>
      <c r="H598" s="16" t="s">
        <v>31</v>
      </c>
      <c r="I598" s="16"/>
      <c r="J598" s="16" t="s">
        <v>27</v>
      </c>
      <c r="K598" s="16" t="s">
        <v>966</v>
      </c>
      <c r="L598" s="16" t="s">
        <v>35</v>
      </c>
      <c r="M598" s="17">
        <v>5915</v>
      </c>
      <c r="N598" s="23">
        <v>1.29</v>
      </c>
      <c r="O598" s="16" t="s">
        <v>67</v>
      </c>
      <c r="P598" s="16" t="s">
        <v>63</v>
      </c>
      <c r="Q598" s="16" t="s">
        <v>29</v>
      </c>
      <c r="R598" s="16" t="s">
        <v>1509</v>
      </c>
      <c r="S598" s="12" t="s">
        <v>2926</v>
      </c>
      <c r="T598" s="13">
        <v>45946</v>
      </c>
      <c r="U598" s="19"/>
      <c r="V598" s="53">
        <f>M598-Z598-AB598-AD598-AF598-AH598-AJ598-AL598-AN598-AP598-AR598-AT598-AV598-AX598-AZ598-BB598-BD598-BF598-BH598-U598</f>
        <v>-0.59999999999990905</v>
      </c>
      <c r="W598" s="22" t="s">
        <v>2929</v>
      </c>
      <c r="X598" s="16" t="s">
        <v>29</v>
      </c>
      <c r="Y598" s="9"/>
      <c r="Z598" s="19">
        <v>4563.2</v>
      </c>
      <c r="AA598" s="252">
        <v>45939</v>
      </c>
      <c r="AB598" s="19">
        <v>1352.4</v>
      </c>
      <c r="AC598" s="252">
        <v>45940</v>
      </c>
    </row>
    <row r="599" spans="1:31" s="36" customFormat="1" ht="20.25" customHeight="1">
      <c r="A599" s="7">
        <v>45925</v>
      </c>
      <c r="B599" s="19" t="s">
        <v>2895</v>
      </c>
      <c r="C599" s="19" t="s">
        <v>267</v>
      </c>
      <c r="D599" s="19" t="s">
        <v>212</v>
      </c>
      <c r="E599" s="19" t="s">
        <v>25</v>
      </c>
      <c r="F599" s="19" t="s">
        <v>2907</v>
      </c>
      <c r="G599" s="19" t="s">
        <v>71</v>
      </c>
      <c r="H599" s="19" t="s">
        <v>26</v>
      </c>
      <c r="I599" s="19"/>
      <c r="J599" s="19" t="s">
        <v>27</v>
      </c>
      <c r="K599" s="19" t="s">
        <v>214</v>
      </c>
      <c r="L599" s="19" t="s">
        <v>35</v>
      </c>
      <c r="M599" s="20">
        <v>3220</v>
      </c>
      <c r="N599" s="25">
        <v>1.29</v>
      </c>
      <c r="O599" s="19" t="s">
        <v>1063</v>
      </c>
      <c r="P599" s="19" t="s">
        <v>63</v>
      </c>
      <c r="Q599" s="19" t="s">
        <v>29</v>
      </c>
      <c r="R599" s="19" t="s">
        <v>2918</v>
      </c>
      <c r="S599" s="45" t="s">
        <v>2926</v>
      </c>
      <c r="T599" s="8">
        <v>45946</v>
      </c>
      <c r="U599" s="19"/>
      <c r="V599" s="55">
        <f>M599-Z599-AB599-AD599-AF599-AH599-AJ599-AL599-AN599-AP599-AR599-AT599-AV599-AX599-AZ599-BB599-BD599-BF599-BH599-U599</f>
        <v>-3.1000000000001364</v>
      </c>
      <c r="W599" s="15" t="s">
        <v>2930</v>
      </c>
      <c r="X599" s="19" t="s">
        <v>29</v>
      </c>
      <c r="Y599" s="10"/>
      <c r="Z599" s="19">
        <v>1139.4000000000001</v>
      </c>
      <c r="AA599" s="123">
        <v>45939</v>
      </c>
      <c r="AB599" s="19">
        <v>374.3</v>
      </c>
      <c r="AC599" s="123">
        <v>45946</v>
      </c>
      <c r="AD599" s="19">
        <f>1417.3+292.1</f>
        <v>1709.4</v>
      </c>
      <c r="AE599" s="123">
        <v>45951</v>
      </c>
    </row>
    <row r="600" spans="1:31" s="28" customFormat="1" ht="20.25" customHeight="1">
      <c r="A600" s="11">
        <v>45925</v>
      </c>
      <c r="B600" s="16" t="s">
        <v>2896</v>
      </c>
      <c r="C600" s="16" t="s">
        <v>267</v>
      </c>
      <c r="D600" s="16" t="s">
        <v>212</v>
      </c>
      <c r="E600" s="16" t="s">
        <v>25</v>
      </c>
      <c r="F600" s="16" t="s">
        <v>2908</v>
      </c>
      <c r="G600" s="16" t="s">
        <v>71</v>
      </c>
      <c r="H600" s="16" t="s">
        <v>26</v>
      </c>
      <c r="I600" s="16"/>
      <c r="J600" s="16" t="s">
        <v>27</v>
      </c>
      <c r="K600" s="16" t="s">
        <v>613</v>
      </c>
      <c r="L600" s="16" t="s">
        <v>35</v>
      </c>
      <c r="M600" s="17">
        <v>900</v>
      </c>
      <c r="N600" s="23">
        <v>1.29</v>
      </c>
      <c r="O600" s="16" t="s">
        <v>67</v>
      </c>
      <c r="P600" s="16" t="s">
        <v>63</v>
      </c>
      <c r="Q600" s="16" t="s">
        <v>29</v>
      </c>
      <c r="R600" s="16" t="s">
        <v>964</v>
      </c>
      <c r="S600" s="12" t="s">
        <v>2926</v>
      </c>
      <c r="T600" s="13">
        <v>45946</v>
      </c>
      <c r="U600" s="19"/>
      <c r="V600" s="53">
        <f>M600-Z600-AB600-AD600-AF600-AH600-AJ600-AL600-AN600-AP600-AR600-AT600-AV600-AX600-AZ600-BB600-BD600-BF600-BH600-U600</f>
        <v>-1.5</v>
      </c>
      <c r="W600" s="22" t="s">
        <v>2931</v>
      </c>
      <c r="X600" s="16" t="s">
        <v>29</v>
      </c>
      <c r="Y600" s="9"/>
      <c r="Z600" s="19">
        <v>901.5</v>
      </c>
      <c r="AA600" s="252">
        <v>45940</v>
      </c>
    </row>
    <row r="601" spans="1:31" s="28" customFormat="1" ht="20.25" customHeight="1">
      <c r="A601" s="11">
        <v>45925</v>
      </c>
      <c r="B601" s="16" t="s">
        <v>2897</v>
      </c>
      <c r="C601" s="16" t="s">
        <v>267</v>
      </c>
      <c r="D601" s="16" t="s">
        <v>212</v>
      </c>
      <c r="E601" s="16" t="s">
        <v>25</v>
      </c>
      <c r="F601" s="16" t="s">
        <v>2909</v>
      </c>
      <c r="G601" s="16" t="s">
        <v>71</v>
      </c>
      <c r="H601" s="16" t="s">
        <v>26</v>
      </c>
      <c r="I601" s="16"/>
      <c r="J601" s="16" t="s">
        <v>27</v>
      </c>
      <c r="K601" s="16" t="s">
        <v>2182</v>
      </c>
      <c r="L601" s="16" t="s">
        <v>35</v>
      </c>
      <c r="M601" s="17">
        <v>1710</v>
      </c>
      <c r="N601" s="23">
        <v>1.29</v>
      </c>
      <c r="O601" s="16" t="s">
        <v>67</v>
      </c>
      <c r="P601" s="16" t="s">
        <v>63</v>
      </c>
      <c r="Q601" s="16" t="s">
        <v>29</v>
      </c>
      <c r="R601" s="16" t="s">
        <v>2919</v>
      </c>
      <c r="S601" s="12" t="s">
        <v>2926</v>
      </c>
      <c r="T601" s="13">
        <v>45946</v>
      </c>
      <c r="U601" s="19"/>
      <c r="V601" s="53">
        <f>M601-Z601-AB601-AD601-AF601-AH601-AJ601-AL601-AN601-AP601-AR601-AT601-AV601-AX601-AZ601-BB601-BD601-BF601-BH601-U601</f>
        <v>2.2737367544323206E-13</v>
      </c>
      <c r="W601" s="22" t="s">
        <v>2932</v>
      </c>
      <c r="X601" s="16" t="s">
        <v>29</v>
      </c>
      <c r="Y601" s="9"/>
      <c r="Z601" s="19">
        <v>228.1</v>
      </c>
      <c r="AA601" s="252">
        <v>45940</v>
      </c>
      <c r="AB601" s="19">
        <f>1167.1+314.8</f>
        <v>1481.8999999999999</v>
      </c>
      <c r="AC601" s="252">
        <v>45944</v>
      </c>
    </row>
    <row r="602" spans="1:31" s="122" customFormat="1" ht="20.25" customHeight="1">
      <c r="A602" s="300">
        <v>45925</v>
      </c>
      <c r="B602" s="301" t="s">
        <v>2898</v>
      </c>
      <c r="C602" s="301" t="s">
        <v>267</v>
      </c>
      <c r="D602" s="301" t="s">
        <v>212</v>
      </c>
      <c r="E602" s="301" t="s">
        <v>25</v>
      </c>
      <c r="F602" s="301" t="s">
        <v>2910</v>
      </c>
      <c r="G602" s="301" t="s">
        <v>71</v>
      </c>
      <c r="H602" s="301" t="s">
        <v>26</v>
      </c>
      <c r="I602" s="270"/>
      <c r="J602" s="270" t="s">
        <v>27</v>
      </c>
      <c r="K602" s="16" t="s">
        <v>487</v>
      </c>
      <c r="L602" s="301" t="s">
        <v>35</v>
      </c>
      <c r="M602" s="302">
        <v>450</v>
      </c>
      <c r="N602" s="271">
        <v>1.29</v>
      </c>
      <c r="O602" s="301" t="s">
        <v>67</v>
      </c>
      <c r="P602" s="301" t="s">
        <v>63</v>
      </c>
      <c r="Q602" s="301" t="s">
        <v>29</v>
      </c>
      <c r="R602" s="301" t="s">
        <v>2920</v>
      </c>
      <c r="S602" s="304" t="s">
        <v>2926</v>
      </c>
      <c r="T602" s="305">
        <v>45946</v>
      </c>
      <c r="U602" s="301"/>
      <c r="V602" s="306">
        <f>M602-Z602-AB602-AD602-AF602-AH602-AJ602-AL602-AN602-AP602-AR602-AT602-AV602-AX602-AZ602-BB602-BD602-BF602-BH602-U602</f>
        <v>-1.9999999999999716</v>
      </c>
      <c r="W602" s="307" t="s">
        <v>2933</v>
      </c>
      <c r="X602" s="301" t="s">
        <v>29</v>
      </c>
      <c r="Y602" s="335"/>
      <c r="Z602" s="301">
        <v>343.4</v>
      </c>
      <c r="AA602" s="312">
        <v>45939</v>
      </c>
      <c r="AB602" s="301">
        <f>47.4+39.1+22.1</f>
        <v>108.6</v>
      </c>
      <c r="AC602" s="312">
        <v>45958</v>
      </c>
    </row>
    <row r="603" spans="1:31" s="28" customFormat="1" ht="20.25" customHeight="1">
      <c r="A603" s="11">
        <v>45925</v>
      </c>
      <c r="B603" s="16" t="s">
        <v>2899</v>
      </c>
      <c r="C603" s="16" t="s">
        <v>267</v>
      </c>
      <c r="D603" s="16" t="s">
        <v>212</v>
      </c>
      <c r="E603" s="16" t="s">
        <v>25</v>
      </c>
      <c r="F603" s="16" t="s">
        <v>2911</v>
      </c>
      <c r="G603" s="16" t="s">
        <v>71</v>
      </c>
      <c r="H603" s="16" t="s">
        <v>26</v>
      </c>
      <c r="I603" s="1"/>
      <c r="J603" s="1" t="s">
        <v>27</v>
      </c>
      <c r="K603" s="16" t="s">
        <v>2917</v>
      </c>
      <c r="L603" s="1" t="s">
        <v>35</v>
      </c>
      <c r="M603" s="17">
        <v>2640</v>
      </c>
      <c r="N603" s="23">
        <v>1.29</v>
      </c>
      <c r="O603" s="16" t="s">
        <v>67</v>
      </c>
      <c r="P603" s="16" t="s">
        <v>63</v>
      </c>
      <c r="Q603" s="16" t="s">
        <v>29</v>
      </c>
      <c r="R603" s="16" t="s">
        <v>2921</v>
      </c>
      <c r="S603" s="12" t="s">
        <v>2926</v>
      </c>
      <c r="T603" s="13">
        <v>45946</v>
      </c>
      <c r="U603" s="19"/>
      <c r="V603" s="53">
        <f>M603-Z603-AB603-AD603-AF603-AH603-AJ603-AL603-AN603-AP603-AR603-AT603-AV603-AX603-AZ603-BB603-BD603-BF603-BH603-U603</f>
        <v>0</v>
      </c>
      <c r="W603" s="22" t="s">
        <v>2934</v>
      </c>
      <c r="X603" s="16" t="s">
        <v>29</v>
      </c>
      <c r="Y603" s="9"/>
      <c r="Z603" s="19">
        <v>2640</v>
      </c>
      <c r="AA603" s="252">
        <v>45946</v>
      </c>
    </row>
    <row r="604" spans="1:31" s="36" customFormat="1" ht="20.25" customHeight="1">
      <c r="A604" s="7">
        <v>45925</v>
      </c>
      <c r="B604" s="19" t="s">
        <v>2900</v>
      </c>
      <c r="C604" s="19" t="s">
        <v>267</v>
      </c>
      <c r="D604" s="19" t="s">
        <v>212</v>
      </c>
      <c r="E604" s="19" t="s">
        <v>25</v>
      </c>
      <c r="F604" s="19" t="s">
        <v>2912</v>
      </c>
      <c r="G604" s="19" t="s">
        <v>71</v>
      </c>
      <c r="H604" s="19" t="s">
        <v>31</v>
      </c>
      <c r="I604" s="19"/>
      <c r="J604" s="19" t="s">
        <v>27</v>
      </c>
      <c r="K604" s="19" t="s">
        <v>218</v>
      </c>
      <c r="L604" s="19" t="s">
        <v>35</v>
      </c>
      <c r="M604" s="20">
        <v>4270</v>
      </c>
      <c r="N604" s="25">
        <v>1.29</v>
      </c>
      <c r="O604" s="19" t="s">
        <v>67</v>
      </c>
      <c r="P604" s="19" t="s">
        <v>63</v>
      </c>
      <c r="Q604" s="19" t="s">
        <v>29</v>
      </c>
      <c r="R604" s="19" t="s">
        <v>2922</v>
      </c>
      <c r="S604" s="45" t="s">
        <v>2926</v>
      </c>
      <c r="T604" s="8">
        <v>45946</v>
      </c>
      <c r="U604" s="19"/>
      <c r="V604" s="55">
        <f>M604-Z604-AB604-AD604-AF604-AH604-AJ604-AL604-AN604-AP604-AR604-AT604-AV604-AX604-AZ604-BB604-BD604-BF604-BH604-U604</f>
        <v>-3.1000000000003638</v>
      </c>
      <c r="W604" s="15" t="s">
        <v>2935</v>
      </c>
      <c r="X604" s="19" t="s">
        <v>29</v>
      </c>
      <c r="Y604" s="10"/>
      <c r="Z604" s="19">
        <f>3255.6+112.5+905</f>
        <v>4273.1000000000004</v>
      </c>
      <c r="AA604" s="123">
        <v>45946</v>
      </c>
    </row>
    <row r="605" spans="1:31" s="28" customFormat="1" ht="20.25" customHeight="1">
      <c r="A605" s="11">
        <v>45925</v>
      </c>
      <c r="B605" s="16" t="s">
        <v>2901</v>
      </c>
      <c r="C605" s="16" t="s">
        <v>267</v>
      </c>
      <c r="D605" s="16" t="s">
        <v>212</v>
      </c>
      <c r="E605" s="16" t="s">
        <v>25</v>
      </c>
      <c r="F605" s="16" t="s">
        <v>2913</v>
      </c>
      <c r="G605" s="16" t="s">
        <v>71</v>
      </c>
      <c r="H605" s="16" t="s">
        <v>26</v>
      </c>
      <c r="I605" s="16"/>
      <c r="J605" s="16" t="s">
        <v>27</v>
      </c>
      <c r="K605" s="16" t="s">
        <v>372</v>
      </c>
      <c r="L605" s="16" t="s">
        <v>35</v>
      </c>
      <c r="M605" s="17">
        <v>2330</v>
      </c>
      <c r="N605" s="23">
        <v>1.29</v>
      </c>
      <c r="O605" s="16" t="s">
        <v>67</v>
      </c>
      <c r="P605" s="16" t="s">
        <v>63</v>
      </c>
      <c r="Q605" s="16" t="s">
        <v>29</v>
      </c>
      <c r="R605" s="16" t="s">
        <v>2923</v>
      </c>
      <c r="S605" s="12" t="s">
        <v>2926</v>
      </c>
      <c r="T605" s="13">
        <v>45946</v>
      </c>
      <c r="U605" s="19"/>
      <c r="V605" s="53">
        <f>M605-Z605-AB605-AD605-AF605-AH605-AJ605-AL605-AN605-AP605-AR605-AT605-AV605-AX605-AZ605-BB605-BD605-BF605-BH605-U605</f>
        <v>-3.0999999999999091</v>
      </c>
      <c r="W605" s="22" t="s">
        <v>2936</v>
      </c>
      <c r="X605" s="16" t="s">
        <v>29</v>
      </c>
      <c r="Y605" s="9"/>
      <c r="Z605" s="19">
        <v>2333.1</v>
      </c>
      <c r="AA605" s="252">
        <v>45944</v>
      </c>
    </row>
    <row r="606" spans="1:31" s="28" customFormat="1" ht="20.25" customHeight="1">
      <c r="A606" s="11">
        <v>45925</v>
      </c>
      <c r="B606" s="16" t="s">
        <v>2902</v>
      </c>
      <c r="C606" s="16" t="s">
        <v>267</v>
      </c>
      <c r="D606" s="16" t="s">
        <v>212</v>
      </c>
      <c r="E606" s="16" t="s">
        <v>25</v>
      </c>
      <c r="F606" s="16" t="s">
        <v>2914</v>
      </c>
      <c r="G606" s="16" t="s">
        <v>71</v>
      </c>
      <c r="H606" s="16" t="s">
        <v>26</v>
      </c>
      <c r="I606" s="16"/>
      <c r="J606" s="16" t="s">
        <v>27</v>
      </c>
      <c r="K606" s="16" t="s">
        <v>351</v>
      </c>
      <c r="L606" s="16" t="s">
        <v>35</v>
      </c>
      <c r="M606" s="17">
        <v>2125</v>
      </c>
      <c r="N606" s="23">
        <v>1.29</v>
      </c>
      <c r="O606" s="16" t="s">
        <v>67</v>
      </c>
      <c r="P606" s="16" t="s">
        <v>63</v>
      </c>
      <c r="Q606" s="16" t="s">
        <v>29</v>
      </c>
      <c r="R606" s="16" t="s">
        <v>1396</v>
      </c>
      <c r="S606" s="12" t="s">
        <v>2926</v>
      </c>
      <c r="T606" s="13">
        <v>45946</v>
      </c>
      <c r="U606" s="19"/>
      <c r="V606" s="53">
        <f>M606-Z606-AB606-AD606-AF606-AH606-AJ606-AL606-AN606-AP606-AR606-AT606-AV606-AX606-AZ606-BB606-BD606-BF606-BH606-U606</f>
        <v>-2.3999999999996362</v>
      </c>
      <c r="W606" s="22" t="s">
        <v>2937</v>
      </c>
      <c r="X606" s="16" t="s">
        <v>29</v>
      </c>
      <c r="Y606" s="9"/>
      <c r="Z606" s="19">
        <f>1288.6+838.8</f>
        <v>2127.3999999999996</v>
      </c>
      <c r="AA606" s="252">
        <v>45944</v>
      </c>
    </row>
    <row r="607" spans="1:31" s="36" customFormat="1" ht="20.25" customHeight="1">
      <c r="A607" s="7">
        <v>45925</v>
      </c>
      <c r="B607" s="19" t="s">
        <v>2903</v>
      </c>
      <c r="C607" s="19" t="s">
        <v>267</v>
      </c>
      <c r="D607" s="19" t="s">
        <v>212</v>
      </c>
      <c r="E607" s="19" t="s">
        <v>25</v>
      </c>
      <c r="F607" s="19" t="s">
        <v>2915</v>
      </c>
      <c r="G607" s="19" t="s">
        <v>71</v>
      </c>
      <c r="H607" s="19" t="s">
        <v>26</v>
      </c>
      <c r="I607" s="19"/>
      <c r="J607" s="19" t="s">
        <v>27</v>
      </c>
      <c r="K607" s="19" t="s">
        <v>214</v>
      </c>
      <c r="L607" s="19" t="s">
        <v>35</v>
      </c>
      <c r="M607" s="20">
        <v>225</v>
      </c>
      <c r="N607" s="25">
        <v>1.29</v>
      </c>
      <c r="O607" s="19" t="s">
        <v>67</v>
      </c>
      <c r="P607" s="19" t="s">
        <v>63</v>
      </c>
      <c r="Q607" s="19" t="s">
        <v>29</v>
      </c>
      <c r="R607" s="19" t="s">
        <v>2924</v>
      </c>
      <c r="S607" s="45" t="s">
        <v>2926</v>
      </c>
      <c r="T607" s="8">
        <v>45946</v>
      </c>
      <c r="U607" s="19"/>
      <c r="V607" s="55">
        <f>M607-Z607-AB607-AD607-AF607-AH607-AJ607-AL607-AN607-AP607-AR607-AT607-AV607-AX607-AZ607-BB607-BD607-BF607-BH607-U607</f>
        <v>-0.5</v>
      </c>
      <c r="W607" s="15" t="s">
        <v>2938</v>
      </c>
      <c r="X607" s="19" t="s">
        <v>29</v>
      </c>
      <c r="Y607" s="10"/>
      <c r="Z607" s="19">
        <v>225.5</v>
      </c>
      <c r="AA607" s="123">
        <v>45946</v>
      </c>
    </row>
    <row r="608" spans="1:31" s="36" customFormat="1" ht="20.25" customHeight="1">
      <c r="A608" s="7">
        <v>45925</v>
      </c>
      <c r="B608" s="19" t="s">
        <v>2904</v>
      </c>
      <c r="C608" s="19" t="s">
        <v>267</v>
      </c>
      <c r="D608" s="19" t="s">
        <v>212</v>
      </c>
      <c r="E608" s="19" t="s">
        <v>25</v>
      </c>
      <c r="F608" s="19" t="s">
        <v>2916</v>
      </c>
      <c r="G608" s="19" t="s">
        <v>71</v>
      </c>
      <c r="H608" s="19" t="s">
        <v>31</v>
      </c>
      <c r="I608" s="19"/>
      <c r="J608" s="19" t="s">
        <v>27</v>
      </c>
      <c r="K608" s="19" t="s">
        <v>214</v>
      </c>
      <c r="L608" s="19" t="s">
        <v>35</v>
      </c>
      <c r="M608" s="20">
        <v>610</v>
      </c>
      <c r="N608" s="25">
        <v>1.29</v>
      </c>
      <c r="O608" s="19" t="s">
        <v>67</v>
      </c>
      <c r="P608" s="19" t="s">
        <v>63</v>
      </c>
      <c r="Q608" s="19" t="s">
        <v>29</v>
      </c>
      <c r="R608" s="19" t="s">
        <v>2925</v>
      </c>
      <c r="S608" s="45" t="s">
        <v>2926</v>
      </c>
      <c r="T608" s="8">
        <v>45946</v>
      </c>
      <c r="U608" s="19"/>
      <c r="V608" s="55">
        <f>M608-Z608-AB608-AD608-AF608-AH608-AJ608-AL608-AN608-AP608-AR608-AT608-AV608-AX608-AZ608-BB608-BD608-BF608-BH608-U608</f>
        <v>-1</v>
      </c>
      <c r="W608" s="15" t="s">
        <v>2939</v>
      </c>
      <c r="X608" s="19" t="s">
        <v>29</v>
      </c>
      <c r="Y608" s="10"/>
      <c r="Z608" s="19">
        <v>611</v>
      </c>
      <c r="AA608" s="123">
        <v>45946</v>
      </c>
    </row>
    <row r="609" spans="1:31" s="28" customFormat="1" ht="20.25" customHeight="1">
      <c r="A609" s="11">
        <v>45926</v>
      </c>
      <c r="B609" s="16" t="s">
        <v>2944</v>
      </c>
      <c r="C609" s="16" t="s">
        <v>400</v>
      </c>
      <c r="D609" s="16" t="s">
        <v>212</v>
      </c>
      <c r="E609" s="16" t="s">
        <v>25</v>
      </c>
      <c r="F609" s="16" t="s">
        <v>2958</v>
      </c>
      <c r="G609" s="16" t="s">
        <v>64</v>
      </c>
      <c r="H609" s="16" t="s">
        <v>31</v>
      </c>
      <c r="I609" s="16"/>
      <c r="J609" s="16" t="s">
        <v>27</v>
      </c>
      <c r="K609" s="16" t="s">
        <v>487</v>
      </c>
      <c r="L609" s="16" t="s">
        <v>35</v>
      </c>
      <c r="M609" s="17">
        <v>31.25</v>
      </c>
      <c r="N609" s="23">
        <v>1.31</v>
      </c>
      <c r="O609" s="16" t="s">
        <v>67</v>
      </c>
      <c r="P609" s="16" t="s">
        <v>63</v>
      </c>
      <c r="Q609" s="16" t="s">
        <v>2978</v>
      </c>
      <c r="R609" s="16" t="s">
        <v>2979</v>
      </c>
      <c r="S609" s="12" t="s">
        <v>2499</v>
      </c>
      <c r="T609" s="13">
        <v>45940</v>
      </c>
      <c r="U609" s="19"/>
      <c r="V609" s="53">
        <f>M609-Z609-AB609-AD609-AF609-AH609-AJ609-AL609-AN609-AP609-AR609-AT609-AV609-AX609-AZ609-BB609-BD609-BF609-BH609-U609</f>
        <v>-0.14999999999999858</v>
      </c>
      <c r="W609" s="22" t="s">
        <v>2990</v>
      </c>
      <c r="X609" s="16"/>
      <c r="Y609" s="9"/>
      <c r="Z609" s="19">
        <f>19+12.4</f>
        <v>31.4</v>
      </c>
      <c r="AA609" s="252">
        <v>45951</v>
      </c>
    </row>
    <row r="610" spans="1:31" s="28" customFormat="1" ht="20.25" customHeight="1">
      <c r="A610" s="11">
        <v>45926</v>
      </c>
      <c r="B610" s="16" t="s">
        <v>2944</v>
      </c>
      <c r="C610" s="16" t="s">
        <v>400</v>
      </c>
      <c r="D610" s="16" t="s">
        <v>212</v>
      </c>
      <c r="E610" s="16" t="s">
        <v>25</v>
      </c>
      <c r="F610" s="16" t="s">
        <v>2958</v>
      </c>
      <c r="G610" s="16" t="s">
        <v>71</v>
      </c>
      <c r="H610" s="16" t="s">
        <v>31</v>
      </c>
      <c r="I610" s="16"/>
      <c r="J610" s="16" t="s">
        <v>27</v>
      </c>
      <c r="K610" s="16" t="s">
        <v>2972</v>
      </c>
      <c r="L610" s="16" t="s">
        <v>35</v>
      </c>
      <c r="M610" s="17">
        <v>15.28</v>
      </c>
      <c r="N610" s="23">
        <v>1.31</v>
      </c>
      <c r="O610" s="16" t="s">
        <v>67</v>
      </c>
      <c r="P610" s="16" t="s">
        <v>63</v>
      </c>
      <c r="Q610" s="16" t="s">
        <v>474</v>
      </c>
      <c r="R610" s="16" t="s">
        <v>1387</v>
      </c>
      <c r="S610" s="12" t="s">
        <v>2499</v>
      </c>
      <c r="T610" s="13">
        <v>45940</v>
      </c>
      <c r="U610" s="19"/>
      <c r="V610" s="53">
        <f>M610-Z610-AB610-AD610-AF610-AH610-AJ610-AL610-AN610-AP610-AR610-AT610-AV610-AX610-AZ610-BB610-BD610-BF610-BH610-U610</f>
        <v>-1.6199999999999992</v>
      </c>
      <c r="W610" s="22" t="s">
        <v>2991</v>
      </c>
      <c r="X610" s="16"/>
      <c r="Y610" s="9"/>
      <c r="Z610" s="19">
        <v>16.899999999999999</v>
      </c>
      <c r="AA610" s="252">
        <v>45943</v>
      </c>
    </row>
    <row r="611" spans="1:31" s="28" customFormat="1" ht="20.25" customHeight="1">
      <c r="A611" s="11">
        <v>45926</v>
      </c>
      <c r="B611" s="16" t="s">
        <v>2945</v>
      </c>
      <c r="C611" s="16" t="s">
        <v>1568</v>
      </c>
      <c r="D611" s="16" t="s">
        <v>212</v>
      </c>
      <c r="E611" s="16" t="s">
        <v>25</v>
      </c>
      <c r="F611" s="16" t="s">
        <v>2959</v>
      </c>
      <c r="G611" s="16" t="s">
        <v>71</v>
      </c>
      <c r="H611" s="16" t="s">
        <v>26</v>
      </c>
      <c r="I611" s="16"/>
      <c r="J611" s="16" t="s">
        <v>27</v>
      </c>
      <c r="K611" s="16" t="s">
        <v>966</v>
      </c>
      <c r="L611" s="16" t="s">
        <v>35</v>
      </c>
      <c r="M611" s="17">
        <v>2437</v>
      </c>
      <c r="N611" s="23">
        <v>1.31</v>
      </c>
      <c r="O611" s="16" t="s">
        <v>67</v>
      </c>
      <c r="P611" s="16" t="s">
        <v>63</v>
      </c>
      <c r="Q611" s="16" t="s">
        <v>29</v>
      </c>
      <c r="R611" s="16" t="s">
        <v>1721</v>
      </c>
      <c r="S611" s="12" t="s">
        <v>2989</v>
      </c>
      <c r="T611" s="13">
        <v>45947</v>
      </c>
      <c r="U611" s="19"/>
      <c r="V611" s="53">
        <f>M611-Z611-AB611-AD611-AF611-AH611-AJ611-AL611-AN611-AP611-AR611-AT611-AV611-AX611-AZ611-BB611-BD611-BF611-BH611-U611</f>
        <v>-0.5</v>
      </c>
      <c r="W611" s="22" t="s">
        <v>2992</v>
      </c>
      <c r="X611" s="16"/>
      <c r="Y611" s="9"/>
      <c r="Z611" s="19">
        <v>2437.5</v>
      </c>
      <c r="AA611" s="252">
        <v>45951</v>
      </c>
    </row>
    <row r="612" spans="1:31" s="28" customFormat="1" ht="20.25" customHeight="1">
      <c r="A612" s="11">
        <v>45926</v>
      </c>
      <c r="B612" s="16" t="s">
        <v>2945</v>
      </c>
      <c r="C612" s="16" t="s">
        <v>1568</v>
      </c>
      <c r="D612" s="16" t="s">
        <v>212</v>
      </c>
      <c r="E612" s="16" t="s">
        <v>25</v>
      </c>
      <c r="F612" s="16" t="s">
        <v>2959</v>
      </c>
      <c r="G612" s="16" t="s">
        <v>71</v>
      </c>
      <c r="H612" s="16" t="s">
        <v>31</v>
      </c>
      <c r="I612" s="16"/>
      <c r="J612" s="16" t="s">
        <v>27</v>
      </c>
      <c r="K612" s="16" t="s">
        <v>2973</v>
      </c>
      <c r="L612" s="16" t="s">
        <v>35</v>
      </c>
      <c r="M612" s="17">
        <v>5000</v>
      </c>
      <c r="N612" s="23">
        <v>1.31</v>
      </c>
      <c r="O612" s="16" t="s">
        <v>67</v>
      </c>
      <c r="P612" s="16" t="s">
        <v>63</v>
      </c>
      <c r="Q612" s="16" t="s">
        <v>29</v>
      </c>
      <c r="R612" s="16" t="s">
        <v>2980</v>
      </c>
      <c r="S612" s="12" t="s">
        <v>2989</v>
      </c>
      <c r="T612" s="13">
        <v>45947</v>
      </c>
      <c r="U612" s="19"/>
      <c r="V612" s="53">
        <f>M612-Z612-AB612-AD612-AF612-AH612-AJ612-AL612-AN612-AP612-AR612-AT612-AV612-AX612-AZ612-BB612-BD612-BF612-BH612-U612</f>
        <v>0</v>
      </c>
      <c r="W612" s="22" t="s">
        <v>2993</v>
      </c>
      <c r="X612" s="16"/>
      <c r="Y612" s="9"/>
      <c r="Z612" s="19">
        <v>2661.2</v>
      </c>
      <c r="AA612" s="252">
        <v>45940</v>
      </c>
      <c r="AB612" s="19">
        <v>2338.8000000000002</v>
      </c>
      <c r="AC612" s="252">
        <v>45944</v>
      </c>
    </row>
    <row r="613" spans="1:31" s="122" customFormat="1" ht="20.25" customHeight="1">
      <c r="A613" s="300">
        <v>45926</v>
      </c>
      <c r="B613" s="301" t="s">
        <v>2946</v>
      </c>
      <c r="C613" s="301" t="s">
        <v>304</v>
      </c>
      <c r="D613" s="301" t="s">
        <v>212</v>
      </c>
      <c r="E613" s="301" t="s">
        <v>25</v>
      </c>
      <c r="F613" s="301" t="s">
        <v>2960</v>
      </c>
      <c r="G613" s="301" t="s">
        <v>71</v>
      </c>
      <c r="H613" s="301" t="s">
        <v>26</v>
      </c>
      <c r="I613" s="270"/>
      <c r="J613" s="270" t="s">
        <v>27</v>
      </c>
      <c r="K613" s="301" t="s">
        <v>2974</v>
      </c>
      <c r="L613" s="301" t="s">
        <v>35</v>
      </c>
      <c r="M613" s="302">
        <v>1480</v>
      </c>
      <c r="N613" s="271">
        <v>1.29</v>
      </c>
      <c r="O613" s="301" t="s">
        <v>67</v>
      </c>
      <c r="P613" s="301" t="s">
        <v>63</v>
      </c>
      <c r="Q613" s="301" t="s">
        <v>29</v>
      </c>
      <c r="R613" s="301" t="s">
        <v>2981</v>
      </c>
      <c r="S613" s="304" t="s">
        <v>2989</v>
      </c>
      <c r="T613" s="305">
        <v>45947</v>
      </c>
      <c r="U613" s="301"/>
      <c r="V613" s="306">
        <f>M613-Z613-AB613-AD613-AF613-AH613-AJ613-AL613-AN613-AP613-AR613-AT613-AV613-AX613-AZ613-BB613-BD613-BF613-BH613-U613</f>
        <v>-4.9000000000000909</v>
      </c>
      <c r="W613" s="307" t="s">
        <v>2994</v>
      </c>
      <c r="X613" s="301"/>
      <c r="Y613" s="335" t="s">
        <v>3210</v>
      </c>
      <c r="Z613" s="301">
        <v>1254.4000000000001</v>
      </c>
      <c r="AA613" s="312">
        <v>45944</v>
      </c>
      <c r="AB613" s="301">
        <f>210.5+20</f>
        <v>230.5</v>
      </c>
      <c r="AC613" s="312">
        <v>45958</v>
      </c>
    </row>
    <row r="614" spans="1:31" s="36" customFormat="1" ht="20.25" customHeight="1">
      <c r="A614" s="7">
        <v>45926</v>
      </c>
      <c r="B614" s="19" t="s">
        <v>2947</v>
      </c>
      <c r="C614" s="19" t="s">
        <v>304</v>
      </c>
      <c r="D614" s="19" t="s">
        <v>212</v>
      </c>
      <c r="E614" s="19" t="s">
        <v>25</v>
      </c>
      <c r="F614" s="19" t="s">
        <v>2961</v>
      </c>
      <c r="G614" s="19" t="s">
        <v>71</v>
      </c>
      <c r="H614" s="19" t="s">
        <v>31</v>
      </c>
      <c r="I614" s="19"/>
      <c r="J614" s="19" t="s">
        <v>27</v>
      </c>
      <c r="K614" s="19" t="s">
        <v>2355</v>
      </c>
      <c r="L614" s="19" t="s">
        <v>35</v>
      </c>
      <c r="M614" s="20">
        <v>1890</v>
      </c>
      <c r="N614" s="25">
        <v>1.29</v>
      </c>
      <c r="O614" s="19" t="s">
        <v>67</v>
      </c>
      <c r="P614" s="19" t="s">
        <v>63</v>
      </c>
      <c r="Q614" s="19" t="s">
        <v>29</v>
      </c>
      <c r="R614" s="19" t="s">
        <v>2982</v>
      </c>
      <c r="S614" s="45" t="s">
        <v>2989</v>
      </c>
      <c r="T614" s="8">
        <v>45947</v>
      </c>
      <c r="U614" s="19"/>
      <c r="V614" s="55">
        <f>M614-Z614-AB614-AD614-AF614-AH614-AJ614-AL614-AN614-AP614-AR614-AT614-AV614-AX614-AZ614-BB614-BD614-BF614-BH614-U614</f>
        <v>-3</v>
      </c>
      <c r="W614" s="15" t="s">
        <v>2995</v>
      </c>
      <c r="X614" s="19"/>
      <c r="Y614" s="10" t="s">
        <v>3210</v>
      </c>
      <c r="Z614" s="19">
        <f>677.4+1215.6</f>
        <v>1893</v>
      </c>
      <c r="AA614" s="123">
        <v>45940</v>
      </c>
    </row>
    <row r="615" spans="1:31" s="122" customFormat="1" ht="20.25" customHeight="1">
      <c r="A615" s="300">
        <v>45926</v>
      </c>
      <c r="B615" s="301" t="s">
        <v>2948</v>
      </c>
      <c r="C615" s="301" t="s">
        <v>304</v>
      </c>
      <c r="D615" s="301" t="s">
        <v>212</v>
      </c>
      <c r="E615" s="301" t="s">
        <v>25</v>
      </c>
      <c r="F615" s="301" t="s">
        <v>2962</v>
      </c>
      <c r="G615" s="301" t="s">
        <v>71</v>
      </c>
      <c r="H615" s="301" t="s">
        <v>31</v>
      </c>
      <c r="I615" s="301"/>
      <c r="J615" s="301" t="s">
        <v>27</v>
      </c>
      <c r="K615" s="301" t="s">
        <v>2975</v>
      </c>
      <c r="L615" s="301" t="s">
        <v>35</v>
      </c>
      <c r="M615" s="302">
        <v>3175</v>
      </c>
      <c r="N615" s="303">
        <v>1.29</v>
      </c>
      <c r="O615" s="301" t="s">
        <v>67</v>
      </c>
      <c r="P615" s="301" t="s">
        <v>63</v>
      </c>
      <c r="Q615" s="301" t="s">
        <v>29</v>
      </c>
      <c r="R615" s="301" t="s">
        <v>2983</v>
      </c>
      <c r="S615" s="304" t="s">
        <v>2989</v>
      </c>
      <c r="T615" s="305">
        <v>45947</v>
      </c>
      <c r="U615" s="301"/>
      <c r="V615" s="306">
        <f>M615-Z615-AB615-AD615-AF615-AH615-AJ615-AL615-AN615-AP615-AR615-AT615-AV615-AX615-AZ615-BB615-BD615-BF615-BH615-U615</f>
        <v>-3.2999999999997272</v>
      </c>
      <c r="W615" s="307" t="s">
        <v>2996</v>
      </c>
      <c r="X615" s="301"/>
      <c r="Y615" s="335" t="s">
        <v>3210</v>
      </c>
      <c r="Z615" s="301">
        <v>417.1</v>
      </c>
      <c r="AA615" s="312">
        <v>45939</v>
      </c>
      <c r="AB615" s="301">
        <v>2761.2</v>
      </c>
      <c r="AC615" s="312">
        <v>45951</v>
      </c>
    </row>
    <row r="616" spans="1:31" s="28" customFormat="1" ht="20.25" customHeight="1">
      <c r="A616" s="11">
        <v>45926</v>
      </c>
      <c r="B616" s="16" t="s">
        <v>2949</v>
      </c>
      <c r="C616" s="16" t="s">
        <v>304</v>
      </c>
      <c r="D616" s="16" t="s">
        <v>212</v>
      </c>
      <c r="E616" s="16" t="s">
        <v>25</v>
      </c>
      <c r="F616" s="16" t="s">
        <v>2963</v>
      </c>
      <c r="G616" s="16" t="s">
        <v>71</v>
      </c>
      <c r="H616" s="16" t="s">
        <v>31</v>
      </c>
      <c r="I616" s="16"/>
      <c r="J616" s="16" t="s">
        <v>27</v>
      </c>
      <c r="K616" s="16" t="s">
        <v>2976</v>
      </c>
      <c r="L616" s="16" t="s">
        <v>35</v>
      </c>
      <c r="M616" s="17">
        <v>1760</v>
      </c>
      <c r="N616" s="23">
        <v>1.29</v>
      </c>
      <c r="O616" s="16" t="s">
        <v>67</v>
      </c>
      <c r="P616" s="16" t="s">
        <v>63</v>
      </c>
      <c r="Q616" s="16" t="s">
        <v>29</v>
      </c>
      <c r="R616" s="16" t="s">
        <v>2984</v>
      </c>
      <c r="S616" s="12" t="s">
        <v>2989</v>
      </c>
      <c r="T616" s="13">
        <v>45947</v>
      </c>
      <c r="U616" s="19"/>
      <c r="V616" s="53">
        <f>M616-Z616-AB616-AD616-AF616-AH616-AJ616-AL616-AN616-AP616-AR616-AT616-AV616-AX616-AZ616-BB616-BD616-BF616-BH616-U616</f>
        <v>0</v>
      </c>
      <c r="W616" s="22" t="s">
        <v>2997</v>
      </c>
      <c r="X616" s="16"/>
      <c r="Y616" s="9"/>
      <c r="Z616" s="19">
        <v>1760</v>
      </c>
      <c r="AA616" s="252">
        <v>45936</v>
      </c>
    </row>
    <row r="617" spans="1:31" s="36" customFormat="1" ht="20.25" customHeight="1">
      <c r="A617" s="7">
        <v>45926</v>
      </c>
      <c r="B617" s="19" t="s">
        <v>2950</v>
      </c>
      <c r="C617" s="19" t="s">
        <v>304</v>
      </c>
      <c r="D617" s="19" t="s">
        <v>212</v>
      </c>
      <c r="E617" s="19" t="s">
        <v>25</v>
      </c>
      <c r="F617" s="19" t="s">
        <v>2964</v>
      </c>
      <c r="G617" s="19" t="s">
        <v>71</v>
      </c>
      <c r="H617" s="19" t="s">
        <v>26</v>
      </c>
      <c r="I617" s="19"/>
      <c r="J617" s="19" t="s">
        <v>27</v>
      </c>
      <c r="K617" s="19" t="s">
        <v>218</v>
      </c>
      <c r="L617" s="19" t="s">
        <v>35</v>
      </c>
      <c r="M617" s="20">
        <v>2030</v>
      </c>
      <c r="N617" s="25">
        <v>1.29</v>
      </c>
      <c r="O617" s="19" t="s">
        <v>1063</v>
      </c>
      <c r="P617" s="19" t="s">
        <v>63</v>
      </c>
      <c r="Q617" s="19" t="s">
        <v>29</v>
      </c>
      <c r="R617" s="19" t="s">
        <v>2985</v>
      </c>
      <c r="S617" s="45" t="s">
        <v>2989</v>
      </c>
      <c r="T617" s="8">
        <v>45947</v>
      </c>
      <c r="U617" s="19"/>
      <c r="V617" s="55">
        <f>M617-Z617-AB617-AD617-AF617-AH617-AJ617-AL617-AN617-AP617-AR617-AT617-AV617-AX617-AZ617-BB617-BD617-BF617-BH617-U617</f>
        <v>-8.2000000000000455</v>
      </c>
      <c r="W617" s="15" t="s">
        <v>2998</v>
      </c>
      <c r="X617" s="19"/>
      <c r="Y617" s="10" t="s">
        <v>3210</v>
      </c>
      <c r="Z617" s="19">
        <v>2038.2</v>
      </c>
      <c r="AA617" s="123">
        <v>45951</v>
      </c>
    </row>
    <row r="618" spans="1:31" s="122" customFormat="1" ht="20.25" customHeight="1">
      <c r="A618" s="300">
        <v>45926</v>
      </c>
      <c r="B618" s="301" t="s">
        <v>2951</v>
      </c>
      <c r="C618" s="301" t="s">
        <v>267</v>
      </c>
      <c r="D618" s="301" t="s">
        <v>212</v>
      </c>
      <c r="E618" s="301" t="s">
        <v>25</v>
      </c>
      <c r="F618" s="301" t="s">
        <v>2965</v>
      </c>
      <c r="G618" s="301" t="s">
        <v>71</v>
      </c>
      <c r="H618" s="301" t="s">
        <v>31</v>
      </c>
      <c r="I618" s="301"/>
      <c r="J618" s="301" t="s">
        <v>27</v>
      </c>
      <c r="K618" s="301" t="s">
        <v>760</v>
      </c>
      <c r="L618" s="301" t="s">
        <v>35</v>
      </c>
      <c r="M618" s="302">
        <v>2100</v>
      </c>
      <c r="N618" s="303">
        <v>1.29</v>
      </c>
      <c r="O618" s="301" t="s">
        <v>67</v>
      </c>
      <c r="P618" s="301" t="s">
        <v>63</v>
      </c>
      <c r="Q618" s="301" t="s">
        <v>29</v>
      </c>
      <c r="R618" s="301" t="s">
        <v>2986</v>
      </c>
      <c r="S618" s="304" t="s">
        <v>2989</v>
      </c>
      <c r="T618" s="305">
        <v>45947</v>
      </c>
      <c r="U618" s="301"/>
      <c r="V618" s="306">
        <f>M618-Z618-AB618-AD618-AF618-AH618-AJ618-AL618-AN618-AP618-AR618-AT618-AV618-AX618-AZ618-BB618-BD618-BF618-BH618-U618</f>
        <v>-1.2999999999999545</v>
      </c>
      <c r="W618" s="307" t="s">
        <v>2999</v>
      </c>
      <c r="X618" s="301"/>
      <c r="Y618" s="335"/>
      <c r="Z618" s="301">
        <v>1893.8</v>
      </c>
      <c r="AA618" s="312">
        <v>45940</v>
      </c>
      <c r="AB618" s="301">
        <v>207.5</v>
      </c>
      <c r="AC618" s="312">
        <v>45944</v>
      </c>
    </row>
    <row r="619" spans="1:31" s="36" customFormat="1" ht="20.25" customHeight="1">
      <c r="A619" s="7">
        <v>45926</v>
      </c>
      <c r="B619" s="19" t="s">
        <v>2952</v>
      </c>
      <c r="C619" s="19" t="s">
        <v>267</v>
      </c>
      <c r="D619" s="19" t="s">
        <v>212</v>
      </c>
      <c r="E619" s="19" t="s">
        <v>25</v>
      </c>
      <c r="F619" s="19" t="s">
        <v>2966</v>
      </c>
      <c r="G619" s="19" t="s">
        <v>71</v>
      </c>
      <c r="H619" s="19" t="s">
        <v>26</v>
      </c>
      <c r="I619" s="19"/>
      <c r="J619" s="19" t="s">
        <v>27</v>
      </c>
      <c r="K619" s="19" t="s">
        <v>214</v>
      </c>
      <c r="L619" s="19" t="s">
        <v>35</v>
      </c>
      <c r="M619" s="20">
        <v>3090</v>
      </c>
      <c r="N619" s="25">
        <v>1.29</v>
      </c>
      <c r="O619" s="19" t="s">
        <v>1063</v>
      </c>
      <c r="P619" s="19" t="s">
        <v>63</v>
      </c>
      <c r="Q619" s="19" t="s">
        <v>29</v>
      </c>
      <c r="R619" s="19" t="s">
        <v>713</v>
      </c>
      <c r="S619" s="45" t="s">
        <v>2989</v>
      </c>
      <c r="T619" s="8">
        <v>45947</v>
      </c>
      <c r="U619" s="19"/>
      <c r="V619" s="55">
        <f>M619-Z619-AB619-AD619-AF619-AH619-AJ619-AL619-AN619-AP619-AR619-AT619-AV619-AX619-AZ619-BB619-BD619-BF619-BH619-U619</f>
        <v>-4.3000000000001819</v>
      </c>
      <c r="W619" s="15" t="s">
        <v>3000</v>
      </c>
      <c r="X619" s="19"/>
      <c r="Y619" s="10"/>
      <c r="Z619" s="19">
        <f>2365.6+728.7</f>
        <v>3094.3</v>
      </c>
      <c r="AA619" s="123">
        <v>45940</v>
      </c>
    </row>
    <row r="620" spans="1:31" s="36" customFormat="1" ht="20.25" customHeight="1">
      <c r="A620" s="7">
        <v>45926</v>
      </c>
      <c r="B620" s="19" t="s">
        <v>2953</v>
      </c>
      <c r="C620" s="19" t="s">
        <v>267</v>
      </c>
      <c r="D620" s="19" t="s">
        <v>212</v>
      </c>
      <c r="E620" s="19" t="s">
        <v>25</v>
      </c>
      <c r="F620" s="19" t="s">
        <v>2967</v>
      </c>
      <c r="G620" s="19" t="s">
        <v>71</v>
      </c>
      <c r="H620" s="19" t="s">
        <v>31</v>
      </c>
      <c r="I620" s="19"/>
      <c r="J620" s="19" t="s">
        <v>27</v>
      </c>
      <c r="K620" s="19" t="s">
        <v>214</v>
      </c>
      <c r="L620" s="19" t="s">
        <v>35</v>
      </c>
      <c r="M620" s="20">
        <v>11800</v>
      </c>
      <c r="N620" s="25">
        <v>1.29</v>
      </c>
      <c r="O620" s="19" t="s">
        <v>1063</v>
      </c>
      <c r="P620" s="19" t="s">
        <v>63</v>
      </c>
      <c r="Q620" s="19" t="s">
        <v>29</v>
      </c>
      <c r="R620" s="19" t="s">
        <v>2922</v>
      </c>
      <c r="S620" s="45" t="s">
        <v>2989</v>
      </c>
      <c r="T620" s="8">
        <v>45947</v>
      </c>
      <c r="U620" s="19"/>
      <c r="V620" s="55">
        <f>M620-Z620-AB620-AD620-AF620-AH620-AJ620-AL620-AN620-AP620-AR620-AT620-AV620-AX620-AZ620-BB620-BD620-BF620-BH620-U620</f>
        <v>-7.8999999999996362</v>
      </c>
      <c r="W620" s="15" t="s">
        <v>3001</v>
      </c>
      <c r="X620" s="19"/>
      <c r="Y620" s="10"/>
      <c r="Z620" s="19">
        <v>2805.6</v>
      </c>
      <c r="AA620" s="123">
        <v>45940</v>
      </c>
      <c r="AB620" s="19">
        <f>35.7+2991+936.2+3619.2+1420.2</f>
        <v>9002.2999999999993</v>
      </c>
      <c r="AC620" s="123">
        <v>45944</v>
      </c>
    </row>
    <row r="621" spans="1:31" s="122" customFormat="1" ht="20.25" customHeight="1">
      <c r="A621" s="300">
        <v>45926</v>
      </c>
      <c r="B621" s="301" t="s">
        <v>2954</v>
      </c>
      <c r="C621" s="301" t="s">
        <v>267</v>
      </c>
      <c r="D621" s="301" t="s">
        <v>212</v>
      </c>
      <c r="E621" s="301" t="s">
        <v>25</v>
      </c>
      <c r="F621" s="301" t="s">
        <v>2968</v>
      </c>
      <c r="G621" s="301" t="s">
        <v>71</v>
      </c>
      <c r="H621" s="301" t="s">
        <v>31</v>
      </c>
      <c r="I621" s="301"/>
      <c r="J621" s="301" t="s">
        <v>27</v>
      </c>
      <c r="K621" s="301" t="s">
        <v>2230</v>
      </c>
      <c r="L621" s="301" t="s">
        <v>35</v>
      </c>
      <c r="M621" s="302">
        <f>9000+2540</f>
        <v>11540</v>
      </c>
      <c r="N621" s="303">
        <v>1.29</v>
      </c>
      <c r="O621" s="301" t="s">
        <v>67</v>
      </c>
      <c r="P621" s="301" t="s">
        <v>63</v>
      </c>
      <c r="Q621" s="301" t="s">
        <v>29</v>
      </c>
      <c r="R621" s="301" t="s">
        <v>2987</v>
      </c>
      <c r="S621" s="304" t="s">
        <v>2989</v>
      </c>
      <c r="T621" s="305">
        <v>45947</v>
      </c>
      <c r="U621" s="19"/>
      <c r="V621" s="306">
        <f>M621-Z621-AB621-AD621-AF621-AH621-AJ621-AL621-AN621-AP621-AR621-AT621-AV621-AX621-AZ621-BB621-BD621-BF621-BH621-U621</f>
        <v>-9.0949470177292824E-13</v>
      </c>
      <c r="W621" s="307" t="s">
        <v>3002</v>
      </c>
      <c r="X621" s="301"/>
      <c r="Y621" s="335"/>
      <c r="Z621" s="301">
        <f>2195.4+2191.3</f>
        <v>4386.7000000000007</v>
      </c>
      <c r="AA621" s="312">
        <v>45936</v>
      </c>
      <c r="AB621" s="19">
        <f>410.1+4571.7</f>
        <v>4981.8</v>
      </c>
      <c r="AC621" s="312">
        <v>45939</v>
      </c>
      <c r="AD621" s="19">
        <v>2171.5</v>
      </c>
      <c r="AE621" s="312">
        <v>45940</v>
      </c>
    </row>
    <row r="622" spans="1:31" s="36" customFormat="1" ht="20.25" customHeight="1">
      <c r="A622" s="7">
        <v>45926</v>
      </c>
      <c r="B622" s="19" t="s">
        <v>2955</v>
      </c>
      <c r="C622" s="19" t="s">
        <v>267</v>
      </c>
      <c r="D622" s="19" t="s">
        <v>212</v>
      </c>
      <c r="E622" s="19" t="s">
        <v>25</v>
      </c>
      <c r="F622" s="19" t="s">
        <v>2969</v>
      </c>
      <c r="G622" s="19" t="s">
        <v>71</v>
      </c>
      <c r="H622" s="19" t="s">
        <v>26</v>
      </c>
      <c r="I622" s="19"/>
      <c r="J622" s="19" t="s">
        <v>27</v>
      </c>
      <c r="K622" s="19" t="s">
        <v>214</v>
      </c>
      <c r="L622" s="19" t="s">
        <v>35</v>
      </c>
      <c r="M622" s="20">
        <v>500</v>
      </c>
      <c r="N622" s="25">
        <v>1.29</v>
      </c>
      <c r="O622" s="19" t="s">
        <v>1063</v>
      </c>
      <c r="P622" s="19" t="s">
        <v>63</v>
      </c>
      <c r="Q622" s="19" t="s">
        <v>29</v>
      </c>
      <c r="R622" s="19" t="s">
        <v>2988</v>
      </c>
      <c r="S622" s="45" t="s">
        <v>2989</v>
      </c>
      <c r="T622" s="8">
        <v>45947</v>
      </c>
      <c r="U622" s="19"/>
      <c r="V622" s="55">
        <f>M622-Z622-AB622-AD622-AF622-AH622-AJ622-AL622-AN622-AP622-AR622-AT622-AV622-AX622-AZ622-BB622-BD622-BF622-BH622-U622</f>
        <v>-1.1000000000000227</v>
      </c>
      <c r="W622" s="15" t="s">
        <v>3003</v>
      </c>
      <c r="X622" s="19"/>
      <c r="Y622" s="10"/>
      <c r="Z622" s="19">
        <v>501.1</v>
      </c>
      <c r="AA622" s="123">
        <v>45940</v>
      </c>
    </row>
    <row r="623" spans="1:31" s="28" customFormat="1" ht="20.25" customHeight="1">
      <c r="A623" s="11">
        <v>45926</v>
      </c>
      <c r="B623" s="16" t="s">
        <v>2956</v>
      </c>
      <c r="C623" s="16" t="s">
        <v>2624</v>
      </c>
      <c r="D623" s="16" t="s">
        <v>212</v>
      </c>
      <c r="E623" s="16" t="s">
        <v>25</v>
      </c>
      <c r="F623" s="16" t="s">
        <v>2970</v>
      </c>
      <c r="G623" s="16" t="s">
        <v>71</v>
      </c>
      <c r="H623" s="16" t="s">
        <v>31</v>
      </c>
      <c r="I623" s="1"/>
      <c r="J623" s="1" t="s">
        <v>27</v>
      </c>
      <c r="K623" s="16" t="s">
        <v>2977</v>
      </c>
      <c r="L623" s="1" t="s">
        <v>35</v>
      </c>
      <c r="M623" s="17">
        <v>1550.5</v>
      </c>
      <c r="N623" s="6">
        <v>1.31</v>
      </c>
      <c r="O623" s="1" t="s">
        <v>67</v>
      </c>
      <c r="P623" s="1" t="s">
        <v>63</v>
      </c>
      <c r="Q623" s="1" t="s">
        <v>920</v>
      </c>
      <c r="R623" s="1" t="s">
        <v>791</v>
      </c>
      <c r="S623" s="121" t="s">
        <v>2989</v>
      </c>
      <c r="T623" s="13">
        <v>45947</v>
      </c>
      <c r="U623" s="19"/>
      <c r="V623" s="53">
        <f>M623-Z623-AB623-AD623-AF623-AH623-AJ623-AL623-AN623-AP623-AR623-AT623-AV623-AX623-AZ623-BB623-BD623-BF623-BH623-U623</f>
        <v>0</v>
      </c>
      <c r="W623" s="22" t="s">
        <v>3004</v>
      </c>
      <c r="X623" s="16" t="s">
        <v>1021</v>
      </c>
      <c r="Y623" s="9"/>
      <c r="Z623" s="19">
        <v>1550.5</v>
      </c>
      <c r="AA623" s="252">
        <v>45953</v>
      </c>
    </row>
    <row r="624" spans="1:31" s="28" customFormat="1" ht="20.25" customHeight="1">
      <c r="A624" s="11">
        <v>45926</v>
      </c>
      <c r="B624" s="16" t="s">
        <v>2957</v>
      </c>
      <c r="C624" s="16" t="s">
        <v>243</v>
      </c>
      <c r="D624" s="16" t="s">
        <v>212</v>
      </c>
      <c r="E624" s="16" t="s">
        <v>25</v>
      </c>
      <c r="F624" s="16" t="s">
        <v>2971</v>
      </c>
      <c r="G624" s="16" t="s">
        <v>71</v>
      </c>
      <c r="H624" s="16" t="s">
        <v>31</v>
      </c>
      <c r="I624" s="16"/>
      <c r="J624" s="16" t="s">
        <v>27</v>
      </c>
      <c r="K624" s="16" t="s">
        <v>487</v>
      </c>
      <c r="L624" s="16" t="s">
        <v>35</v>
      </c>
      <c r="M624" s="17">
        <v>265</v>
      </c>
      <c r="N624" s="23">
        <v>1.31</v>
      </c>
      <c r="O624" s="16" t="s">
        <v>67</v>
      </c>
      <c r="P624" s="16" t="s">
        <v>63</v>
      </c>
      <c r="Q624" s="16" t="s">
        <v>2126</v>
      </c>
      <c r="R624" s="16" t="s">
        <v>2186</v>
      </c>
      <c r="S624" s="12" t="s">
        <v>2989</v>
      </c>
      <c r="T624" s="13">
        <v>45947</v>
      </c>
      <c r="U624" s="19"/>
      <c r="V624" s="53">
        <f>M624-Z624-AB624-AD624-AF624-AH624-AJ624-AL624-AN624-AP624-AR624-AT624-AV624-AX624-AZ624-BB624-BD624-BF624-BH624-U624</f>
        <v>-3.1000000000000227</v>
      </c>
      <c r="W624" s="22" t="s">
        <v>3005</v>
      </c>
      <c r="X624" s="16"/>
      <c r="Y624" s="9"/>
      <c r="Z624" s="19">
        <v>268.10000000000002</v>
      </c>
      <c r="AA624" s="252">
        <v>45946</v>
      </c>
    </row>
    <row r="625" spans="1:31" s="28" customFormat="1" ht="20.25" customHeight="1">
      <c r="A625" s="11">
        <v>45929</v>
      </c>
      <c r="B625" s="16" t="s">
        <v>3006</v>
      </c>
      <c r="C625" s="16" t="s">
        <v>1568</v>
      </c>
      <c r="D625" s="16" t="s">
        <v>212</v>
      </c>
      <c r="E625" s="16" t="s">
        <v>25</v>
      </c>
      <c r="F625" s="16" t="s">
        <v>3028</v>
      </c>
      <c r="G625" s="16" t="s">
        <v>71</v>
      </c>
      <c r="H625" s="16" t="s">
        <v>31</v>
      </c>
      <c r="I625" s="16"/>
      <c r="J625" s="16" t="s">
        <v>27</v>
      </c>
      <c r="K625" s="16" t="s">
        <v>483</v>
      </c>
      <c r="L625" s="16" t="s">
        <v>35</v>
      </c>
      <c r="M625" s="17">
        <v>1853</v>
      </c>
      <c r="N625" s="23">
        <v>1.31</v>
      </c>
      <c r="O625" s="16" t="s">
        <v>67</v>
      </c>
      <c r="P625" s="16" t="s">
        <v>63</v>
      </c>
      <c r="Q625" s="16" t="s">
        <v>29</v>
      </c>
      <c r="R625" s="16" t="s">
        <v>775</v>
      </c>
      <c r="S625" s="12" t="s">
        <v>3057</v>
      </c>
      <c r="T625" s="13">
        <v>45954</v>
      </c>
      <c r="U625" s="19"/>
      <c r="V625" s="53">
        <f>M625-Z625-AB625-AD625-AF625-AH625-AJ625-AL625-AN625-AP625-AR625-AT625-AV625-AX625-AZ625-BB625-BD625-BF625-BH625-U625</f>
        <v>-0.39999999999994884</v>
      </c>
      <c r="W625" s="22" t="s">
        <v>3060</v>
      </c>
      <c r="X625" s="16" t="s">
        <v>29</v>
      </c>
      <c r="Y625" s="9"/>
      <c r="Z625" s="19">
        <v>345.6</v>
      </c>
      <c r="AA625" s="252">
        <v>45937</v>
      </c>
      <c r="AB625" s="19">
        <v>1299.7</v>
      </c>
      <c r="AC625" s="252">
        <v>45954</v>
      </c>
      <c r="AD625" s="19">
        <v>208.1</v>
      </c>
      <c r="AE625" s="252">
        <v>45961</v>
      </c>
    </row>
    <row r="626" spans="1:31" s="28" customFormat="1" ht="20.25" customHeight="1">
      <c r="A626" s="11">
        <v>45929</v>
      </c>
      <c r="B626" s="16" t="s">
        <v>3007</v>
      </c>
      <c r="C626" s="16" t="s">
        <v>267</v>
      </c>
      <c r="D626" s="16" t="s">
        <v>212</v>
      </c>
      <c r="E626" s="16" t="s">
        <v>25</v>
      </c>
      <c r="F626" s="16" t="s">
        <v>3029</v>
      </c>
      <c r="G626" s="16" t="s">
        <v>71</v>
      </c>
      <c r="H626" s="16" t="s">
        <v>31</v>
      </c>
      <c r="I626" s="16"/>
      <c r="J626" s="16" t="s">
        <v>27</v>
      </c>
      <c r="K626" s="16" t="s">
        <v>372</v>
      </c>
      <c r="L626" s="16" t="s">
        <v>35</v>
      </c>
      <c r="M626" s="17">
        <v>400</v>
      </c>
      <c r="N626" s="23">
        <v>1.29</v>
      </c>
      <c r="O626" s="16" t="s">
        <v>67</v>
      </c>
      <c r="P626" s="16" t="s">
        <v>63</v>
      </c>
      <c r="Q626" s="16" t="s">
        <v>29</v>
      </c>
      <c r="R626" s="16" t="s">
        <v>3051</v>
      </c>
      <c r="S626" s="12" t="s">
        <v>3057</v>
      </c>
      <c r="T626" s="13">
        <v>45954</v>
      </c>
      <c r="U626" s="19"/>
      <c r="V626" s="53">
        <f>M626-Z626-AB626-AD626-AF626-AH626-AJ626-AL626-AN626-AP626-AR626-AT626-AV626-AX626-AZ626-BB626-BD626-BF626-BH626-U626</f>
        <v>0</v>
      </c>
      <c r="W626" s="22" t="s">
        <v>3061</v>
      </c>
      <c r="X626" s="16" t="s">
        <v>29</v>
      </c>
      <c r="Y626" s="9"/>
      <c r="Z626" s="19">
        <v>400</v>
      </c>
      <c r="AA626" s="252">
        <v>45944</v>
      </c>
    </row>
    <row r="627" spans="1:31" s="28" customFormat="1" ht="20.25" customHeight="1">
      <c r="A627" s="11">
        <v>45929</v>
      </c>
      <c r="B627" s="16" t="s">
        <v>3008</v>
      </c>
      <c r="C627" s="16" t="s">
        <v>267</v>
      </c>
      <c r="D627" s="16" t="s">
        <v>212</v>
      </c>
      <c r="E627" s="16" t="s">
        <v>25</v>
      </c>
      <c r="F627" s="16" t="s">
        <v>3030</v>
      </c>
      <c r="G627" s="16" t="s">
        <v>71</v>
      </c>
      <c r="H627" s="16" t="s">
        <v>26</v>
      </c>
      <c r="I627" s="16"/>
      <c r="J627" s="16" t="s">
        <v>27</v>
      </c>
      <c r="K627" s="16" t="s">
        <v>372</v>
      </c>
      <c r="L627" s="16" t="s">
        <v>35</v>
      </c>
      <c r="M627" s="17">
        <v>1175</v>
      </c>
      <c r="N627" s="23">
        <v>1.29</v>
      </c>
      <c r="O627" s="16" t="s">
        <v>67</v>
      </c>
      <c r="P627" s="16" t="s">
        <v>63</v>
      </c>
      <c r="Q627" s="16" t="s">
        <v>29</v>
      </c>
      <c r="R627" s="16" t="s">
        <v>964</v>
      </c>
      <c r="S627" s="12" t="s">
        <v>3057</v>
      </c>
      <c r="T627" s="13">
        <v>45954</v>
      </c>
      <c r="U627" s="19"/>
      <c r="V627" s="53">
        <f>M627-Z627-AB627-AD627-AF627-AH627-AJ627-AL627-AN627-AP627-AR627-AT627-AV627-AX627-AZ627-BB627-BD627-BF627-BH627-U627</f>
        <v>-3.2999999999999545</v>
      </c>
      <c r="W627" s="22" t="s">
        <v>3062</v>
      </c>
      <c r="X627" s="16" t="s">
        <v>29</v>
      </c>
      <c r="Y627" s="9"/>
      <c r="Z627" s="19">
        <v>1178.3</v>
      </c>
      <c r="AA627" s="252">
        <v>45944</v>
      </c>
    </row>
    <row r="628" spans="1:31" s="28" customFormat="1" ht="20.25" customHeight="1">
      <c r="A628" s="11">
        <v>45929</v>
      </c>
      <c r="B628" s="16" t="s">
        <v>3009</v>
      </c>
      <c r="C628" s="16" t="s">
        <v>267</v>
      </c>
      <c r="D628" s="16" t="s">
        <v>212</v>
      </c>
      <c r="E628" s="16" t="s">
        <v>25</v>
      </c>
      <c r="F628" s="16" t="s">
        <v>3031</v>
      </c>
      <c r="G628" s="16" t="s">
        <v>71</v>
      </c>
      <c r="H628" s="16" t="s">
        <v>26</v>
      </c>
      <c r="I628" s="16"/>
      <c r="J628" s="16" t="s">
        <v>27</v>
      </c>
      <c r="K628" s="16" t="s">
        <v>332</v>
      </c>
      <c r="L628" s="16" t="s">
        <v>35</v>
      </c>
      <c r="M628" s="17">
        <v>825</v>
      </c>
      <c r="N628" s="23">
        <v>1.29</v>
      </c>
      <c r="O628" s="16" t="s">
        <v>67</v>
      </c>
      <c r="P628" s="16" t="s">
        <v>63</v>
      </c>
      <c r="Q628" s="16" t="s">
        <v>29</v>
      </c>
      <c r="R628" s="16" t="s">
        <v>2919</v>
      </c>
      <c r="S628" s="12" t="s">
        <v>3057</v>
      </c>
      <c r="T628" s="13">
        <v>45954</v>
      </c>
      <c r="U628" s="19"/>
      <c r="V628" s="53">
        <f>M628-Z628-AB628-AD628-AF628-AH628-AJ628-AL628-AN628-AP628-AR628-AT628-AV628-AX628-AZ628-BB628-BD628-BF628-BH628-U628</f>
        <v>-1.7000000000000455</v>
      </c>
      <c r="W628" s="22" t="s">
        <v>3184</v>
      </c>
      <c r="X628" s="16" t="s">
        <v>29</v>
      </c>
      <c r="Y628" s="9" t="s">
        <v>3174</v>
      </c>
      <c r="Z628" s="19">
        <v>826.7</v>
      </c>
      <c r="AA628" s="252">
        <v>45944</v>
      </c>
    </row>
    <row r="629" spans="1:31" s="122" customFormat="1" ht="20.25" customHeight="1">
      <c r="A629" s="300">
        <v>45929</v>
      </c>
      <c r="B629" s="301" t="s">
        <v>3010</v>
      </c>
      <c r="C629" s="301" t="s">
        <v>267</v>
      </c>
      <c r="D629" s="301" t="s">
        <v>212</v>
      </c>
      <c r="E629" s="301" t="s">
        <v>25</v>
      </c>
      <c r="F629" s="301" t="s">
        <v>3032</v>
      </c>
      <c r="G629" s="301" t="s">
        <v>71</v>
      </c>
      <c r="H629" s="301" t="s">
        <v>26</v>
      </c>
      <c r="I629" s="270"/>
      <c r="J629" s="270" t="s">
        <v>27</v>
      </c>
      <c r="K629" s="301" t="s">
        <v>351</v>
      </c>
      <c r="L629" s="301" t="s">
        <v>35</v>
      </c>
      <c r="M629" s="302">
        <v>1325</v>
      </c>
      <c r="N629" s="271">
        <v>1.29</v>
      </c>
      <c r="O629" s="301" t="s">
        <v>67</v>
      </c>
      <c r="P629" s="301" t="s">
        <v>63</v>
      </c>
      <c r="Q629" s="301" t="s">
        <v>29</v>
      </c>
      <c r="R629" s="301" t="s">
        <v>3052</v>
      </c>
      <c r="S629" s="304" t="s">
        <v>3057</v>
      </c>
      <c r="T629" s="305">
        <v>45954</v>
      </c>
      <c r="U629" s="301"/>
      <c r="V629" s="306">
        <f>M629-Z629-AB629-AD629-AF629-AH629-AJ629-AL629-AN629-AP629-AR629-AT629-AV629-AX629-AZ629-BB629-BD629-BF629-BH629-U629</f>
        <v>-4.2000000000000455</v>
      </c>
      <c r="W629" s="307" t="s">
        <v>3063</v>
      </c>
      <c r="X629" s="301" t="s">
        <v>29</v>
      </c>
      <c r="Y629" s="335"/>
      <c r="Z629" s="301">
        <v>1329.2</v>
      </c>
      <c r="AA629" s="312">
        <v>45958</v>
      </c>
    </row>
    <row r="630" spans="1:31" s="28" customFormat="1" ht="20.25" customHeight="1">
      <c r="A630" s="11">
        <v>45929</v>
      </c>
      <c r="B630" s="16" t="s">
        <v>3011</v>
      </c>
      <c r="C630" s="16" t="s">
        <v>267</v>
      </c>
      <c r="D630" s="16" t="s">
        <v>212</v>
      </c>
      <c r="E630" s="16" t="s">
        <v>25</v>
      </c>
      <c r="F630" s="16" t="s">
        <v>3033</v>
      </c>
      <c r="G630" s="16" t="s">
        <v>71</v>
      </c>
      <c r="H630" s="16" t="s">
        <v>26</v>
      </c>
      <c r="I630" s="1"/>
      <c r="J630" s="1" t="s">
        <v>27</v>
      </c>
      <c r="K630" s="16" t="s">
        <v>3050</v>
      </c>
      <c r="L630" s="16" t="s">
        <v>35</v>
      </c>
      <c r="M630" s="17">
        <v>1400</v>
      </c>
      <c r="N630" s="6">
        <v>1.29</v>
      </c>
      <c r="O630" s="16" t="s">
        <v>67</v>
      </c>
      <c r="P630" s="16" t="s">
        <v>63</v>
      </c>
      <c r="Q630" s="16" t="s">
        <v>29</v>
      </c>
      <c r="R630" s="16" t="s">
        <v>2921</v>
      </c>
      <c r="S630" s="12" t="s">
        <v>3057</v>
      </c>
      <c r="T630" s="13">
        <v>45954</v>
      </c>
      <c r="U630" s="19"/>
      <c r="V630" s="53">
        <f>M630-Z630-AB630-AD630-AF630-AH630-AJ630-AL630-AN630-AP630-AR630-AT630-AV630-AX630-AZ630-BB630-BD630-BF630-BH630-U630</f>
        <v>-3.0999999999999091</v>
      </c>
      <c r="W630" s="22" t="s">
        <v>3064</v>
      </c>
      <c r="X630" s="16" t="s">
        <v>29</v>
      </c>
      <c r="Y630" s="9"/>
      <c r="Z630" s="19">
        <v>1403.1</v>
      </c>
      <c r="AA630" s="252">
        <v>45958</v>
      </c>
    </row>
    <row r="631" spans="1:31" s="28" customFormat="1" ht="20.25" customHeight="1">
      <c r="A631" s="11">
        <v>45929</v>
      </c>
      <c r="B631" s="16" t="s">
        <v>3012</v>
      </c>
      <c r="C631" s="16" t="s">
        <v>267</v>
      </c>
      <c r="D631" s="16" t="s">
        <v>212</v>
      </c>
      <c r="E631" s="16" t="s">
        <v>25</v>
      </c>
      <c r="F631" s="16" t="s">
        <v>3034</v>
      </c>
      <c r="G631" s="16" t="s">
        <v>71</v>
      </c>
      <c r="H631" s="16" t="s">
        <v>26</v>
      </c>
      <c r="I631" s="16"/>
      <c r="J631" s="16" t="s">
        <v>27</v>
      </c>
      <c r="K631" s="16" t="s">
        <v>2975</v>
      </c>
      <c r="L631" s="16" t="s">
        <v>35</v>
      </c>
      <c r="M631" s="17">
        <v>825</v>
      </c>
      <c r="N631" s="23">
        <v>1.29</v>
      </c>
      <c r="O631" s="16" t="s">
        <v>67</v>
      </c>
      <c r="P631" s="16" t="s">
        <v>63</v>
      </c>
      <c r="Q631" s="16" t="s">
        <v>29</v>
      </c>
      <c r="R631" s="16" t="s">
        <v>3053</v>
      </c>
      <c r="S631" s="12" t="s">
        <v>3057</v>
      </c>
      <c r="T631" s="13">
        <v>45954</v>
      </c>
      <c r="U631" s="19"/>
      <c r="V631" s="53">
        <f>M631-Z631-AB631-AD631-AF631-AH631-AJ631-AL631-AN631-AP631-AR631-AT631-AV631-AX631-AZ631-BB631-BD631-BF631-BH631-U631</f>
        <v>-2.1000000000000227</v>
      </c>
      <c r="W631" s="22" t="s">
        <v>3065</v>
      </c>
      <c r="X631" s="16" t="s">
        <v>29</v>
      </c>
      <c r="Y631" s="9"/>
      <c r="Z631" s="19">
        <v>796.6</v>
      </c>
      <c r="AA631" s="252">
        <v>45951</v>
      </c>
      <c r="AB631" s="19">
        <v>30.5</v>
      </c>
      <c r="AC631" s="252">
        <v>45964</v>
      </c>
    </row>
    <row r="632" spans="1:31" s="28" customFormat="1" ht="20.25" customHeight="1">
      <c r="A632" s="11">
        <v>45929</v>
      </c>
      <c r="B632" s="16" t="s">
        <v>3013</v>
      </c>
      <c r="C632" s="16" t="s">
        <v>267</v>
      </c>
      <c r="D632" s="16" t="s">
        <v>212</v>
      </c>
      <c r="E632" s="16" t="s">
        <v>25</v>
      </c>
      <c r="F632" s="16" t="s">
        <v>3035</v>
      </c>
      <c r="G632" s="16" t="s">
        <v>71</v>
      </c>
      <c r="H632" s="16" t="s">
        <v>26</v>
      </c>
      <c r="I632" s="16"/>
      <c r="J632" s="16" t="s">
        <v>27</v>
      </c>
      <c r="K632" s="16" t="s">
        <v>372</v>
      </c>
      <c r="L632" s="16" t="s">
        <v>35</v>
      </c>
      <c r="M632" s="17">
        <v>600</v>
      </c>
      <c r="N632" s="23">
        <v>1.29</v>
      </c>
      <c r="O632" s="16" t="s">
        <v>67</v>
      </c>
      <c r="P632" s="16" t="s">
        <v>63</v>
      </c>
      <c r="Q632" s="16" t="s">
        <v>29</v>
      </c>
      <c r="R632" s="16" t="s">
        <v>2923</v>
      </c>
      <c r="S632" s="12" t="s">
        <v>3057</v>
      </c>
      <c r="T632" s="13">
        <v>45954</v>
      </c>
      <c r="U632" s="19"/>
      <c r="V632" s="53">
        <f>M632-Z632-AB632-AD632-AF632-AH632-AJ632-AL632-AN632-AP632-AR632-AT632-AV632-AX632-AZ632-BB632-BD632-BF632-BH632-U632</f>
        <v>-0.20000000000004547</v>
      </c>
      <c r="W632" s="22" t="s">
        <v>3066</v>
      </c>
      <c r="X632" s="16" t="s">
        <v>29</v>
      </c>
      <c r="Y632" s="9"/>
      <c r="Z632" s="19">
        <v>67.2</v>
      </c>
      <c r="AA632" s="252">
        <v>45944</v>
      </c>
      <c r="AB632" s="19">
        <v>533</v>
      </c>
      <c r="AC632" s="252">
        <v>45951</v>
      </c>
    </row>
    <row r="633" spans="1:31" s="28" customFormat="1" ht="20.25" customHeight="1">
      <c r="A633" s="11">
        <v>45929</v>
      </c>
      <c r="B633" s="16" t="s">
        <v>3014</v>
      </c>
      <c r="C633" s="16" t="s">
        <v>267</v>
      </c>
      <c r="D633" s="16" t="s">
        <v>212</v>
      </c>
      <c r="E633" s="16" t="s">
        <v>25</v>
      </c>
      <c r="F633" s="16" t="s">
        <v>3036</v>
      </c>
      <c r="G633" s="16" t="s">
        <v>71</v>
      </c>
      <c r="H633" s="16" t="s">
        <v>26</v>
      </c>
      <c r="I633" s="1"/>
      <c r="J633" s="1" t="s">
        <v>27</v>
      </c>
      <c r="K633" s="16" t="s">
        <v>351</v>
      </c>
      <c r="L633" s="16" t="s">
        <v>35</v>
      </c>
      <c r="M633" s="17">
        <v>2325</v>
      </c>
      <c r="N633" s="6">
        <v>1.29</v>
      </c>
      <c r="O633" s="16" t="s">
        <v>67</v>
      </c>
      <c r="P633" s="16" t="s">
        <v>63</v>
      </c>
      <c r="Q633" s="16" t="s">
        <v>29</v>
      </c>
      <c r="R633" s="16" t="s">
        <v>1396</v>
      </c>
      <c r="S633" s="12" t="s">
        <v>3057</v>
      </c>
      <c r="T633" s="13">
        <v>45954</v>
      </c>
      <c r="U633" s="19"/>
      <c r="V633" s="53">
        <f>M633-Z633-AB633-AD633-AF633-AH633-AJ633-AL633-AN633-AP633-AR633-AT633-AV633-AX633-AZ633-BB633-BD633-BF633-BH633-U633</f>
        <v>-1.7000000000002728</v>
      </c>
      <c r="W633" s="22" t="s">
        <v>3067</v>
      </c>
      <c r="X633" s="16" t="s">
        <v>29</v>
      </c>
      <c r="Y633" s="9"/>
      <c r="Z633" s="19">
        <f>2167.3+159.4</f>
        <v>2326.7000000000003</v>
      </c>
      <c r="AA633" s="252">
        <v>45958</v>
      </c>
    </row>
    <row r="634" spans="1:31" s="28" customFormat="1" ht="20.25" customHeight="1">
      <c r="A634" s="11">
        <v>45929</v>
      </c>
      <c r="B634" s="16" t="s">
        <v>3015</v>
      </c>
      <c r="C634" s="16" t="s">
        <v>267</v>
      </c>
      <c r="D634" s="16" t="s">
        <v>212</v>
      </c>
      <c r="E634" s="16" t="s">
        <v>25</v>
      </c>
      <c r="F634" s="16" t="s">
        <v>3037</v>
      </c>
      <c r="G634" s="16" t="s">
        <v>71</v>
      </c>
      <c r="H634" s="16" t="s">
        <v>31</v>
      </c>
      <c r="I634" s="1"/>
      <c r="J634" s="1" t="s">
        <v>27</v>
      </c>
      <c r="K634" s="16" t="s">
        <v>372</v>
      </c>
      <c r="L634" s="1" t="s">
        <v>35</v>
      </c>
      <c r="M634" s="17">
        <v>150</v>
      </c>
      <c r="N634" s="23">
        <v>1.29</v>
      </c>
      <c r="O634" s="16" t="s">
        <v>67</v>
      </c>
      <c r="P634" s="16" t="s">
        <v>63</v>
      </c>
      <c r="Q634" s="16" t="s">
        <v>29</v>
      </c>
      <c r="R634" s="16" t="s">
        <v>3054</v>
      </c>
      <c r="S634" s="12" t="s">
        <v>3057</v>
      </c>
      <c r="T634" s="13">
        <v>45954</v>
      </c>
      <c r="U634" s="19"/>
      <c r="V634" s="53">
        <f>M634-Z634-AB634-AD634-AF634-AH634-AJ634-AL634-AN634-AP634-AR634-AT634-AV634-AX634-AZ634-BB634-BD634-BF634-BH634-U634</f>
        <v>-7.4000000000000057</v>
      </c>
      <c r="W634" s="22" t="s">
        <v>3068</v>
      </c>
      <c r="X634" s="16" t="s">
        <v>29</v>
      </c>
      <c r="Y634" s="9"/>
      <c r="Z634" s="19">
        <v>157.4</v>
      </c>
      <c r="AA634" s="252">
        <v>45946</v>
      </c>
    </row>
    <row r="635" spans="1:31" s="28" customFormat="1" ht="20.25" customHeight="1">
      <c r="A635" s="11">
        <v>45929</v>
      </c>
      <c r="B635" s="16" t="s">
        <v>3016</v>
      </c>
      <c r="C635" s="16" t="s">
        <v>267</v>
      </c>
      <c r="D635" s="16" t="s">
        <v>212</v>
      </c>
      <c r="E635" s="16" t="s">
        <v>25</v>
      </c>
      <c r="F635" s="16" t="s">
        <v>3038</v>
      </c>
      <c r="G635" s="16" t="s">
        <v>71</v>
      </c>
      <c r="H635" s="16" t="s">
        <v>26</v>
      </c>
      <c r="I635" s="16"/>
      <c r="J635" s="16" t="s">
        <v>27</v>
      </c>
      <c r="K635" s="16" t="s">
        <v>1647</v>
      </c>
      <c r="L635" s="16" t="s">
        <v>35</v>
      </c>
      <c r="M635" s="17">
        <v>75</v>
      </c>
      <c r="N635" s="23">
        <v>1.29</v>
      </c>
      <c r="O635" s="16" t="s">
        <v>67</v>
      </c>
      <c r="P635" s="16" t="s">
        <v>63</v>
      </c>
      <c r="Q635" s="16" t="s">
        <v>29</v>
      </c>
      <c r="R635" s="16" t="s">
        <v>2919</v>
      </c>
      <c r="S635" s="12" t="s">
        <v>3057</v>
      </c>
      <c r="T635" s="13">
        <v>45954</v>
      </c>
      <c r="U635" s="19"/>
      <c r="V635" s="53">
        <f>M635-Z635-AB635-AD635-AF635-AH635-AJ635-AL635-AN635-AP635-AR635-AT635-AV635-AX635-AZ635-BB635-BD635-BF635-BH635-U635</f>
        <v>0</v>
      </c>
      <c r="W635" s="22" t="s">
        <v>3069</v>
      </c>
      <c r="X635" s="16" t="s">
        <v>29</v>
      </c>
      <c r="Y635" s="9" t="s">
        <v>3173</v>
      </c>
      <c r="Z635" s="19">
        <v>75</v>
      </c>
      <c r="AA635" s="252">
        <v>45944</v>
      </c>
    </row>
    <row r="636" spans="1:31" s="28" customFormat="1" ht="20.25" customHeight="1">
      <c r="A636" s="11">
        <v>45929</v>
      </c>
      <c r="B636" s="16" t="s">
        <v>3017</v>
      </c>
      <c r="C636" s="16" t="s">
        <v>267</v>
      </c>
      <c r="D636" s="16" t="s">
        <v>212</v>
      </c>
      <c r="E636" s="16" t="s">
        <v>25</v>
      </c>
      <c r="F636" s="16" t="s">
        <v>3039</v>
      </c>
      <c r="G636" s="16" t="s">
        <v>71</v>
      </c>
      <c r="H636" s="16" t="s">
        <v>26</v>
      </c>
      <c r="I636" s="1"/>
      <c r="J636" s="1" t="s">
        <v>27</v>
      </c>
      <c r="K636" s="16" t="s">
        <v>1717</v>
      </c>
      <c r="L636" s="16" t="s">
        <v>35</v>
      </c>
      <c r="M636" s="17">
        <v>100</v>
      </c>
      <c r="N636" s="6">
        <v>1.29</v>
      </c>
      <c r="O636" s="16" t="s">
        <v>67</v>
      </c>
      <c r="P636" s="16" t="s">
        <v>63</v>
      </c>
      <c r="Q636" s="16" t="s">
        <v>29</v>
      </c>
      <c r="R636" s="16" t="s">
        <v>3055</v>
      </c>
      <c r="S636" s="12" t="s">
        <v>3059</v>
      </c>
      <c r="T636" s="13">
        <v>45954</v>
      </c>
      <c r="U636" s="19"/>
      <c r="V636" s="53">
        <f>M636-Z636-AB636-AD636-AF636-AH636-AJ636-AL636-AN636-AP636-AR636-AT636-AV636-AX636-AZ636-BB636-BD636-BF636-BH636-U636</f>
        <v>-1.4000000000000057</v>
      </c>
      <c r="W636" s="22" t="s">
        <v>3070</v>
      </c>
      <c r="X636" s="16" t="s">
        <v>29</v>
      </c>
      <c r="Y636" s="9"/>
      <c r="Z636" s="19">
        <v>101.4</v>
      </c>
      <c r="AA636" s="252">
        <v>45958</v>
      </c>
    </row>
    <row r="637" spans="1:31" s="28" customFormat="1" ht="20.25" customHeight="1">
      <c r="A637" s="11">
        <v>45929</v>
      </c>
      <c r="B637" s="16" t="s">
        <v>3018</v>
      </c>
      <c r="C637" s="16" t="s">
        <v>267</v>
      </c>
      <c r="D637" s="16" t="s">
        <v>212</v>
      </c>
      <c r="E637" s="16" t="s">
        <v>25</v>
      </c>
      <c r="F637" s="16" t="s">
        <v>3040</v>
      </c>
      <c r="G637" s="16" t="s">
        <v>71</v>
      </c>
      <c r="H637" s="16" t="s">
        <v>26</v>
      </c>
      <c r="I637" s="16"/>
      <c r="J637" s="16" t="s">
        <v>27</v>
      </c>
      <c r="K637" s="16" t="s">
        <v>782</v>
      </c>
      <c r="L637" s="16" t="s">
        <v>75</v>
      </c>
      <c r="M637" s="17">
        <v>425</v>
      </c>
      <c r="N637" s="6">
        <v>1.29</v>
      </c>
      <c r="O637" s="16" t="s">
        <v>67</v>
      </c>
      <c r="P637" s="16" t="s">
        <v>63</v>
      </c>
      <c r="Q637" s="16" t="s">
        <v>29</v>
      </c>
      <c r="R637" s="16" t="s">
        <v>1500</v>
      </c>
      <c r="S637" s="12" t="s">
        <v>3057</v>
      </c>
      <c r="T637" s="13">
        <v>45954</v>
      </c>
      <c r="U637" s="19"/>
      <c r="V637" s="53">
        <f>M637-Z637-AB637-AD637-AF637-AH637-AJ637-AL637-AN637-AP637-AR637-AT637-AV637-AX637-AZ637-BB637-BD637-BF637-BH637-U637</f>
        <v>-4.3000000000000114</v>
      </c>
      <c r="W637" s="22" t="s">
        <v>3071</v>
      </c>
      <c r="X637" s="16" t="s">
        <v>29</v>
      </c>
      <c r="Y637" s="9"/>
      <c r="Z637" s="19">
        <f>49.5+379.8</f>
        <v>429.3</v>
      </c>
      <c r="AA637" s="252">
        <v>45958</v>
      </c>
    </row>
    <row r="638" spans="1:31" s="28" customFormat="1" ht="20.25" customHeight="1">
      <c r="A638" s="11">
        <v>45929</v>
      </c>
      <c r="B638" s="16" t="s">
        <v>3019</v>
      </c>
      <c r="C638" s="16" t="s">
        <v>267</v>
      </c>
      <c r="D638" s="16" t="s">
        <v>212</v>
      </c>
      <c r="E638" s="16" t="s">
        <v>25</v>
      </c>
      <c r="F638" s="16" t="s">
        <v>3041</v>
      </c>
      <c r="G638" s="16" t="s">
        <v>71</v>
      </c>
      <c r="H638" s="16" t="s">
        <v>26</v>
      </c>
      <c r="I638" s="16"/>
      <c r="J638" s="16" t="s">
        <v>27</v>
      </c>
      <c r="K638" s="16" t="s">
        <v>3050</v>
      </c>
      <c r="L638" s="16" t="s">
        <v>75</v>
      </c>
      <c r="M638" s="17">
        <v>250</v>
      </c>
      <c r="N638" s="6">
        <v>1.29</v>
      </c>
      <c r="O638" s="16" t="s">
        <v>67</v>
      </c>
      <c r="P638" s="16" t="s">
        <v>63</v>
      </c>
      <c r="Q638" s="16" t="s">
        <v>29</v>
      </c>
      <c r="R638" s="16" t="s">
        <v>2921</v>
      </c>
      <c r="S638" s="12" t="s">
        <v>3057</v>
      </c>
      <c r="T638" s="13">
        <v>45954</v>
      </c>
      <c r="U638" s="19"/>
      <c r="V638" s="53">
        <f>M638-Z638-AB638-AD638-AF638-AH638-AJ638-AL638-AN638-AP638-AR638-AT638-AV638-AX638-AZ638-BB638-BD638-BF638-BH638-U638</f>
        <v>-1</v>
      </c>
      <c r="W638" s="22" t="s">
        <v>3072</v>
      </c>
      <c r="X638" s="16" t="s">
        <v>29</v>
      </c>
      <c r="Y638" s="9"/>
      <c r="Z638" s="19">
        <v>251</v>
      </c>
      <c r="AA638" s="252">
        <v>45958</v>
      </c>
    </row>
    <row r="639" spans="1:31" s="28" customFormat="1" ht="20.25" customHeight="1">
      <c r="A639" s="11">
        <v>45929</v>
      </c>
      <c r="B639" s="16" t="s">
        <v>3020</v>
      </c>
      <c r="C639" s="16" t="s">
        <v>267</v>
      </c>
      <c r="D639" s="16" t="s">
        <v>212</v>
      </c>
      <c r="E639" s="16" t="s">
        <v>25</v>
      </c>
      <c r="F639" s="16" t="s">
        <v>3042</v>
      </c>
      <c r="G639" s="16" t="s">
        <v>71</v>
      </c>
      <c r="H639" s="16" t="s">
        <v>31</v>
      </c>
      <c r="I639" s="16"/>
      <c r="J639" s="16" t="s">
        <v>27</v>
      </c>
      <c r="K639" s="16" t="s">
        <v>372</v>
      </c>
      <c r="L639" s="16" t="s">
        <v>35</v>
      </c>
      <c r="M639" s="17">
        <v>1100</v>
      </c>
      <c r="N639" s="23">
        <v>1.29</v>
      </c>
      <c r="O639" s="16" t="s">
        <v>67</v>
      </c>
      <c r="P639" s="16" t="s">
        <v>63</v>
      </c>
      <c r="Q639" s="16" t="s">
        <v>29</v>
      </c>
      <c r="R639" s="16" t="s">
        <v>3051</v>
      </c>
      <c r="S639" s="12" t="s">
        <v>3057</v>
      </c>
      <c r="T639" s="13">
        <v>45954</v>
      </c>
      <c r="U639" s="19"/>
      <c r="V639" s="53">
        <f>M639-Z639-AB639-AD639-AF639-AH639-AJ639-AL639-AN639-AP639-AR639-AT639-AV639-AX639-AZ639-BB639-BD639-BF639-BH639-U639</f>
        <v>-3.7000000000000455</v>
      </c>
      <c r="W639" s="22" t="s">
        <v>3073</v>
      </c>
      <c r="X639" s="16" t="s">
        <v>29</v>
      </c>
      <c r="Y639" s="9"/>
      <c r="Z639" s="19">
        <v>1103.7</v>
      </c>
      <c r="AA639" s="252">
        <v>45940</v>
      </c>
    </row>
    <row r="640" spans="1:31" s="28" customFormat="1" ht="20.25" customHeight="1">
      <c r="A640" s="11">
        <v>45929</v>
      </c>
      <c r="B640" s="16" t="s">
        <v>3021</v>
      </c>
      <c r="C640" s="16" t="s">
        <v>267</v>
      </c>
      <c r="D640" s="16" t="s">
        <v>212</v>
      </c>
      <c r="E640" s="16" t="s">
        <v>25</v>
      </c>
      <c r="F640" s="16" t="s">
        <v>3043</v>
      </c>
      <c r="G640" s="16" t="s">
        <v>71</v>
      </c>
      <c r="H640" s="16" t="s">
        <v>26</v>
      </c>
      <c r="I640" s="16"/>
      <c r="J640" s="16" t="s">
        <v>27</v>
      </c>
      <c r="K640" s="16" t="s">
        <v>332</v>
      </c>
      <c r="L640" s="16" t="s">
        <v>35</v>
      </c>
      <c r="M640" s="17">
        <v>1050</v>
      </c>
      <c r="N640" s="23">
        <v>1.29</v>
      </c>
      <c r="O640" s="16" t="s">
        <v>67</v>
      </c>
      <c r="P640" s="16" t="s">
        <v>63</v>
      </c>
      <c r="Q640" s="16" t="s">
        <v>29</v>
      </c>
      <c r="R640" s="16" t="s">
        <v>2919</v>
      </c>
      <c r="S640" s="12" t="s">
        <v>3057</v>
      </c>
      <c r="T640" s="13">
        <v>45954</v>
      </c>
      <c r="U640" s="19"/>
      <c r="V640" s="53">
        <f>M640-Z640-AB640-AD640-AF640-AH640-AJ640-AL640-AN640-AP640-AR640-AT640-AV640-AX640-AZ640-BB640-BD640-BF640-BH640-U640</f>
        <v>-2.2999999999999545</v>
      </c>
      <c r="W640" s="22" t="s">
        <v>3074</v>
      </c>
      <c r="X640" s="16" t="s">
        <v>29</v>
      </c>
      <c r="Y640" s="9" t="s">
        <v>3174</v>
      </c>
      <c r="Z640" s="19">
        <v>1052.3</v>
      </c>
      <c r="AA640" s="252">
        <v>45944</v>
      </c>
    </row>
    <row r="641" spans="1:31" s="28" customFormat="1" ht="20.25" customHeight="1">
      <c r="A641" s="11">
        <v>45929</v>
      </c>
      <c r="B641" s="16" t="s">
        <v>3022</v>
      </c>
      <c r="C641" s="16" t="s">
        <v>267</v>
      </c>
      <c r="D641" s="16" t="s">
        <v>212</v>
      </c>
      <c r="E641" s="16" t="s">
        <v>25</v>
      </c>
      <c r="F641" s="16" t="s">
        <v>3044</v>
      </c>
      <c r="G641" s="16" t="s">
        <v>71</v>
      </c>
      <c r="H641" s="16" t="s">
        <v>26</v>
      </c>
      <c r="I641" s="1"/>
      <c r="J641" s="1" t="s">
        <v>27</v>
      </c>
      <c r="K641" s="16" t="s">
        <v>3050</v>
      </c>
      <c r="L641" s="16" t="s">
        <v>35</v>
      </c>
      <c r="M641" s="17">
        <v>1075</v>
      </c>
      <c r="N641" s="6">
        <v>1.29</v>
      </c>
      <c r="O641" s="16" t="s">
        <v>67</v>
      </c>
      <c r="P641" s="16" t="s">
        <v>63</v>
      </c>
      <c r="Q641" s="16" t="s">
        <v>29</v>
      </c>
      <c r="R641" s="16" t="s">
        <v>2921</v>
      </c>
      <c r="S641" s="12" t="s">
        <v>3057</v>
      </c>
      <c r="T641" s="13">
        <v>45954</v>
      </c>
      <c r="U641" s="19"/>
      <c r="V641" s="53">
        <f>M641-Z641-AB641-AD641-AF641-AH641-AJ641-AL641-AN641-AP641-AR641-AT641-AV641-AX641-AZ641-BB641-BD641-BF641-BH641-U641</f>
        <v>-1.5000000000000568</v>
      </c>
      <c r="W641" s="22" t="s">
        <v>3075</v>
      </c>
      <c r="X641" s="16" t="s">
        <v>29</v>
      </c>
      <c r="Y641" s="9"/>
      <c r="Z641" s="19">
        <v>665.2</v>
      </c>
      <c r="AA641" s="252">
        <v>45951</v>
      </c>
      <c r="AB641" s="19">
        <v>411.3</v>
      </c>
      <c r="AC641" s="252">
        <v>45958</v>
      </c>
    </row>
    <row r="642" spans="1:31" s="28" customFormat="1" ht="20.25" customHeight="1">
      <c r="A642" s="11">
        <v>45929</v>
      </c>
      <c r="B642" s="16" t="s">
        <v>3023</v>
      </c>
      <c r="C642" s="16" t="s">
        <v>267</v>
      </c>
      <c r="D642" s="16" t="s">
        <v>212</v>
      </c>
      <c r="E642" s="16" t="s">
        <v>25</v>
      </c>
      <c r="F642" s="16" t="s">
        <v>3045</v>
      </c>
      <c r="G642" s="16" t="s">
        <v>71</v>
      </c>
      <c r="H642" s="16" t="s">
        <v>26</v>
      </c>
      <c r="I642" s="16"/>
      <c r="J642" s="16" t="s">
        <v>27</v>
      </c>
      <c r="K642" s="16" t="s">
        <v>1470</v>
      </c>
      <c r="L642" s="16" t="s">
        <v>35</v>
      </c>
      <c r="M642" s="17">
        <v>725</v>
      </c>
      <c r="N642" s="23">
        <v>1.29</v>
      </c>
      <c r="O642" s="16" t="s">
        <v>67</v>
      </c>
      <c r="P642" s="16" t="s">
        <v>63</v>
      </c>
      <c r="Q642" s="16" t="s">
        <v>29</v>
      </c>
      <c r="R642" s="16" t="s">
        <v>3053</v>
      </c>
      <c r="S642" s="12" t="s">
        <v>3057</v>
      </c>
      <c r="T642" s="13">
        <v>45954</v>
      </c>
      <c r="U642" s="19"/>
      <c r="V642" s="53">
        <f>M642-Z642-AB642-AD642-AF642-AH642-AJ642-AL642-AN642-AP642-AR642-AT642-AV642-AX642-AZ642-BB642-BD642-BF642-BH642-U642</f>
        <v>-0.5</v>
      </c>
      <c r="W642" s="22" t="s">
        <v>3076</v>
      </c>
      <c r="X642" s="16" t="s">
        <v>29</v>
      </c>
      <c r="Y642" s="9"/>
      <c r="Z642" s="19">
        <v>725.5</v>
      </c>
      <c r="AA642" s="252">
        <v>45951</v>
      </c>
    </row>
    <row r="643" spans="1:31" s="36" customFormat="1" ht="20.25" customHeight="1">
      <c r="A643" s="7">
        <v>45929</v>
      </c>
      <c r="B643" s="19" t="s">
        <v>3024</v>
      </c>
      <c r="C643" s="19" t="s">
        <v>267</v>
      </c>
      <c r="D643" s="19" t="s">
        <v>212</v>
      </c>
      <c r="E643" s="19" t="s">
        <v>25</v>
      </c>
      <c r="F643" s="19" t="s">
        <v>3046</v>
      </c>
      <c r="G643" s="19" t="s">
        <v>71</v>
      </c>
      <c r="H643" s="19" t="s">
        <v>26</v>
      </c>
      <c r="I643" s="270"/>
      <c r="J643" s="270" t="s">
        <v>27</v>
      </c>
      <c r="K643" s="19" t="s">
        <v>372</v>
      </c>
      <c r="L643" s="301" t="s">
        <v>35</v>
      </c>
      <c r="M643" s="20">
        <v>700</v>
      </c>
      <c r="N643" s="25">
        <v>1.29</v>
      </c>
      <c r="O643" s="19" t="s">
        <v>67</v>
      </c>
      <c r="P643" s="19" t="s">
        <v>63</v>
      </c>
      <c r="Q643" s="19" t="s">
        <v>29</v>
      </c>
      <c r="R643" s="19" t="s">
        <v>2923</v>
      </c>
      <c r="S643" s="45" t="s">
        <v>3057</v>
      </c>
      <c r="T643" s="8">
        <v>45954</v>
      </c>
      <c r="U643" s="19"/>
      <c r="V643" s="55">
        <f>M643-Z643-AB643-AD643-AF643-AH643-AJ643-AL643-AN643-AP643-AR643-AT643-AV643-AX643-AZ643-BB643-BD643-BF643-BH643-U643</f>
        <v>-2.4000000000000057</v>
      </c>
      <c r="W643" s="15" t="s">
        <v>3077</v>
      </c>
      <c r="X643" s="19" t="s">
        <v>29</v>
      </c>
      <c r="Y643" s="10"/>
      <c r="Z643" s="19">
        <v>569</v>
      </c>
      <c r="AA643" s="123">
        <v>45940</v>
      </c>
      <c r="AB643" s="19">
        <v>133.4</v>
      </c>
      <c r="AC643" s="123">
        <v>45958</v>
      </c>
    </row>
    <row r="644" spans="1:31" s="36" customFormat="1" ht="20.25" customHeight="1">
      <c r="A644" s="7">
        <v>45929</v>
      </c>
      <c r="B644" s="19" t="s">
        <v>3025</v>
      </c>
      <c r="C644" s="19" t="s">
        <v>267</v>
      </c>
      <c r="D644" s="19" t="s">
        <v>212</v>
      </c>
      <c r="E644" s="19" t="s">
        <v>25</v>
      </c>
      <c r="F644" s="19" t="s">
        <v>3047</v>
      </c>
      <c r="G644" s="19" t="s">
        <v>71</v>
      </c>
      <c r="H644" s="19" t="s">
        <v>26</v>
      </c>
      <c r="I644" s="270"/>
      <c r="J644" s="270" t="s">
        <v>27</v>
      </c>
      <c r="K644" s="19" t="s">
        <v>351</v>
      </c>
      <c r="L644" s="301" t="s">
        <v>35</v>
      </c>
      <c r="M644" s="20">
        <v>2375</v>
      </c>
      <c r="N644" s="25">
        <v>1.29</v>
      </c>
      <c r="O644" s="19" t="s">
        <v>67</v>
      </c>
      <c r="P644" s="19" t="s">
        <v>63</v>
      </c>
      <c r="Q644" s="19" t="s">
        <v>29</v>
      </c>
      <c r="R644" s="19" t="s">
        <v>3056</v>
      </c>
      <c r="S644" s="45" t="s">
        <v>3057</v>
      </c>
      <c r="T644" s="8">
        <v>45954</v>
      </c>
      <c r="U644" s="19"/>
      <c r="V644" s="55">
        <f>M644-Z644-AB644-AD644-AF644-AH644-AJ644-AL644-AN644-AP644-AR644-AT644-AV644-AX644-AZ644-BB644-BD644-BF644-BH644-U644</f>
        <v>-1.7000000000000455</v>
      </c>
      <c r="W644" s="15" t="s">
        <v>3078</v>
      </c>
      <c r="X644" s="19" t="s">
        <v>29</v>
      </c>
      <c r="Y644" s="10"/>
      <c r="Z644" s="19">
        <v>602</v>
      </c>
      <c r="AA644" s="123">
        <v>45944</v>
      </c>
      <c r="AB644" s="19">
        <v>1048.9000000000001</v>
      </c>
      <c r="AC644" s="123">
        <v>45951</v>
      </c>
      <c r="AD644" s="19">
        <v>725.8</v>
      </c>
      <c r="AE644" s="123">
        <v>45958</v>
      </c>
    </row>
    <row r="645" spans="1:31" s="28" customFormat="1" ht="20.25" customHeight="1">
      <c r="A645" s="11">
        <v>45929</v>
      </c>
      <c r="B645" s="16" t="s">
        <v>3026</v>
      </c>
      <c r="C645" s="16" t="s">
        <v>267</v>
      </c>
      <c r="D645" s="16" t="s">
        <v>212</v>
      </c>
      <c r="E645" s="16" t="s">
        <v>25</v>
      </c>
      <c r="F645" s="16" t="s">
        <v>3048</v>
      </c>
      <c r="G645" s="16" t="s">
        <v>71</v>
      </c>
      <c r="H645" s="16" t="s">
        <v>31</v>
      </c>
      <c r="I645" s="16"/>
      <c r="J645" s="16" t="s">
        <v>27</v>
      </c>
      <c r="K645" s="16" t="s">
        <v>2530</v>
      </c>
      <c r="L645" s="16" t="s">
        <v>35</v>
      </c>
      <c r="M645" s="17">
        <v>150</v>
      </c>
      <c r="N645" s="23">
        <v>1.29</v>
      </c>
      <c r="O645" s="16" t="s">
        <v>67</v>
      </c>
      <c r="P645" s="16" t="s">
        <v>63</v>
      </c>
      <c r="Q645" s="16" t="s">
        <v>29</v>
      </c>
      <c r="R645" s="16" t="s">
        <v>2987</v>
      </c>
      <c r="S645" s="12" t="s">
        <v>3057</v>
      </c>
      <c r="T645" s="13">
        <v>45946</v>
      </c>
      <c r="U645" s="19"/>
      <c r="V645" s="53">
        <f>M645-Z645-AB645-AD645-AF645-AH645-AJ645-AL645-AN645-AP645-AR645-AT645-AV645-AX645-AZ645-BB645-BD645-BF645-BH645-U645</f>
        <v>-1.3000000000000114</v>
      </c>
      <c r="W645" s="22" t="s">
        <v>3079</v>
      </c>
      <c r="X645" s="16" t="s">
        <v>29</v>
      </c>
      <c r="Y645" s="9"/>
      <c r="Z645" s="19">
        <v>151.30000000000001</v>
      </c>
      <c r="AA645" s="252">
        <v>45940</v>
      </c>
    </row>
    <row r="646" spans="1:31" s="36" customFormat="1" ht="20.25" customHeight="1">
      <c r="A646" s="7">
        <v>45929</v>
      </c>
      <c r="B646" s="19" t="s">
        <v>3027</v>
      </c>
      <c r="C646" s="19" t="s">
        <v>304</v>
      </c>
      <c r="D646" s="19" t="s">
        <v>212</v>
      </c>
      <c r="E646" s="19" t="s">
        <v>25</v>
      </c>
      <c r="F646" s="19" t="s">
        <v>3049</v>
      </c>
      <c r="G646" s="19" t="s">
        <v>71</v>
      </c>
      <c r="H646" s="19" t="s">
        <v>31</v>
      </c>
      <c r="I646" s="19"/>
      <c r="J646" s="19" t="s">
        <v>27</v>
      </c>
      <c r="K646" s="19" t="s">
        <v>2738</v>
      </c>
      <c r="L646" s="19" t="s">
        <v>35</v>
      </c>
      <c r="M646" s="20">
        <v>155</v>
      </c>
      <c r="N646" s="25">
        <v>1.29</v>
      </c>
      <c r="O646" s="19" t="s">
        <v>67</v>
      </c>
      <c r="P646" s="19" t="s">
        <v>63</v>
      </c>
      <c r="Q646" s="19" t="s">
        <v>2866</v>
      </c>
      <c r="R646" s="19" t="s">
        <v>29</v>
      </c>
      <c r="S646" s="45" t="s">
        <v>3058</v>
      </c>
      <c r="T646" s="8">
        <v>45950</v>
      </c>
      <c r="U646" s="19"/>
      <c r="V646" s="55">
        <f>M646-Z646-AB646-AD646-AF646-AH646-AJ646-AL646-AN646-AP646-AR646-AT646-AV646-AX646-AZ646-BB646-BD646-BF646-BH646-U646</f>
        <v>-3.1999999999999886</v>
      </c>
      <c r="W646" s="15" t="s">
        <v>3080</v>
      </c>
      <c r="X646" s="19" t="s">
        <v>3082</v>
      </c>
      <c r="Y646" s="10" t="s">
        <v>3210</v>
      </c>
      <c r="Z646" s="19">
        <v>158.19999999999999</v>
      </c>
      <c r="AA646" s="123">
        <v>45940</v>
      </c>
    </row>
    <row r="647" spans="1:31" s="36" customFormat="1" ht="20.25" customHeight="1">
      <c r="A647" s="7">
        <v>45929</v>
      </c>
      <c r="B647" s="19" t="s">
        <v>3027</v>
      </c>
      <c r="C647" s="19" t="s">
        <v>304</v>
      </c>
      <c r="D647" s="19" t="s">
        <v>212</v>
      </c>
      <c r="E647" s="19" t="s">
        <v>25</v>
      </c>
      <c r="F647" s="19" t="s">
        <v>3049</v>
      </c>
      <c r="G647" s="19" t="s">
        <v>71</v>
      </c>
      <c r="H647" s="19" t="s">
        <v>31</v>
      </c>
      <c r="I647" s="301"/>
      <c r="J647" s="301" t="s">
        <v>27</v>
      </c>
      <c r="K647" s="19" t="s">
        <v>465</v>
      </c>
      <c r="L647" s="301" t="s">
        <v>35</v>
      </c>
      <c r="M647" s="20">
        <v>660</v>
      </c>
      <c r="N647" s="25">
        <v>1.29</v>
      </c>
      <c r="O647" s="19" t="s">
        <v>67</v>
      </c>
      <c r="P647" s="19" t="s">
        <v>63</v>
      </c>
      <c r="Q647" s="19" t="s">
        <v>2865</v>
      </c>
      <c r="R647" s="19" t="s">
        <v>29</v>
      </c>
      <c r="S647" s="45" t="s">
        <v>3058</v>
      </c>
      <c r="T647" s="8">
        <v>45950</v>
      </c>
      <c r="U647" s="19"/>
      <c r="V647" s="55">
        <f>M647-Z647-AB647-AD647-AF647-AH647-AJ647-AL647-AN647-AP647-AR647-AT647-AV647-AX647-AZ647-BB647-BD647-BF647-BH647-U647</f>
        <v>-3.2999999999999545</v>
      </c>
      <c r="W647" s="15" t="s">
        <v>3081</v>
      </c>
      <c r="X647" s="19" t="s">
        <v>3083</v>
      </c>
      <c r="Y647" s="10" t="s">
        <v>3210</v>
      </c>
      <c r="Z647" s="19">
        <v>663.3</v>
      </c>
      <c r="AA647" s="123">
        <v>45951</v>
      </c>
    </row>
    <row r="648" spans="1:31" s="36" customFormat="1" ht="20.25" customHeight="1">
      <c r="A648" s="7">
        <v>45930</v>
      </c>
      <c r="B648" s="19" t="s">
        <v>3084</v>
      </c>
      <c r="C648" s="19" t="s">
        <v>304</v>
      </c>
      <c r="D648" s="19" t="s">
        <v>212</v>
      </c>
      <c r="E648" s="19" t="s">
        <v>25</v>
      </c>
      <c r="F648" s="19" t="s">
        <v>3088</v>
      </c>
      <c r="G648" s="19" t="s">
        <v>71</v>
      </c>
      <c r="H648" s="19" t="s">
        <v>26</v>
      </c>
      <c r="I648" s="270"/>
      <c r="J648" s="270" t="s">
        <v>27</v>
      </c>
      <c r="K648" s="19" t="s">
        <v>351</v>
      </c>
      <c r="L648" s="301" t="s">
        <v>35</v>
      </c>
      <c r="M648" s="20">
        <v>25</v>
      </c>
      <c r="N648" s="25">
        <v>1.29</v>
      </c>
      <c r="O648" s="19" t="s">
        <v>67</v>
      </c>
      <c r="P648" s="19" t="s">
        <v>63</v>
      </c>
      <c r="Q648" s="19" t="s">
        <v>29</v>
      </c>
      <c r="R648" s="19" t="s">
        <v>3092</v>
      </c>
      <c r="S648" s="45" t="s">
        <v>2813</v>
      </c>
      <c r="T648" s="8">
        <v>45944</v>
      </c>
      <c r="U648" s="19"/>
      <c r="V648" s="55">
        <f>M648-Z648-AB648-AD648-AF648-AH648-AJ648-AL648-AN648-AP648-AR648-AT648-AV648-AX648-AZ648-BB648-BD648-BF648-BH648-U648</f>
        <v>-2.3000000000000007</v>
      </c>
      <c r="W648" s="15" t="s">
        <v>3094</v>
      </c>
      <c r="X648" s="19" t="s">
        <v>29</v>
      </c>
      <c r="Y648" s="10"/>
      <c r="Z648" s="19">
        <v>27.3</v>
      </c>
      <c r="AA648" s="123">
        <v>45958</v>
      </c>
    </row>
    <row r="649" spans="1:31" s="36" customFormat="1" ht="20.25" customHeight="1">
      <c r="A649" s="7">
        <v>45930</v>
      </c>
      <c r="B649" s="19" t="s">
        <v>3085</v>
      </c>
      <c r="C649" s="19" t="s">
        <v>304</v>
      </c>
      <c r="D649" s="19" t="s">
        <v>212</v>
      </c>
      <c r="E649" s="19" t="s">
        <v>25</v>
      </c>
      <c r="F649" s="19" t="s">
        <v>3089</v>
      </c>
      <c r="G649" s="19" t="s">
        <v>71</v>
      </c>
      <c r="H649" s="19" t="s">
        <v>31</v>
      </c>
      <c r="I649" s="19"/>
      <c r="J649" s="19" t="s">
        <v>27</v>
      </c>
      <c r="K649" s="19" t="s">
        <v>537</v>
      </c>
      <c r="L649" s="19" t="s">
        <v>35</v>
      </c>
      <c r="M649" s="20">
        <v>670</v>
      </c>
      <c r="N649" s="25">
        <v>1.29</v>
      </c>
      <c r="O649" s="19" t="s">
        <v>67</v>
      </c>
      <c r="P649" s="19" t="s">
        <v>63</v>
      </c>
      <c r="Q649" s="19" t="s">
        <v>29</v>
      </c>
      <c r="R649" s="19" t="s">
        <v>3093</v>
      </c>
      <c r="S649" s="45" t="s">
        <v>3057</v>
      </c>
      <c r="T649" s="8">
        <v>45954</v>
      </c>
      <c r="U649" s="19"/>
      <c r="V649" s="55">
        <f>M649-Z649-AB649-AD649-AF649-AH649-AJ649-AL649-AN649-AP649-AR649-AT649-AV649-AX649-AZ649-BB649-BD649-BF649-BH649-U649</f>
        <v>-0.79999999999995453</v>
      </c>
      <c r="W649" s="15" t="s">
        <v>3095</v>
      </c>
      <c r="X649" s="19" t="s">
        <v>29</v>
      </c>
      <c r="Y649" s="10" t="s">
        <v>3274</v>
      </c>
      <c r="Z649" s="19">
        <v>670.8</v>
      </c>
      <c r="AA649" s="123">
        <v>45946</v>
      </c>
    </row>
    <row r="650" spans="1:31" s="28" customFormat="1" ht="20.25" customHeight="1">
      <c r="A650" s="11">
        <v>45930</v>
      </c>
      <c r="B650" s="16" t="s">
        <v>3086</v>
      </c>
      <c r="C650" s="16" t="s">
        <v>400</v>
      </c>
      <c r="D650" s="16" t="s">
        <v>212</v>
      </c>
      <c r="E650" s="16" t="s">
        <v>25</v>
      </c>
      <c r="F650" s="16" t="s">
        <v>3090</v>
      </c>
      <c r="G650" s="16" t="s">
        <v>71</v>
      </c>
      <c r="H650" s="16" t="s">
        <v>31</v>
      </c>
      <c r="I650" s="16"/>
      <c r="J650" s="16" t="s">
        <v>27</v>
      </c>
      <c r="K650" s="16" t="s">
        <v>923</v>
      </c>
      <c r="L650" s="16" t="s">
        <v>35</v>
      </c>
      <c r="M650" s="17">
        <v>12</v>
      </c>
      <c r="N650" s="23">
        <v>1.31</v>
      </c>
      <c r="O650" s="16" t="s">
        <v>67</v>
      </c>
      <c r="P650" s="16" t="s">
        <v>63</v>
      </c>
      <c r="Q650" s="16" t="s">
        <v>2187</v>
      </c>
      <c r="R650" s="16" t="s">
        <v>2188</v>
      </c>
      <c r="S650" s="12" t="s">
        <v>2813</v>
      </c>
      <c r="T650" s="13">
        <v>45944</v>
      </c>
      <c r="U650" s="19"/>
      <c r="V650" s="53">
        <f>M650-Z650-AB650-AD650-AF650-AH650-AJ650-AL650-AN650-AP650-AR650-AT650-AV650-AX650-AZ650-BB650-BD650-BF650-BH650-U650</f>
        <v>-5.3000000000000007</v>
      </c>
      <c r="W650" s="22" t="s">
        <v>3096</v>
      </c>
      <c r="X650" s="16" t="s">
        <v>29</v>
      </c>
      <c r="Y650" s="9"/>
      <c r="Z650" s="19">
        <v>17.3</v>
      </c>
      <c r="AA650" s="252">
        <v>45951</v>
      </c>
    </row>
    <row r="651" spans="1:31" s="28" customFormat="1" ht="20.25" customHeight="1">
      <c r="A651" s="11">
        <v>45930</v>
      </c>
      <c r="B651" s="16" t="s">
        <v>3087</v>
      </c>
      <c r="C651" s="16" t="s">
        <v>400</v>
      </c>
      <c r="D651" s="16" t="s">
        <v>212</v>
      </c>
      <c r="E651" s="16" t="s">
        <v>25</v>
      </c>
      <c r="F651" s="16" t="s">
        <v>3091</v>
      </c>
      <c r="G651" s="16" t="s">
        <v>71</v>
      </c>
      <c r="H651" s="16" t="s">
        <v>31</v>
      </c>
      <c r="I651" s="16"/>
      <c r="J651" s="16" t="s">
        <v>27</v>
      </c>
      <c r="K651" s="16" t="s">
        <v>2972</v>
      </c>
      <c r="L651" s="16" t="s">
        <v>35</v>
      </c>
      <c r="M651" s="17">
        <v>2794.16</v>
      </c>
      <c r="N651" s="23">
        <v>1.31</v>
      </c>
      <c r="O651" s="16" t="s">
        <v>67</v>
      </c>
      <c r="P651" s="16" t="s">
        <v>63</v>
      </c>
      <c r="Q651" s="16" t="s">
        <v>474</v>
      </c>
      <c r="R651" s="16" t="s">
        <v>1387</v>
      </c>
      <c r="S651" s="12" t="s">
        <v>3057</v>
      </c>
      <c r="T651" s="13">
        <v>45954</v>
      </c>
      <c r="U651" s="19"/>
      <c r="V651" s="53">
        <f>M651-Z651-AB651-AD651-AF651-AH651-AJ651-AL651-AN651-AP651-AR651-AT651-AV651-AX651-AZ651-BB651-BD651-BF651-BH651-U651</f>
        <v>-0.84000000000014552</v>
      </c>
      <c r="W651" s="22" t="s">
        <v>3097</v>
      </c>
      <c r="X651" s="16" t="s">
        <v>29</v>
      </c>
      <c r="Y651" s="9"/>
      <c r="Z651" s="19">
        <v>2795</v>
      </c>
      <c r="AA651" s="252">
        <v>45943</v>
      </c>
    </row>
    <row r="652" spans="1:31" s="36" customFormat="1" ht="20.25" customHeight="1">
      <c r="A652" s="7">
        <v>45931</v>
      </c>
      <c r="B652" s="19" t="s">
        <v>3104</v>
      </c>
      <c r="C652" s="19" t="s">
        <v>304</v>
      </c>
      <c r="D652" s="19" t="s">
        <v>212</v>
      </c>
      <c r="E652" s="19" t="s">
        <v>34</v>
      </c>
      <c r="F652" s="19" t="s">
        <v>3185</v>
      </c>
      <c r="G652" s="19" t="s">
        <v>71</v>
      </c>
      <c r="H652" s="19" t="s">
        <v>26</v>
      </c>
      <c r="I652" s="270"/>
      <c r="J652" s="270" t="s">
        <v>27</v>
      </c>
      <c r="K652" s="19" t="s">
        <v>760</v>
      </c>
      <c r="L652" s="301" t="s">
        <v>35</v>
      </c>
      <c r="M652" s="20">
        <v>25</v>
      </c>
      <c r="N652" s="25">
        <v>1.29</v>
      </c>
      <c r="O652" s="19" t="s">
        <v>67</v>
      </c>
      <c r="P652" s="19" t="s">
        <v>63</v>
      </c>
      <c r="Q652" s="19" t="s">
        <v>29</v>
      </c>
      <c r="R652" s="19" t="s">
        <v>3092</v>
      </c>
      <c r="S652" s="45" t="s">
        <v>2867</v>
      </c>
      <c r="T652" s="8">
        <v>45945</v>
      </c>
      <c r="U652" s="19"/>
      <c r="V652" s="55">
        <f>M652-Z652-AB652-AD652-AF652-AH652-AJ652-AL652-AN652-AP652-AR652-AT652-AV652-AX652-AZ652-BB652-BD652-BF652-BH652-U652</f>
        <v>-1.3000000000000007</v>
      </c>
      <c r="W652" s="15" t="s">
        <v>3114</v>
      </c>
      <c r="X652" s="19" t="s">
        <v>29</v>
      </c>
      <c r="Y652" s="10"/>
      <c r="Z652" s="19">
        <v>26.3</v>
      </c>
      <c r="AA652" s="123">
        <v>45958</v>
      </c>
    </row>
    <row r="653" spans="1:31" s="36" customFormat="1" ht="20.25" customHeight="1">
      <c r="A653" s="7">
        <v>45931</v>
      </c>
      <c r="B653" s="19" t="s">
        <v>3105</v>
      </c>
      <c r="C653" s="19" t="s">
        <v>304</v>
      </c>
      <c r="D653" s="19" t="s">
        <v>212</v>
      </c>
      <c r="E653" s="19" t="s">
        <v>34</v>
      </c>
      <c r="F653" s="19" t="s">
        <v>3108</v>
      </c>
      <c r="G653" s="19" t="s">
        <v>71</v>
      </c>
      <c r="H653" s="19" t="s">
        <v>31</v>
      </c>
      <c r="I653" s="301"/>
      <c r="J653" s="301" t="s">
        <v>27</v>
      </c>
      <c r="K653" s="19" t="s">
        <v>3111</v>
      </c>
      <c r="L653" s="301" t="s">
        <v>35</v>
      </c>
      <c r="M653" s="20">
        <v>50</v>
      </c>
      <c r="N653" s="25">
        <v>1.29</v>
      </c>
      <c r="O653" s="19" t="s">
        <v>67</v>
      </c>
      <c r="P653" s="19" t="s">
        <v>63</v>
      </c>
      <c r="Q653" s="19" t="s">
        <v>29</v>
      </c>
      <c r="R653" s="19" t="s">
        <v>2865</v>
      </c>
      <c r="S653" s="45" t="s">
        <v>2867</v>
      </c>
      <c r="T653" s="8">
        <v>45945</v>
      </c>
      <c r="U653" s="19"/>
      <c r="V653" s="55">
        <f>M653-Z653-AB653-AD653-AF653-AH653-AJ653-AL653-AN653-AP653-AR653-AT653-AV653-AX653-AZ653-BB653-BD653-BF653-BH653-U653</f>
        <v>-7.2999999999999972</v>
      </c>
      <c r="W653" s="15" t="s">
        <v>3115</v>
      </c>
      <c r="X653" s="19" t="s">
        <v>29</v>
      </c>
      <c r="Y653" s="10"/>
      <c r="Z653" s="19">
        <v>57.3</v>
      </c>
      <c r="AA653" s="123">
        <v>45951</v>
      </c>
    </row>
    <row r="654" spans="1:31" s="28" customFormat="1" ht="20.25" customHeight="1">
      <c r="A654" s="11">
        <v>45931</v>
      </c>
      <c r="B654" s="16" t="s">
        <v>3106</v>
      </c>
      <c r="C654" s="16" t="s">
        <v>304</v>
      </c>
      <c r="D654" s="16" t="s">
        <v>212</v>
      </c>
      <c r="E654" s="16" t="s">
        <v>34</v>
      </c>
      <c r="F654" s="16" t="s">
        <v>3109</v>
      </c>
      <c r="G654" s="16" t="s">
        <v>71</v>
      </c>
      <c r="H654" s="16" t="s">
        <v>31</v>
      </c>
      <c r="I654" s="16"/>
      <c r="J654" s="16" t="s">
        <v>27</v>
      </c>
      <c r="K654" s="16" t="s">
        <v>3112</v>
      </c>
      <c r="L654" s="16" t="s">
        <v>35</v>
      </c>
      <c r="M654" s="17">
        <v>25</v>
      </c>
      <c r="N654" s="23">
        <v>1.29</v>
      </c>
      <c r="O654" s="16" t="s">
        <v>67</v>
      </c>
      <c r="P654" s="16" t="s">
        <v>63</v>
      </c>
      <c r="Q654" s="16" t="s">
        <v>29</v>
      </c>
      <c r="R654" s="16" t="s">
        <v>3113</v>
      </c>
      <c r="S654" s="12" t="s">
        <v>2867</v>
      </c>
      <c r="T654" s="13">
        <v>45945</v>
      </c>
      <c r="U654" s="19"/>
      <c r="V654" s="53">
        <f>M654-Z654-AB654-AD654-AF654-AH654-AJ654-AL654-AN654-AP654-AR654-AT654-AV654-AX654-AZ654-BB654-BD654-BF654-BH654-U654</f>
        <v>-0.5</v>
      </c>
      <c r="W654" s="22" t="s">
        <v>3116</v>
      </c>
      <c r="X654" s="16" t="s">
        <v>29</v>
      </c>
      <c r="Y654" s="9"/>
      <c r="Z654" s="19">
        <v>25.5</v>
      </c>
      <c r="AA654" s="252">
        <v>45936</v>
      </c>
    </row>
    <row r="655" spans="1:31" s="28" customFormat="1" ht="20.25" customHeight="1">
      <c r="A655" s="11">
        <v>45932</v>
      </c>
      <c r="B655" s="16" t="s">
        <v>3121</v>
      </c>
      <c r="C655" s="16" t="s">
        <v>400</v>
      </c>
      <c r="D655" s="16" t="s">
        <v>212</v>
      </c>
      <c r="E655" s="16" t="s">
        <v>25</v>
      </c>
      <c r="F655" s="16" t="s">
        <v>3124</v>
      </c>
      <c r="G655" s="16" t="s">
        <v>71</v>
      </c>
      <c r="H655" s="16" t="s">
        <v>31</v>
      </c>
      <c r="I655" s="16"/>
      <c r="J655" s="16" t="s">
        <v>27</v>
      </c>
      <c r="K655" s="16" t="s">
        <v>487</v>
      </c>
      <c r="L655" s="16" t="s">
        <v>35</v>
      </c>
      <c r="M655" s="17">
        <v>495.47</v>
      </c>
      <c r="N655" s="23">
        <v>1.29</v>
      </c>
      <c r="O655" s="16" t="s">
        <v>67</v>
      </c>
      <c r="P655" s="16" t="s">
        <v>63</v>
      </c>
      <c r="Q655" s="16" t="s">
        <v>29</v>
      </c>
      <c r="R655" s="16" t="s">
        <v>2979</v>
      </c>
      <c r="S655" s="12" t="s">
        <v>2926</v>
      </c>
      <c r="T655" s="13">
        <v>45946</v>
      </c>
      <c r="U655" s="19"/>
      <c r="V655" s="53">
        <f>M655-Z655-AB655-AD655-AF655-AH655-AJ655-AL655-AN655-AP655-AR655-AT655-AV655-AX655-AZ655-BB655-BD655-BF655-BH655-U655</f>
        <v>-1.2299999999999613</v>
      </c>
      <c r="W655" s="22" t="s">
        <v>3129</v>
      </c>
      <c r="X655" s="16"/>
      <c r="Y655" s="9"/>
      <c r="Z655" s="19">
        <v>496.7</v>
      </c>
      <c r="AA655" s="252">
        <v>45953</v>
      </c>
    </row>
    <row r="656" spans="1:31" s="28" customFormat="1" ht="20.25" customHeight="1">
      <c r="A656" s="11">
        <v>45932</v>
      </c>
      <c r="B656" s="16" t="s">
        <v>3122</v>
      </c>
      <c r="C656" s="16" t="s">
        <v>304</v>
      </c>
      <c r="D656" s="16" t="s">
        <v>212</v>
      </c>
      <c r="E656" s="16" t="s">
        <v>25</v>
      </c>
      <c r="F656" s="16" t="s">
        <v>3125</v>
      </c>
      <c r="G656" s="16" t="s">
        <v>71</v>
      </c>
      <c r="H656" s="16" t="s">
        <v>31</v>
      </c>
      <c r="I656" s="16"/>
      <c r="J656" s="16" t="s">
        <v>27</v>
      </c>
      <c r="K656" s="16" t="s">
        <v>3127</v>
      </c>
      <c r="L656" s="16" t="s">
        <v>35</v>
      </c>
      <c r="M656" s="17">
        <v>25</v>
      </c>
      <c r="N656" s="23">
        <v>1.29</v>
      </c>
      <c r="O656" s="16" t="s">
        <v>67</v>
      </c>
      <c r="P656" s="16" t="s">
        <v>63</v>
      </c>
      <c r="Q656" s="16" t="s">
        <v>29</v>
      </c>
      <c r="R656" s="16" t="s">
        <v>3113</v>
      </c>
      <c r="S656" s="12" t="s">
        <v>2926</v>
      </c>
      <c r="T656" s="13">
        <v>45946</v>
      </c>
      <c r="U656" s="19"/>
      <c r="V656" s="53">
        <f>M656-Z656-AB656-AD656-AF656-AH656-AJ656-AL656-AN656-AP656-AR656-AT656-AV656-AX656-AZ656-BB656-BD656-BF656-BH656-U656</f>
        <v>-0.89999999999999858</v>
      </c>
      <c r="W656" s="22" t="s">
        <v>3130</v>
      </c>
      <c r="X656" s="16"/>
      <c r="Y656" s="9"/>
      <c r="Z656" s="19">
        <v>25.9</v>
      </c>
      <c r="AA656" s="252">
        <v>45939</v>
      </c>
    </row>
    <row r="657" spans="1:35" s="28" customFormat="1" ht="20.25" customHeight="1">
      <c r="A657" s="11">
        <v>45932</v>
      </c>
      <c r="B657" s="16" t="s">
        <v>3123</v>
      </c>
      <c r="C657" s="16" t="s">
        <v>267</v>
      </c>
      <c r="D657" s="16" t="s">
        <v>212</v>
      </c>
      <c r="E657" s="16" t="s">
        <v>25</v>
      </c>
      <c r="F657" s="16" t="s">
        <v>3126</v>
      </c>
      <c r="G657" s="16" t="s">
        <v>71</v>
      </c>
      <c r="H657" s="16" t="s">
        <v>31</v>
      </c>
      <c r="I657" s="16"/>
      <c r="J657" s="16" t="s">
        <v>27</v>
      </c>
      <c r="K657" s="16" t="s">
        <v>2530</v>
      </c>
      <c r="L657" s="16" t="s">
        <v>35</v>
      </c>
      <c r="M657" s="17">
        <v>200</v>
      </c>
      <c r="N657" s="23">
        <v>1.29</v>
      </c>
      <c r="O657" s="16" t="s">
        <v>67</v>
      </c>
      <c r="P657" s="16" t="s">
        <v>63</v>
      </c>
      <c r="Q657" s="16" t="s">
        <v>29</v>
      </c>
      <c r="R657" s="16" t="s">
        <v>2716</v>
      </c>
      <c r="S657" s="12" t="s">
        <v>2926</v>
      </c>
      <c r="T657" s="13">
        <v>45946</v>
      </c>
      <c r="U657" s="19"/>
      <c r="V657" s="53">
        <f>M657-Z657-AB657-AD657-AF657-AH657-AJ657-AL657-AN657-AP657-AR657-AT657-AV657-AX657-AZ657-BB657-BD657-BF657-BH657-U657</f>
        <v>-1</v>
      </c>
      <c r="W657" s="22" t="s">
        <v>3131</v>
      </c>
      <c r="X657" s="16"/>
      <c r="Y657" s="9"/>
      <c r="Z657" s="19">
        <v>201</v>
      </c>
      <c r="AA657" s="252">
        <v>45940</v>
      </c>
    </row>
    <row r="658" spans="1:35" s="28" customFormat="1" ht="20.25" customHeight="1">
      <c r="A658" s="11">
        <v>45933</v>
      </c>
      <c r="B658" s="16" t="s">
        <v>3158</v>
      </c>
      <c r="C658" s="16" t="s">
        <v>304</v>
      </c>
      <c r="D658" s="16" t="s">
        <v>212</v>
      </c>
      <c r="E658" s="16" t="s">
        <v>25</v>
      </c>
      <c r="F658" s="16" t="s">
        <v>3160</v>
      </c>
      <c r="G658" s="16" t="s">
        <v>71</v>
      </c>
      <c r="H658" s="16" t="s">
        <v>31</v>
      </c>
      <c r="I658" s="16"/>
      <c r="J658" s="16" t="s">
        <v>27</v>
      </c>
      <c r="K658" s="16" t="s">
        <v>2975</v>
      </c>
      <c r="L658" s="16" t="s">
        <v>35</v>
      </c>
      <c r="M658" s="17">
        <v>1825</v>
      </c>
      <c r="N658" s="23">
        <v>0</v>
      </c>
      <c r="O658" s="16" t="s">
        <v>67</v>
      </c>
      <c r="P658" s="16" t="s">
        <v>63</v>
      </c>
      <c r="Q658" s="16" t="s">
        <v>29</v>
      </c>
      <c r="R658" s="16" t="s">
        <v>2865</v>
      </c>
      <c r="S658" s="12" t="s">
        <v>2499</v>
      </c>
      <c r="T658" s="13">
        <v>45946</v>
      </c>
      <c r="U658" s="19"/>
      <c r="V658" s="53">
        <f>M658-Z658-AB658-AD658-AF658-AH658-AJ658-AL658-AN658-AP658-AR658-AT658-AV658-AX658-AZ658-BB658-BD658-BF658-BH658-U658</f>
        <v>-0.40000000000009095</v>
      </c>
      <c r="W658" s="22" t="s">
        <v>3164</v>
      </c>
      <c r="X658" s="16" t="s">
        <v>29</v>
      </c>
      <c r="Y658" s="9"/>
      <c r="Z658" s="19">
        <v>1825.4</v>
      </c>
      <c r="AA658" s="252">
        <v>45939</v>
      </c>
    </row>
    <row r="659" spans="1:35" s="36" customFormat="1" ht="20.25" customHeight="1">
      <c r="A659" s="7">
        <v>45933</v>
      </c>
      <c r="B659" s="19" t="s">
        <v>3159</v>
      </c>
      <c r="C659" s="19" t="s">
        <v>304</v>
      </c>
      <c r="D659" s="19" t="s">
        <v>212</v>
      </c>
      <c r="E659" s="19" t="s">
        <v>25</v>
      </c>
      <c r="F659" s="19" t="s">
        <v>3161</v>
      </c>
      <c r="G659" s="19" t="s">
        <v>71</v>
      </c>
      <c r="H659" s="19" t="s">
        <v>26</v>
      </c>
      <c r="I659" s="19"/>
      <c r="J659" s="19" t="s">
        <v>27</v>
      </c>
      <c r="K659" s="19" t="s">
        <v>3162</v>
      </c>
      <c r="L659" s="19" t="s">
        <v>35</v>
      </c>
      <c r="M659" s="20">
        <v>1230</v>
      </c>
      <c r="N659" s="25">
        <v>1.29</v>
      </c>
      <c r="O659" s="19" t="s">
        <v>67</v>
      </c>
      <c r="P659" s="19" t="s">
        <v>63</v>
      </c>
      <c r="Q659" s="19" t="s">
        <v>29</v>
      </c>
      <c r="R659" s="19" t="s">
        <v>3163</v>
      </c>
      <c r="S659" s="45" t="s">
        <v>2989</v>
      </c>
      <c r="T659" s="8">
        <v>45947</v>
      </c>
      <c r="U659" s="19"/>
      <c r="V659" s="55">
        <f>M659-Z659-AB659-AD659-AF659-AH659-AJ659-AL659-AN659-AP659-AR659-AT659-AV659-AX659-AZ659-BB659-BD659-BF659-BH659-U659</f>
        <v>-0.5</v>
      </c>
      <c r="W659" s="15" t="s">
        <v>3165</v>
      </c>
      <c r="X659" s="19" t="s">
        <v>29</v>
      </c>
      <c r="Y659" s="10"/>
      <c r="Z659" s="19">
        <v>1230.5</v>
      </c>
      <c r="AA659" s="123">
        <v>45940</v>
      </c>
    </row>
    <row r="660" spans="1:35" s="28" customFormat="1" ht="20.25" customHeight="1">
      <c r="A660" s="11">
        <v>45936</v>
      </c>
      <c r="B660" s="16" t="s">
        <v>3176</v>
      </c>
      <c r="C660" s="16" t="s">
        <v>2624</v>
      </c>
      <c r="D660" s="16" t="s">
        <v>212</v>
      </c>
      <c r="E660" s="16" t="s">
        <v>25</v>
      </c>
      <c r="F660" s="16" t="s">
        <v>3178</v>
      </c>
      <c r="G660" s="16" t="s">
        <v>71</v>
      </c>
      <c r="H660" s="16" t="s">
        <v>31</v>
      </c>
      <c r="I660" s="1" t="s">
        <v>63</v>
      </c>
      <c r="J660" s="1" t="s">
        <v>27</v>
      </c>
      <c r="K660" s="16" t="s">
        <v>2355</v>
      </c>
      <c r="L660" s="1" t="s">
        <v>35</v>
      </c>
      <c r="M660" s="17">
        <v>100</v>
      </c>
      <c r="N660" s="6">
        <v>1.29</v>
      </c>
      <c r="O660" s="1" t="s">
        <v>67</v>
      </c>
      <c r="P660" s="1" t="s">
        <v>63</v>
      </c>
      <c r="Q660" s="1" t="s">
        <v>920</v>
      </c>
      <c r="R660" s="1" t="s">
        <v>3180</v>
      </c>
      <c r="S660" s="121" t="s">
        <v>3058</v>
      </c>
      <c r="T660" s="13">
        <v>45950</v>
      </c>
      <c r="U660" s="19"/>
      <c r="V660" s="53">
        <f>M660-Z660-AB660-AD660-AF660-AH660-AJ660-AL660-AN660-AP660-AR660-AT660-AV660-AX660-AZ660-BB660-BD660-BF660-BH660-U660</f>
        <v>-4.7999999999999972</v>
      </c>
      <c r="W660" s="22" t="s">
        <v>3181</v>
      </c>
      <c r="X660" s="16"/>
      <c r="Y660" s="9"/>
      <c r="Z660" s="19">
        <v>104.8</v>
      </c>
      <c r="AA660" s="252">
        <v>45953</v>
      </c>
    </row>
    <row r="661" spans="1:35" s="28" customFormat="1" ht="20.25" customHeight="1">
      <c r="A661" s="11">
        <v>45936</v>
      </c>
      <c r="B661" s="16" t="s">
        <v>3177</v>
      </c>
      <c r="C661" s="16" t="s">
        <v>304</v>
      </c>
      <c r="D661" s="16" t="s">
        <v>212</v>
      </c>
      <c r="E661" s="16" t="s">
        <v>25</v>
      </c>
      <c r="F661" s="16" t="s">
        <v>3179</v>
      </c>
      <c r="G661" s="16" t="s">
        <v>71</v>
      </c>
      <c r="H661" s="16" t="s">
        <v>31</v>
      </c>
      <c r="I661" s="16" t="s">
        <v>63</v>
      </c>
      <c r="J661" s="16" t="s">
        <v>27</v>
      </c>
      <c r="K661" s="16" t="s">
        <v>3112</v>
      </c>
      <c r="L661" s="16" t="s">
        <v>35</v>
      </c>
      <c r="M661" s="17">
        <v>25</v>
      </c>
      <c r="N661" s="23">
        <v>1.29</v>
      </c>
      <c r="O661" s="16" t="s">
        <v>67</v>
      </c>
      <c r="P661" s="16" t="s">
        <v>63</v>
      </c>
      <c r="Q661" s="16" t="s">
        <v>29</v>
      </c>
      <c r="R661" s="16" t="s">
        <v>1580</v>
      </c>
      <c r="S661" s="12" t="s">
        <v>3058</v>
      </c>
      <c r="T661" s="13">
        <v>45950</v>
      </c>
      <c r="U661" s="19"/>
      <c r="V661" s="53">
        <f>M661-Z661-AB661-AD661-AF661-AH661-AJ661-AL661-AN661-AP661-AR661-AT661-AV661-AX661-AZ661-BB661-BD661-BF661-BH661-U661</f>
        <v>-1.6000000000000014</v>
      </c>
      <c r="W661" s="22" t="s">
        <v>3182</v>
      </c>
      <c r="X661" s="16"/>
      <c r="Y661" s="9"/>
      <c r="Z661" s="19">
        <v>26.6</v>
      </c>
      <c r="AA661" s="252">
        <v>45939</v>
      </c>
    </row>
    <row r="662" spans="1:35" s="36" customFormat="1" ht="20.25" customHeight="1">
      <c r="A662" s="7">
        <v>45937</v>
      </c>
      <c r="B662" s="19" t="s">
        <v>3186</v>
      </c>
      <c r="C662" s="19" t="s">
        <v>1568</v>
      </c>
      <c r="D662" s="19" t="s">
        <v>212</v>
      </c>
      <c r="E662" s="19" t="s">
        <v>25</v>
      </c>
      <c r="F662" s="19" t="s">
        <v>3189</v>
      </c>
      <c r="G662" s="19" t="s">
        <v>71</v>
      </c>
      <c r="H662" s="19" t="s">
        <v>31</v>
      </c>
      <c r="I662" s="19"/>
      <c r="J662" s="19" t="s">
        <v>27</v>
      </c>
      <c r="K662" s="19" t="s">
        <v>588</v>
      </c>
      <c r="L662" s="19" t="s">
        <v>35</v>
      </c>
      <c r="M662" s="20">
        <v>11970</v>
      </c>
      <c r="N662" s="25">
        <v>1.29</v>
      </c>
      <c r="O662" s="19" t="s">
        <v>67</v>
      </c>
      <c r="P662" s="19" t="s">
        <v>63</v>
      </c>
      <c r="Q662" s="19" t="s">
        <v>29</v>
      </c>
      <c r="R662" s="19" t="s">
        <v>2497</v>
      </c>
      <c r="S662" s="45" t="s">
        <v>2563</v>
      </c>
      <c r="T662" s="8">
        <v>45961</v>
      </c>
      <c r="U662" s="19"/>
      <c r="V662" s="55">
        <f>M662-Z662-AB662-AD662-AF662-AH662-AJ662-AL662-AN662-AP662-AR662-AT662-AV662-AX662-AZ662-BB662-BD662-BF662-BH662-U662</f>
        <v>-1.6999999999982265</v>
      </c>
      <c r="W662" s="15" t="s">
        <v>3193</v>
      </c>
      <c r="X662" s="19" t="s">
        <v>29</v>
      </c>
      <c r="Y662" s="10"/>
      <c r="Z662" s="19">
        <v>852.8</v>
      </c>
      <c r="AA662" s="123">
        <v>45947</v>
      </c>
      <c r="AB662" s="19">
        <v>1134.3</v>
      </c>
      <c r="AC662" s="123">
        <v>45954</v>
      </c>
      <c r="AD662" s="19">
        <f>1181.9+2296.9+3060.6+2137</f>
        <v>8676.4</v>
      </c>
      <c r="AE662" s="123">
        <v>45965</v>
      </c>
      <c r="AF662" s="19">
        <v>609.6</v>
      </c>
      <c r="AG662" s="123">
        <v>45972</v>
      </c>
      <c r="AH662" s="19">
        <v>698.6</v>
      </c>
      <c r="AI662" s="123">
        <v>45975</v>
      </c>
    </row>
    <row r="663" spans="1:35" s="28" customFormat="1" ht="20.25" customHeight="1">
      <c r="A663" s="11">
        <v>45937</v>
      </c>
      <c r="B663" s="16" t="s">
        <v>3187</v>
      </c>
      <c r="C663" s="16" t="s">
        <v>400</v>
      </c>
      <c r="D663" s="16" t="s">
        <v>212</v>
      </c>
      <c r="E663" s="16" t="s">
        <v>25</v>
      </c>
      <c r="F663" s="16" t="s">
        <v>3190</v>
      </c>
      <c r="G663" s="16" t="s">
        <v>71</v>
      </c>
      <c r="H663" s="16" t="s">
        <v>31</v>
      </c>
      <c r="I663" s="16"/>
      <c r="J663" s="16" t="s">
        <v>27</v>
      </c>
      <c r="K663" s="16" t="s">
        <v>2972</v>
      </c>
      <c r="L663" s="16" t="s">
        <v>35</v>
      </c>
      <c r="M663" s="17">
        <v>18.3</v>
      </c>
      <c r="N663" s="23">
        <v>1.29</v>
      </c>
      <c r="O663" s="16" t="s">
        <v>67</v>
      </c>
      <c r="P663" s="16" t="s">
        <v>63</v>
      </c>
      <c r="Q663" s="16" t="s">
        <v>474</v>
      </c>
      <c r="R663" s="16" t="s">
        <v>1387</v>
      </c>
      <c r="S663" s="12" t="s">
        <v>3059</v>
      </c>
      <c r="T663" s="13">
        <v>45951</v>
      </c>
      <c r="U663" s="19"/>
      <c r="V663" s="53">
        <f>M663-Z663-AB663-AD663-AF663-AH663-AJ663-AL663-AN663-AP663-AR663-AT663-AV663-AX663-AZ663-BB663-BD663-BF663-BH663-U663</f>
        <v>-9.9999999999997868E-2</v>
      </c>
      <c r="W663" s="22" t="s">
        <v>3194</v>
      </c>
      <c r="X663" s="16" t="s">
        <v>29</v>
      </c>
      <c r="Y663" s="9"/>
      <c r="Z663" s="19">
        <v>18.399999999999999</v>
      </c>
      <c r="AA663" s="252">
        <v>45943</v>
      </c>
    </row>
    <row r="664" spans="1:35" s="28" customFormat="1" ht="20.25" customHeight="1">
      <c r="A664" s="11">
        <v>45937</v>
      </c>
      <c r="B664" s="16" t="s">
        <v>3188</v>
      </c>
      <c r="C664" s="16" t="s">
        <v>304</v>
      </c>
      <c r="D664" s="16" t="s">
        <v>212</v>
      </c>
      <c r="E664" s="16" t="s">
        <v>25</v>
      </c>
      <c r="F664" s="16" t="s">
        <v>3191</v>
      </c>
      <c r="G664" s="16" t="s">
        <v>71</v>
      </c>
      <c r="H664" s="16" t="s">
        <v>31</v>
      </c>
      <c r="I664" s="16"/>
      <c r="J664" s="16" t="s">
        <v>27</v>
      </c>
      <c r="K664" s="16" t="s">
        <v>2976</v>
      </c>
      <c r="L664" s="16" t="s">
        <v>35</v>
      </c>
      <c r="M664" s="17">
        <v>150</v>
      </c>
      <c r="N664" s="23">
        <v>1.29</v>
      </c>
      <c r="O664" s="16" t="s">
        <v>67</v>
      </c>
      <c r="P664" s="16" t="s">
        <v>63</v>
      </c>
      <c r="Q664" s="16" t="s">
        <v>29</v>
      </c>
      <c r="R664" s="16" t="s">
        <v>29</v>
      </c>
      <c r="S664" s="12" t="s">
        <v>3059</v>
      </c>
      <c r="T664" s="13">
        <v>45951</v>
      </c>
      <c r="U664" s="19"/>
      <c r="V664" s="53">
        <f>M664-Z664-AB664-AD664-AF664-AH664-AJ664-AL664-AN664-AP664-AR664-AT664-AV664-AX664-AZ664-BB664-BD664-BF664-BH664-U664</f>
        <v>-2.0999999999999943</v>
      </c>
      <c r="W664" s="22" t="s">
        <v>3195</v>
      </c>
      <c r="X664" s="16" t="s">
        <v>29</v>
      </c>
      <c r="Y664" s="9"/>
      <c r="Z664" s="19">
        <v>152.1</v>
      </c>
      <c r="AA664" s="252">
        <v>45940</v>
      </c>
    </row>
    <row r="665" spans="1:35" s="28" customFormat="1" ht="20.25" customHeight="1">
      <c r="A665" s="11">
        <v>45938</v>
      </c>
      <c r="B665" s="16" t="s">
        <v>3203</v>
      </c>
      <c r="C665" s="16" t="s">
        <v>1568</v>
      </c>
      <c r="D665" s="16" t="s">
        <v>212</v>
      </c>
      <c r="E665" s="16" t="s">
        <v>25</v>
      </c>
      <c r="F665" s="16" t="s">
        <v>3205</v>
      </c>
      <c r="G665" s="16" t="s">
        <v>71</v>
      </c>
      <c r="H665" s="16" t="s">
        <v>31</v>
      </c>
      <c r="I665" s="1"/>
      <c r="J665" s="1" t="s">
        <v>27</v>
      </c>
      <c r="K665" s="16" t="s">
        <v>3207</v>
      </c>
      <c r="L665" s="1" t="s">
        <v>35</v>
      </c>
      <c r="M665" s="17">
        <v>619</v>
      </c>
      <c r="N665" s="6">
        <v>1.29</v>
      </c>
      <c r="O665" s="1" t="s">
        <v>67</v>
      </c>
      <c r="P665" s="1" t="s">
        <v>63</v>
      </c>
      <c r="Q665" s="1" t="s">
        <v>29</v>
      </c>
      <c r="R665" s="1" t="s">
        <v>775</v>
      </c>
      <c r="S665" s="121" t="s">
        <v>3118</v>
      </c>
      <c r="T665" s="13">
        <v>45952</v>
      </c>
      <c r="U665" s="19"/>
      <c r="V665" s="53">
        <f>M665-Z665-AB665-AD665-AF665-AH665-AJ665-AL665-AN665-AP665-AR665-AT665-AV665-AX665-AZ665-BB665-BD665-BF665-BH665-U665</f>
        <v>-1.8999999999999773</v>
      </c>
      <c r="W665" s="22" t="s">
        <v>3208</v>
      </c>
      <c r="X665" s="16" t="s">
        <v>29</v>
      </c>
      <c r="Y665" s="9"/>
      <c r="Z665" s="19">
        <v>234.9</v>
      </c>
      <c r="AA665" s="252">
        <v>45940</v>
      </c>
      <c r="AB665" s="19">
        <v>386</v>
      </c>
      <c r="AC665" s="252">
        <v>45954</v>
      </c>
    </row>
    <row r="666" spans="1:35" s="28" customFormat="1" ht="20.25" customHeight="1">
      <c r="A666" s="11">
        <v>45938</v>
      </c>
      <c r="B666" s="16" t="s">
        <v>3204</v>
      </c>
      <c r="C666" s="16" t="s">
        <v>267</v>
      </c>
      <c r="D666" s="16" t="s">
        <v>212</v>
      </c>
      <c r="E666" s="16" t="s">
        <v>25</v>
      </c>
      <c r="F666" s="16" t="s">
        <v>3206</v>
      </c>
      <c r="G666" s="16" t="s">
        <v>71</v>
      </c>
      <c r="H666" s="16" t="s">
        <v>31</v>
      </c>
      <c r="I666" s="16"/>
      <c r="J666" s="16" t="s">
        <v>27</v>
      </c>
      <c r="K666" s="16" t="s">
        <v>2976</v>
      </c>
      <c r="L666" s="16" t="s">
        <v>35</v>
      </c>
      <c r="M666" s="17">
        <v>125</v>
      </c>
      <c r="N666" s="23">
        <v>1.29</v>
      </c>
      <c r="O666" s="16" t="s">
        <v>67</v>
      </c>
      <c r="P666" s="16" t="s">
        <v>63</v>
      </c>
      <c r="Q666" s="16" t="s">
        <v>29</v>
      </c>
      <c r="R666" s="16" t="s">
        <v>2716</v>
      </c>
      <c r="S666" s="12" t="s">
        <v>3118</v>
      </c>
      <c r="T666" s="13">
        <v>45952</v>
      </c>
      <c r="U666" s="19"/>
      <c r="V666" s="53">
        <f>M666-Z666-AB666-AD666-AF666-AH666-AJ666-AL666-AN666-AP666-AR666-AT666-AV666-AX666-AZ666-BB666-BD666-BF666-BH666-U666</f>
        <v>-1.2000000000000028</v>
      </c>
      <c r="W666" s="22" t="s">
        <v>3209</v>
      </c>
      <c r="X666" s="16" t="s">
        <v>29</v>
      </c>
      <c r="Y666" s="9"/>
      <c r="Z666" s="19">
        <v>126.2</v>
      </c>
      <c r="AA666" s="252">
        <v>45940</v>
      </c>
    </row>
    <row r="667" spans="1:35" s="28" customFormat="1" ht="20.25" customHeight="1">
      <c r="A667" s="11">
        <v>45939</v>
      </c>
      <c r="B667" s="16" t="s">
        <v>3212</v>
      </c>
      <c r="C667" s="16" t="s">
        <v>267</v>
      </c>
      <c r="D667" s="16" t="s">
        <v>212</v>
      </c>
      <c r="E667" s="16" t="s">
        <v>25</v>
      </c>
      <c r="F667" s="16" t="s">
        <v>3214</v>
      </c>
      <c r="G667" s="16" t="s">
        <v>71</v>
      </c>
      <c r="H667" s="16" t="s">
        <v>26</v>
      </c>
      <c r="I667" s="16"/>
      <c r="J667" s="16" t="s">
        <v>27</v>
      </c>
      <c r="K667" s="16" t="s">
        <v>250</v>
      </c>
      <c r="L667" s="16" t="s">
        <v>35</v>
      </c>
      <c r="M667" s="17">
        <v>50</v>
      </c>
      <c r="N667" s="23">
        <v>1.29</v>
      </c>
      <c r="O667" s="16" t="s">
        <v>67</v>
      </c>
      <c r="P667" s="16" t="s">
        <v>63</v>
      </c>
      <c r="Q667" s="16" t="s">
        <v>29</v>
      </c>
      <c r="R667" s="16" t="s">
        <v>1504</v>
      </c>
      <c r="S667" s="12" t="s">
        <v>3118</v>
      </c>
      <c r="T667" s="13">
        <v>45952</v>
      </c>
      <c r="U667" s="19"/>
      <c r="V667" s="306">
        <f>M667-Z667-AB667-AD667-AF667-AH667-AJ667-AL667-AN667-AP667-AR667-AT667-AV667-AX667-AZ667-BB667-BD667-BF667-BH667-U667</f>
        <v>-4.3999999999999986</v>
      </c>
      <c r="W667" s="22" t="s">
        <v>3261</v>
      </c>
      <c r="X667" s="16" t="s">
        <v>29</v>
      </c>
      <c r="Y667" s="9"/>
      <c r="Z667" s="19">
        <v>54.4</v>
      </c>
      <c r="AA667" s="252">
        <v>45964</v>
      </c>
    </row>
    <row r="668" spans="1:35" s="28" customFormat="1" ht="20.25" customHeight="1">
      <c r="A668" s="11">
        <v>45939</v>
      </c>
      <c r="B668" s="16" t="s">
        <v>3213</v>
      </c>
      <c r="C668" s="16" t="s">
        <v>1568</v>
      </c>
      <c r="D668" s="16" t="s">
        <v>212</v>
      </c>
      <c r="E668" s="16" t="s">
        <v>25</v>
      </c>
      <c r="F668" s="16" t="s">
        <v>3215</v>
      </c>
      <c r="G668" s="16" t="s">
        <v>71</v>
      </c>
      <c r="H668" s="16" t="s">
        <v>26</v>
      </c>
      <c r="I668" s="16"/>
      <c r="J668" s="16" t="s">
        <v>27</v>
      </c>
      <c r="K668" s="16" t="s">
        <v>218</v>
      </c>
      <c r="L668" s="16" t="s">
        <v>35</v>
      </c>
      <c r="M668" s="17">
        <v>1173</v>
      </c>
      <c r="N668" s="23">
        <v>1.29</v>
      </c>
      <c r="O668" s="16" t="s">
        <v>1063</v>
      </c>
      <c r="P668" s="16" t="s">
        <v>63</v>
      </c>
      <c r="Q668" s="16" t="s">
        <v>29</v>
      </c>
      <c r="R668" s="16" t="s">
        <v>324</v>
      </c>
      <c r="S668" s="12" t="s">
        <v>3216</v>
      </c>
      <c r="T668" s="13">
        <v>45964</v>
      </c>
      <c r="U668" s="19"/>
      <c r="V668" s="306">
        <f>M668-Z668-AB668-AD668-AF668-AH668-AJ668-AL668-AN668-AP668-AR668-AT668-AV668-AX668-AZ668-BB668-BD668-BF668-BH668-U668</f>
        <v>-2</v>
      </c>
      <c r="W668" s="22" t="s">
        <v>3217</v>
      </c>
      <c r="X668" s="16" t="s">
        <v>29</v>
      </c>
      <c r="Y668" s="9"/>
      <c r="Z668" s="19">
        <v>1175</v>
      </c>
      <c r="AA668" s="252">
        <v>45947</v>
      </c>
    </row>
    <row r="669" spans="1:35" s="36" customFormat="1" ht="20.25" customHeight="1">
      <c r="A669" s="7">
        <v>45940</v>
      </c>
      <c r="B669" s="19" t="s">
        <v>3218</v>
      </c>
      <c r="C669" s="19" t="s">
        <v>304</v>
      </c>
      <c r="D669" s="19" t="s">
        <v>212</v>
      </c>
      <c r="E669" s="19" t="s">
        <v>25</v>
      </c>
      <c r="F669" s="19" t="s">
        <v>3228</v>
      </c>
      <c r="G669" s="19" t="s">
        <v>71</v>
      </c>
      <c r="H669" s="19" t="s">
        <v>31</v>
      </c>
      <c r="I669" s="19"/>
      <c r="J669" s="19" t="s">
        <v>27</v>
      </c>
      <c r="K669" s="19" t="s">
        <v>1346</v>
      </c>
      <c r="L669" s="19" t="s">
        <v>35</v>
      </c>
      <c r="M669" s="20">
        <v>325</v>
      </c>
      <c r="N669" s="25">
        <v>1.29</v>
      </c>
      <c r="O669" s="19" t="s">
        <v>67</v>
      </c>
      <c r="P669" s="19" t="s">
        <v>63</v>
      </c>
      <c r="Q669" s="19" t="s">
        <v>29</v>
      </c>
      <c r="R669" s="19" t="s">
        <v>3093</v>
      </c>
      <c r="S669" s="45" t="s">
        <v>2563</v>
      </c>
      <c r="T669" s="8">
        <v>45961</v>
      </c>
      <c r="U669" s="19"/>
      <c r="V669" s="55">
        <f>M669-Z669-AB669-AD669-AF669-AH669-AJ669-AL669-AN669-AP669-AR669-AT669-AV669-AX669-AZ669-BB669-BD669-BF669-BH669-U669</f>
        <v>-2.8999999999999773</v>
      </c>
      <c r="W669" s="15" t="s">
        <v>3242</v>
      </c>
      <c r="X669" s="19" t="s">
        <v>29</v>
      </c>
      <c r="Y669" s="10"/>
      <c r="Z669" s="19">
        <v>327.9</v>
      </c>
      <c r="AA669" s="123">
        <v>45946</v>
      </c>
    </row>
    <row r="670" spans="1:35" s="28" customFormat="1" ht="20.25" customHeight="1">
      <c r="A670" s="11">
        <v>45940</v>
      </c>
      <c r="B670" s="16" t="s">
        <v>3219</v>
      </c>
      <c r="C670" s="16" t="s">
        <v>535</v>
      </c>
      <c r="D670" s="16" t="s">
        <v>212</v>
      </c>
      <c r="E670" s="16" t="s">
        <v>25</v>
      </c>
      <c r="F670" s="16" t="s">
        <v>3229</v>
      </c>
      <c r="G670" s="16" t="s">
        <v>71</v>
      </c>
      <c r="H670" s="16" t="s">
        <v>26</v>
      </c>
      <c r="I670" s="16"/>
      <c r="J670" s="16" t="s">
        <v>27</v>
      </c>
      <c r="K670" s="16" t="s">
        <v>537</v>
      </c>
      <c r="L670" s="16" t="s">
        <v>35</v>
      </c>
      <c r="M670" s="17">
        <v>3589</v>
      </c>
      <c r="N670" s="23">
        <v>1.29</v>
      </c>
      <c r="O670" s="16" t="s">
        <v>67</v>
      </c>
      <c r="P670" s="16" t="s">
        <v>63</v>
      </c>
      <c r="Q670" s="16" t="s">
        <v>3237</v>
      </c>
      <c r="R670" s="16" t="s">
        <v>3238</v>
      </c>
      <c r="S670" s="12" t="s">
        <v>2563</v>
      </c>
      <c r="T670" s="13">
        <v>45961</v>
      </c>
      <c r="U670" s="19"/>
      <c r="V670" s="53">
        <f>M670-Z670-AB670-AD670-AF670-AH670-AJ670-AL670-AN670-AP670-AR670-AT670-AV670-AX670-AZ670-BB670-BD670-BF670-BH670-U670</f>
        <v>-0.3000000000001819</v>
      </c>
      <c r="W670" s="22" t="s">
        <v>3243</v>
      </c>
      <c r="X670" s="16" t="s">
        <v>29</v>
      </c>
      <c r="Y670" s="9"/>
      <c r="Z670" s="19">
        <f>545.1+1738.2</f>
        <v>2283.3000000000002</v>
      </c>
      <c r="AA670" s="252">
        <v>45965</v>
      </c>
      <c r="AB670" s="19">
        <v>1306</v>
      </c>
      <c r="AC670" s="252">
        <v>45966</v>
      </c>
    </row>
    <row r="671" spans="1:35" s="36" customFormat="1" ht="20.25" customHeight="1">
      <c r="A671" s="7">
        <v>45940</v>
      </c>
      <c r="B671" s="19" t="s">
        <v>3220</v>
      </c>
      <c r="C671" s="19" t="s">
        <v>304</v>
      </c>
      <c r="D671" s="19" t="s">
        <v>212</v>
      </c>
      <c r="E671" s="19" t="s">
        <v>25</v>
      </c>
      <c r="F671" s="19" t="s">
        <v>3230</v>
      </c>
      <c r="G671" s="19" t="s">
        <v>71</v>
      </c>
      <c r="H671" s="19" t="s">
        <v>31</v>
      </c>
      <c r="I671" s="19"/>
      <c r="J671" s="19" t="s">
        <v>27</v>
      </c>
      <c r="K671" s="19" t="s">
        <v>3236</v>
      </c>
      <c r="L671" s="19" t="s">
        <v>35</v>
      </c>
      <c r="M671" s="20">
        <v>640</v>
      </c>
      <c r="N671" s="25">
        <v>1.29</v>
      </c>
      <c r="O671" s="19" t="s">
        <v>1063</v>
      </c>
      <c r="P671" s="19" t="s">
        <v>63</v>
      </c>
      <c r="Q671" s="19" t="s">
        <v>29</v>
      </c>
      <c r="R671" s="19" t="s">
        <v>3239</v>
      </c>
      <c r="S671" s="45" t="s">
        <v>2563</v>
      </c>
      <c r="T671" s="8">
        <v>45961</v>
      </c>
      <c r="U671" s="19"/>
      <c r="V671" s="55">
        <f>M671-Z671-AB671-AD671-AF671-AH671-AJ671-AL671-AN671-AP671-AR671-AT671-AV671-AX671-AZ671-BB671-BD671-BF671-BH671-U671</f>
        <v>-2.2999999999999545</v>
      </c>
      <c r="W671" s="15" t="s">
        <v>3244</v>
      </c>
      <c r="X671" s="19" t="s">
        <v>29</v>
      </c>
      <c r="Y671" s="10"/>
      <c r="Z671" s="19">
        <v>642.29999999999995</v>
      </c>
      <c r="AA671" s="123">
        <v>45946</v>
      </c>
    </row>
    <row r="672" spans="1:35" s="36" customFormat="1" ht="20.25" customHeight="1">
      <c r="A672" s="7">
        <v>45940</v>
      </c>
      <c r="B672" s="19" t="s">
        <v>3221</v>
      </c>
      <c r="C672" s="19" t="s">
        <v>304</v>
      </c>
      <c r="D672" s="19" t="s">
        <v>212</v>
      </c>
      <c r="E672" s="19" t="s">
        <v>25</v>
      </c>
      <c r="F672" s="19" t="s">
        <v>3231</v>
      </c>
      <c r="G672" s="19" t="s">
        <v>71</v>
      </c>
      <c r="H672" s="19" t="s">
        <v>31</v>
      </c>
      <c r="I672" s="19"/>
      <c r="J672" s="19" t="s">
        <v>27</v>
      </c>
      <c r="K672" s="19" t="s">
        <v>588</v>
      </c>
      <c r="L672" s="19" t="s">
        <v>35</v>
      </c>
      <c r="M672" s="20">
        <v>255</v>
      </c>
      <c r="N672" s="25">
        <v>1.29</v>
      </c>
      <c r="O672" s="19" t="s">
        <v>1063</v>
      </c>
      <c r="P672" s="19" t="s">
        <v>63</v>
      </c>
      <c r="Q672" s="19" t="s">
        <v>29</v>
      </c>
      <c r="R672" s="19" t="s">
        <v>3093</v>
      </c>
      <c r="S672" s="45" t="s">
        <v>2563</v>
      </c>
      <c r="T672" s="8">
        <v>45961</v>
      </c>
      <c r="U672" s="19"/>
      <c r="V672" s="55">
        <f>M672-Z672-AB672-AD672-AF672-AH672-AJ672-AL672-AN672-AP672-AR672-AT672-AV672-AX672-AZ672-BB672-BD672-BF672-BH672-U672</f>
        <v>-8</v>
      </c>
      <c r="W672" s="15" t="s">
        <v>3245</v>
      </c>
      <c r="X672" s="19" t="s">
        <v>29</v>
      </c>
      <c r="Y672" s="10"/>
      <c r="Z672" s="19">
        <v>263</v>
      </c>
      <c r="AA672" s="123">
        <v>45946</v>
      </c>
    </row>
    <row r="673" spans="1:33" s="36" customFormat="1" ht="20.25" customHeight="1">
      <c r="A673" s="7">
        <v>45940</v>
      </c>
      <c r="B673" s="19" t="s">
        <v>3222</v>
      </c>
      <c r="C673" s="19" t="s">
        <v>304</v>
      </c>
      <c r="D673" s="19" t="s">
        <v>212</v>
      </c>
      <c r="E673" s="19" t="s">
        <v>25</v>
      </c>
      <c r="F673" s="19" t="s">
        <v>3232</v>
      </c>
      <c r="G673" s="19" t="s">
        <v>71</v>
      </c>
      <c r="H673" s="19" t="s">
        <v>31</v>
      </c>
      <c r="I673" s="19"/>
      <c r="J673" s="19" t="s">
        <v>27</v>
      </c>
      <c r="K673" s="19" t="s">
        <v>588</v>
      </c>
      <c r="L673" s="19" t="s">
        <v>35</v>
      </c>
      <c r="M673" s="20">
        <v>285</v>
      </c>
      <c r="N673" s="25">
        <v>1.29</v>
      </c>
      <c r="O673" s="19" t="s">
        <v>1063</v>
      </c>
      <c r="P673" s="19" t="s">
        <v>63</v>
      </c>
      <c r="Q673" s="19" t="s">
        <v>29</v>
      </c>
      <c r="R673" s="19" t="s">
        <v>3093</v>
      </c>
      <c r="S673" s="45" t="s">
        <v>2563</v>
      </c>
      <c r="T673" s="8">
        <v>45961</v>
      </c>
      <c r="U673" s="19"/>
      <c r="V673" s="55">
        <f>M673-Z673-AB673-AD673-AF673-AH673-AJ673-AL673-AN673-AP673-AR673-AT673-AV673-AX673-AZ673-BB673-BD673-BF673-BH673-U673</f>
        <v>-1.5</v>
      </c>
      <c r="W673" s="15" t="s">
        <v>3246</v>
      </c>
      <c r="X673" s="19" t="s">
        <v>29</v>
      </c>
      <c r="Y673" s="10"/>
      <c r="Z673" s="19">
        <v>286.5</v>
      </c>
      <c r="AA673" s="123">
        <v>45946</v>
      </c>
    </row>
    <row r="674" spans="1:33" s="28" customFormat="1" ht="20.25" customHeight="1">
      <c r="A674" s="11">
        <v>45940</v>
      </c>
      <c r="B674" s="16" t="s">
        <v>3223</v>
      </c>
      <c r="C674" s="16" t="s">
        <v>304</v>
      </c>
      <c r="D674" s="16" t="s">
        <v>212</v>
      </c>
      <c r="E674" s="16" t="s">
        <v>25</v>
      </c>
      <c r="F674" s="16" t="s">
        <v>3233</v>
      </c>
      <c r="G674" s="16" t="s">
        <v>71</v>
      </c>
      <c r="H674" s="16" t="s">
        <v>31</v>
      </c>
      <c r="I674" s="1"/>
      <c r="J674" s="1" t="s">
        <v>27</v>
      </c>
      <c r="K674" s="16" t="s">
        <v>598</v>
      </c>
      <c r="L674" s="1" t="s">
        <v>35</v>
      </c>
      <c r="M674" s="17">
        <v>1100</v>
      </c>
      <c r="N674" s="23">
        <v>1.29</v>
      </c>
      <c r="O674" s="16" t="s">
        <v>67</v>
      </c>
      <c r="P674" s="16" t="s">
        <v>63</v>
      </c>
      <c r="Q674" s="16" t="s">
        <v>29</v>
      </c>
      <c r="R674" s="16" t="s">
        <v>3240</v>
      </c>
      <c r="S674" s="12" t="s">
        <v>2563</v>
      </c>
      <c r="T674" s="13">
        <v>45961</v>
      </c>
      <c r="U674" s="19"/>
      <c r="V674" s="53">
        <f>M674-Z674-AB674-AD674-AF674-AH674-AJ674-AL674-AN674-AP674-AR674-AT674-AV674-AX674-AZ674-BB674-BD674-BF674-BH674-U674</f>
        <v>-0.5</v>
      </c>
      <c r="W674" s="22" t="s">
        <v>3247</v>
      </c>
      <c r="X674" s="16" t="s">
        <v>29</v>
      </c>
      <c r="Y674" s="9"/>
      <c r="Z674" s="9">
        <v>510.7</v>
      </c>
      <c r="AA674" s="252">
        <v>45958</v>
      </c>
      <c r="AB674" s="28">
        <v>589.79999999999995</v>
      </c>
      <c r="AC674" s="252">
        <v>45964</v>
      </c>
    </row>
    <row r="675" spans="1:33" s="28" customFormat="1" ht="20.25" customHeight="1">
      <c r="A675" s="11">
        <v>45940</v>
      </c>
      <c r="B675" s="16" t="s">
        <v>3224</v>
      </c>
      <c r="C675" s="16" t="s">
        <v>267</v>
      </c>
      <c r="D675" s="16" t="s">
        <v>212</v>
      </c>
      <c r="E675" s="16" t="s">
        <v>25</v>
      </c>
      <c r="F675" s="16" t="s">
        <v>3234</v>
      </c>
      <c r="G675" s="16" t="s">
        <v>71</v>
      </c>
      <c r="H675" s="16" t="s">
        <v>26</v>
      </c>
      <c r="I675" s="1"/>
      <c r="J675" s="1" t="s">
        <v>27</v>
      </c>
      <c r="K675" s="16" t="s">
        <v>223</v>
      </c>
      <c r="L675" s="16" t="s">
        <v>35</v>
      </c>
      <c r="M675" s="17">
        <v>1150</v>
      </c>
      <c r="N675" s="6">
        <v>1.29</v>
      </c>
      <c r="O675" s="16" t="s">
        <v>67</v>
      </c>
      <c r="P675" s="16" t="s">
        <v>63</v>
      </c>
      <c r="Q675" s="16" t="s">
        <v>29</v>
      </c>
      <c r="R675" s="16" t="s">
        <v>1235</v>
      </c>
      <c r="S675" s="12" t="s">
        <v>2563</v>
      </c>
      <c r="T675" s="13">
        <v>45961</v>
      </c>
      <c r="U675" s="19"/>
      <c r="V675" s="53">
        <f>M675-Z675-AB675-AD675-AF675-AH675-AJ675-AL675-AN675-AP675-AR675-AT675-AV675-AX675-AZ675-BB675-BD675-BF675-BH675-U675</f>
        <v>0</v>
      </c>
      <c r="W675" s="22" t="s">
        <v>3248</v>
      </c>
      <c r="X675" s="16" t="s">
        <v>29</v>
      </c>
      <c r="Y675" s="9"/>
      <c r="Z675" s="19">
        <v>1150</v>
      </c>
      <c r="AA675" s="252">
        <v>45958</v>
      </c>
    </row>
    <row r="676" spans="1:33" s="28" customFormat="1" ht="20.25" customHeight="1">
      <c r="A676" s="11">
        <v>45940</v>
      </c>
      <c r="B676" s="16" t="s">
        <v>3225</v>
      </c>
      <c r="C676" s="16" t="s">
        <v>267</v>
      </c>
      <c r="D676" s="16" t="s">
        <v>212</v>
      </c>
      <c r="E676" s="16" t="s">
        <v>25</v>
      </c>
      <c r="F676" s="16" t="s">
        <v>3262</v>
      </c>
      <c r="G676" s="16" t="s">
        <v>71</v>
      </c>
      <c r="H676" s="16" t="s">
        <v>26</v>
      </c>
      <c r="I676" s="1"/>
      <c r="J676" s="1" t="s">
        <v>27</v>
      </c>
      <c r="K676" s="16" t="s">
        <v>223</v>
      </c>
      <c r="L676" s="16" t="s">
        <v>35</v>
      </c>
      <c r="M676" s="17">
        <v>550</v>
      </c>
      <c r="N676" s="6">
        <v>1.29</v>
      </c>
      <c r="O676" s="16" t="s">
        <v>67</v>
      </c>
      <c r="P676" s="16" t="s">
        <v>63</v>
      </c>
      <c r="Q676" s="16" t="s">
        <v>29</v>
      </c>
      <c r="R676" s="16" t="s">
        <v>3055</v>
      </c>
      <c r="S676" s="12" t="s">
        <v>2563</v>
      </c>
      <c r="T676" s="13">
        <v>45961</v>
      </c>
      <c r="U676" s="19"/>
      <c r="V676" s="53">
        <f>M676-Z676-AB676-AD676-AF676-AH676-AJ676-AL676-AN676-AP676-AR676-AT676-AV676-AX676-AZ676-BB676-BD676-BF676-BH676-U676</f>
        <v>0</v>
      </c>
      <c r="W676" s="22" t="s">
        <v>3249</v>
      </c>
      <c r="X676" s="16" t="s">
        <v>29</v>
      </c>
      <c r="Y676" s="9"/>
      <c r="Z676" s="19">
        <f>505.1+44.9</f>
        <v>550</v>
      </c>
      <c r="AA676" s="252">
        <v>45958</v>
      </c>
    </row>
    <row r="677" spans="1:33" s="28" customFormat="1" ht="20.25" customHeight="1">
      <c r="A677" s="11">
        <v>45940</v>
      </c>
      <c r="B677" s="16" t="s">
        <v>3226</v>
      </c>
      <c r="C677" s="16" t="s">
        <v>304</v>
      </c>
      <c r="D677" s="16" t="s">
        <v>212</v>
      </c>
      <c r="E677" s="16" t="s">
        <v>25</v>
      </c>
      <c r="F677" s="16" t="s">
        <v>3263</v>
      </c>
      <c r="G677" s="16" t="s">
        <v>71</v>
      </c>
      <c r="H677" s="16" t="s">
        <v>31</v>
      </c>
      <c r="I677" s="1"/>
      <c r="J677" s="1" t="s">
        <v>27</v>
      </c>
      <c r="K677" s="16" t="s">
        <v>250</v>
      </c>
      <c r="L677" s="1" t="s">
        <v>35</v>
      </c>
      <c r="M677" s="17">
        <v>25</v>
      </c>
      <c r="N677" s="23">
        <v>1.29</v>
      </c>
      <c r="O677" s="16" t="s">
        <v>67</v>
      </c>
      <c r="P677" s="16" t="s">
        <v>63</v>
      </c>
      <c r="Q677" s="16" t="s">
        <v>29</v>
      </c>
      <c r="R677" s="16" t="s">
        <v>3241</v>
      </c>
      <c r="S677" s="12" t="s">
        <v>3057</v>
      </c>
      <c r="T677" s="13">
        <v>45954</v>
      </c>
      <c r="U677" s="19"/>
      <c r="V677" s="53">
        <f>M677-Z677-AB677-AD677-AF677-AH677-AJ677-AL677-AN677-AP677-AR677-AT677-AV677-AX677-AZ677-BB677-BD677-BF677-BH677-U677</f>
        <v>-8.7999999999999972</v>
      </c>
      <c r="W677" s="22" t="s">
        <v>3250</v>
      </c>
      <c r="X677" s="16" t="s">
        <v>29</v>
      </c>
      <c r="Y677" s="9"/>
      <c r="Z677" s="19">
        <v>33.799999999999997</v>
      </c>
      <c r="AA677" s="252">
        <v>45967</v>
      </c>
    </row>
    <row r="678" spans="1:33" s="28" customFormat="1" ht="20.25" customHeight="1">
      <c r="A678" s="11">
        <v>45940</v>
      </c>
      <c r="B678" s="16" t="s">
        <v>3227</v>
      </c>
      <c r="C678" s="16" t="s">
        <v>304</v>
      </c>
      <c r="D678" s="16" t="s">
        <v>212</v>
      </c>
      <c r="E678" s="16" t="s">
        <v>25</v>
      </c>
      <c r="F678" s="16" t="s">
        <v>3235</v>
      </c>
      <c r="G678" s="16" t="s">
        <v>71</v>
      </c>
      <c r="H678" s="16" t="s">
        <v>31</v>
      </c>
      <c r="I678" s="1"/>
      <c r="J678" s="1" t="s">
        <v>27</v>
      </c>
      <c r="K678" s="16" t="s">
        <v>1796</v>
      </c>
      <c r="L678" s="16" t="s">
        <v>35</v>
      </c>
      <c r="M678" s="17">
        <v>25</v>
      </c>
      <c r="N678" s="6">
        <v>1.29</v>
      </c>
      <c r="O678" s="16" t="s">
        <v>67</v>
      </c>
      <c r="P678" s="16" t="s">
        <v>63</v>
      </c>
      <c r="Q678" s="16" t="s">
        <v>29</v>
      </c>
      <c r="R678" s="16" t="s">
        <v>2413</v>
      </c>
      <c r="S678" s="12" t="s">
        <v>3057</v>
      </c>
      <c r="T678" s="13">
        <v>45954</v>
      </c>
      <c r="U678" s="19"/>
      <c r="V678" s="53">
        <f>M678-Z678-AB678-AD678-AF678-AH678-AJ678-AL678-AN678-AP678-AR678-AT678-AV678-AX678-AZ678-BB678-BD678-BF678-BH678-U678</f>
        <v>-0.69999999999999929</v>
      </c>
      <c r="W678" s="22" t="s">
        <v>3251</v>
      </c>
      <c r="X678" s="16" t="s">
        <v>29</v>
      </c>
      <c r="Y678" s="9"/>
      <c r="Z678" s="19">
        <v>25.7</v>
      </c>
      <c r="AA678" s="252">
        <v>45958</v>
      </c>
    </row>
    <row r="679" spans="1:33" s="28" customFormat="1" ht="20.25" customHeight="1">
      <c r="A679" s="11">
        <v>45943</v>
      </c>
      <c r="B679" s="16" t="s">
        <v>3264</v>
      </c>
      <c r="C679" s="16" t="s">
        <v>267</v>
      </c>
      <c r="D679" s="16" t="s">
        <v>212</v>
      </c>
      <c r="E679" s="16" t="s">
        <v>25</v>
      </c>
      <c r="F679" s="16" t="s">
        <v>3233</v>
      </c>
      <c r="G679" s="16" t="s">
        <v>71</v>
      </c>
      <c r="H679" s="16" t="s">
        <v>31</v>
      </c>
      <c r="I679" s="16"/>
      <c r="J679" s="16" t="s">
        <v>27</v>
      </c>
      <c r="K679" s="16" t="s">
        <v>250</v>
      </c>
      <c r="L679" s="16" t="s">
        <v>35</v>
      </c>
      <c r="M679" s="17">
        <v>1100</v>
      </c>
      <c r="N679" s="23">
        <v>1.29</v>
      </c>
      <c r="O679" s="16" t="s">
        <v>67</v>
      </c>
      <c r="P679" s="16" t="s">
        <v>63</v>
      </c>
      <c r="Q679" s="16" t="s">
        <v>29</v>
      </c>
      <c r="R679" s="16" t="s">
        <v>3240</v>
      </c>
      <c r="S679" s="12" t="s">
        <v>3216</v>
      </c>
      <c r="T679" s="13">
        <v>45964</v>
      </c>
      <c r="U679" s="19"/>
      <c r="V679" s="53">
        <f>M679-Z679-AB679-AD679-AF679-AH679-AJ679-AL679-AN679-AP679-AR679-AT679-AV679-AX679-AZ679-BB679-BD679-BF679-BH679-U679</f>
        <v>-0.5</v>
      </c>
      <c r="W679" s="22" t="s">
        <v>3265</v>
      </c>
      <c r="X679" s="16"/>
      <c r="Y679" s="9"/>
      <c r="Z679" s="19">
        <v>510.7</v>
      </c>
      <c r="AA679" s="252">
        <v>45958</v>
      </c>
      <c r="AB679" s="19">
        <v>589.79999999999995</v>
      </c>
      <c r="AC679" s="252">
        <v>45964</v>
      </c>
    </row>
    <row r="680" spans="1:33" s="28" customFormat="1" ht="20.25" customHeight="1">
      <c r="A680" s="11">
        <v>45943</v>
      </c>
      <c r="B680" s="16" t="s">
        <v>3266</v>
      </c>
      <c r="C680" s="16" t="s">
        <v>304</v>
      </c>
      <c r="D680" s="16" t="s">
        <v>212</v>
      </c>
      <c r="E680" s="16" t="s">
        <v>25</v>
      </c>
      <c r="F680" s="16" t="s">
        <v>3268</v>
      </c>
      <c r="G680" s="16" t="s">
        <v>71</v>
      </c>
      <c r="H680" s="16" t="s">
        <v>31</v>
      </c>
      <c r="I680" s="1"/>
      <c r="J680" s="1" t="s">
        <v>27</v>
      </c>
      <c r="K680" s="16" t="s">
        <v>1996</v>
      </c>
      <c r="L680" s="16" t="s">
        <v>35</v>
      </c>
      <c r="M680" s="17">
        <v>25</v>
      </c>
      <c r="N680" s="6">
        <v>1.29</v>
      </c>
      <c r="O680" s="16" t="s">
        <v>67</v>
      </c>
      <c r="P680" s="16" t="s">
        <v>63</v>
      </c>
      <c r="Q680" s="16" t="s">
        <v>29</v>
      </c>
      <c r="R680" s="16" t="s">
        <v>3271</v>
      </c>
      <c r="S680" s="12" t="s">
        <v>3183</v>
      </c>
      <c r="T680" s="13">
        <v>45957</v>
      </c>
      <c r="U680" s="19"/>
      <c r="V680" s="53">
        <f>M680-Z680-AB680-AD680-AF680-AH680-AJ680-AL680-AN680-AP680-AR680-AT680-AV680-AX680-AZ680-BB680-BD680-BF680-BH680-U680</f>
        <v>-3.3000000000000007</v>
      </c>
      <c r="W680" s="22" t="s">
        <v>3272</v>
      </c>
      <c r="X680" s="16" t="s">
        <v>29</v>
      </c>
      <c r="Y680" s="9"/>
      <c r="Z680" s="19">
        <v>28.3</v>
      </c>
      <c r="AA680" s="252">
        <v>45958</v>
      </c>
    </row>
    <row r="681" spans="1:33" s="36" customFormat="1" ht="20.25" customHeight="1">
      <c r="A681" s="7">
        <v>45943</v>
      </c>
      <c r="B681" s="19" t="s">
        <v>3267</v>
      </c>
      <c r="C681" s="19" t="s">
        <v>304</v>
      </c>
      <c r="D681" s="19" t="s">
        <v>212</v>
      </c>
      <c r="E681" s="19" t="s">
        <v>25</v>
      </c>
      <c r="F681" s="19" t="s">
        <v>3269</v>
      </c>
      <c r="G681" s="19" t="s">
        <v>71</v>
      </c>
      <c r="H681" s="19" t="s">
        <v>31</v>
      </c>
      <c r="I681" s="19"/>
      <c r="J681" s="19" t="s">
        <v>27</v>
      </c>
      <c r="K681" s="19" t="s">
        <v>3270</v>
      </c>
      <c r="L681" s="19" t="s">
        <v>35</v>
      </c>
      <c r="M681" s="20">
        <v>400</v>
      </c>
      <c r="N681" s="25">
        <v>1.29</v>
      </c>
      <c r="O681" s="19" t="s">
        <v>67</v>
      </c>
      <c r="P681" s="19" t="s">
        <v>63</v>
      </c>
      <c r="Q681" s="19" t="s">
        <v>29</v>
      </c>
      <c r="R681" s="19" t="s">
        <v>1277</v>
      </c>
      <c r="S681" s="45" t="s">
        <v>3183</v>
      </c>
      <c r="T681" s="8">
        <v>45950</v>
      </c>
      <c r="U681" s="19"/>
      <c r="V681" s="55">
        <f>M681-Z681-AB681-AD681-AF681-AH681-AJ681-AL681-AN681-AP681-AR681-AT681-AV681-AX681-AZ681-BB681-BD681-BF681-BH681-U681</f>
        <v>-0.19999999999998863</v>
      </c>
      <c r="W681" s="15" t="s">
        <v>3273</v>
      </c>
      <c r="X681" s="19" t="s">
        <v>29</v>
      </c>
      <c r="Y681" s="10"/>
      <c r="Z681" s="19">
        <v>400.2</v>
      </c>
      <c r="AA681" s="123">
        <v>45946</v>
      </c>
    </row>
    <row r="682" spans="1:33" s="36" customFormat="1" ht="20.25" customHeight="1">
      <c r="A682" s="7">
        <v>45944</v>
      </c>
      <c r="B682" s="19" t="s">
        <v>3275</v>
      </c>
      <c r="C682" s="19" t="s">
        <v>1568</v>
      </c>
      <c r="D682" s="19" t="s">
        <v>212</v>
      </c>
      <c r="E682" s="19" t="s">
        <v>25</v>
      </c>
      <c r="F682" s="19" t="s">
        <v>3276</v>
      </c>
      <c r="G682" s="19" t="s">
        <v>71</v>
      </c>
      <c r="H682" s="19" t="s">
        <v>26</v>
      </c>
      <c r="I682" s="1"/>
      <c r="J682" s="1" t="s">
        <v>27</v>
      </c>
      <c r="K682" s="19" t="s">
        <v>214</v>
      </c>
      <c r="L682" s="1" t="s">
        <v>35</v>
      </c>
      <c r="M682" s="20">
        <v>2857</v>
      </c>
      <c r="N682" s="6">
        <v>1.29</v>
      </c>
      <c r="O682" s="1" t="s">
        <v>1063</v>
      </c>
      <c r="P682" s="1" t="s">
        <v>63</v>
      </c>
      <c r="Q682" s="1" t="s">
        <v>29</v>
      </c>
      <c r="R682" s="1" t="s">
        <v>2052</v>
      </c>
      <c r="S682" s="121" t="s">
        <v>3277</v>
      </c>
      <c r="T682" s="8">
        <v>45965</v>
      </c>
      <c r="U682" s="19"/>
      <c r="V682" s="55">
        <f>M682-Z682-AB682-AD682-AF682-AH682-AJ682-AL682-AN682-AP682-AR682-AT682-AV682-AX682-AZ682-BB682-BD682-BF682-BH682-U682</f>
        <v>-2.0000000000001137</v>
      </c>
      <c r="W682" s="15" t="s">
        <v>3278</v>
      </c>
      <c r="X682" s="19" t="s">
        <v>29</v>
      </c>
      <c r="Y682" s="10"/>
      <c r="Z682" s="19">
        <v>1594.9</v>
      </c>
      <c r="AA682" s="123">
        <v>45947</v>
      </c>
      <c r="AB682" s="19">
        <v>947.6</v>
      </c>
      <c r="AC682" s="123">
        <v>45959</v>
      </c>
      <c r="AD682" s="19">
        <v>164.6</v>
      </c>
      <c r="AE682" s="123">
        <v>45965</v>
      </c>
      <c r="AF682" s="19">
        <v>151.9</v>
      </c>
      <c r="AG682" s="123">
        <v>45972</v>
      </c>
    </row>
    <row r="683" spans="1:33" s="28" customFormat="1" ht="20.25" customHeight="1">
      <c r="A683" s="11">
        <v>45944</v>
      </c>
      <c r="B683" s="16" t="s">
        <v>3275</v>
      </c>
      <c r="C683" s="16" t="s">
        <v>1568</v>
      </c>
      <c r="D683" s="16" t="s">
        <v>212</v>
      </c>
      <c r="E683" s="16" t="s">
        <v>25</v>
      </c>
      <c r="F683" s="16" t="s">
        <v>3276</v>
      </c>
      <c r="G683" s="16" t="s">
        <v>71</v>
      </c>
      <c r="H683" s="16" t="s">
        <v>26</v>
      </c>
      <c r="I683" s="16"/>
      <c r="J683" s="16" t="s">
        <v>27</v>
      </c>
      <c r="K683" s="16" t="s">
        <v>966</v>
      </c>
      <c r="L683" s="16" t="s">
        <v>35</v>
      </c>
      <c r="M683" s="17">
        <v>6243</v>
      </c>
      <c r="N683" s="23">
        <v>1.29</v>
      </c>
      <c r="O683" s="16" t="s">
        <v>67</v>
      </c>
      <c r="P683" s="16" t="s">
        <v>63</v>
      </c>
      <c r="Q683" s="16" t="s">
        <v>29</v>
      </c>
      <c r="R683" s="16" t="s">
        <v>1721</v>
      </c>
      <c r="S683" s="12" t="s">
        <v>3277</v>
      </c>
      <c r="T683" s="13">
        <v>45965</v>
      </c>
      <c r="U683" s="19"/>
      <c r="V683" s="53">
        <f>M683-Z683-AB683-AD683-AF683-AH683-AJ683-AL683-AN683-AP683-AR683-AT683-AV683-AX683-AZ683-BB683-BD683-BF683-BH683-U683</f>
        <v>-0.9000000000005457</v>
      </c>
      <c r="W683" s="22" t="s">
        <v>3279</v>
      </c>
      <c r="X683" s="16" t="s">
        <v>29</v>
      </c>
      <c r="Y683" s="9"/>
      <c r="Z683" s="19">
        <f>2827.4+1601.4+856.3+569.6+65.4+323.8</f>
        <v>6243.9000000000005</v>
      </c>
      <c r="AA683" s="252">
        <v>45965</v>
      </c>
    </row>
    <row r="684" spans="1:33" s="28" customFormat="1" ht="20.25" customHeight="1">
      <c r="A684" s="11">
        <v>45944</v>
      </c>
      <c r="B684" s="16" t="s">
        <v>3280</v>
      </c>
      <c r="C684" s="16" t="s">
        <v>304</v>
      </c>
      <c r="D684" s="16" t="s">
        <v>212</v>
      </c>
      <c r="E684" s="16" t="s">
        <v>34</v>
      </c>
      <c r="F684" s="16" t="s">
        <v>3288</v>
      </c>
      <c r="G684" s="16" t="s">
        <v>71</v>
      </c>
      <c r="H684" s="16" t="s">
        <v>31</v>
      </c>
      <c r="I684" s="1"/>
      <c r="J684" s="1" t="s">
        <v>27</v>
      </c>
      <c r="K684" s="16" t="s">
        <v>223</v>
      </c>
      <c r="L684" s="16" t="s">
        <v>35</v>
      </c>
      <c r="M684" s="17">
        <v>50</v>
      </c>
      <c r="N684" s="6">
        <v>1.29</v>
      </c>
      <c r="O684" s="16" t="s">
        <v>67</v>
      </c>
      <c r="P684" s="16" t="s">
        <v>63</v>
      </c>
      <c r="Q684" s="16" t="s">
        <v>29</v>
      </c>
      <c r="R684" s="16" t="s">
        <v>1419</v>
      </c>
      <c r="S684" s="12" t="s">
        <v>3192</v>
      </c>
      <c r="T684" s="13">
        <v>45958</v>
      </c>
      <c r="U684" s="19"/>
      <c r="V684" s="53">
        <f>M684-Z684-AB684-AD684-AF684-AH684-AJ684-AL684-AN684-AP684-AR684-AT684-AV684-AX684-AZ684-BB684-BD684-BF684-BH684-U684</f>
        <v>-0.20000000000000284</v>
      </c>
      <c r="W684" s="22" t="s">
        <v>3297</v>
      </c>
      <c r="X684" s="16"/>
      <c r="Y684" s="9"/>
      <c r="Z684" s="19">
        <v>50.2</v>
      </c>
      <c r="AA684" s="252">
        <v>45958</v>
      </c>
    </row>
    <row r="685" spans="1:33" s="28" customFormat="1" ht="20.25" customHeight="1">
      <c r="A685" s="11">
        <v>45944</v>
      </c>
      <c r="B685" s="16" t="s">
        <v>3281</v>
      </c>
      <c r="C685" s="16" t="s">
        <v>304</v>
      </c>
      <c r="D685" s="16" t="s">
        <v>212</v>
      </c>
      <c r="E685" s="16" t="s">
        <v>34</v>
      </c>
      <c r="F685" s="16" t="s">
        <v>3289</v>
      </c>
      <c r="G685" s="16" t="s">
        <v>71</v>
      </c>
      <c r="H685" s="16" t="s">
        <v>31</v>
      </c>
      <c r="I685" s="1"/>
      <c r="J685" s="1" t="s">
        <v>27</v>
      </c>
      <c r="K685" s="16" t="s">
        <v>3296</v>
      </c>
      <c r="L685" s="16" t="s">
        <v>35</v>
      </c>
      <c r="M685" s="17">
        <v>50</v>
      </c>
      <c r="N685" s="6">
        <v>1.29</v>
      </c>
      <c r="O685" s="16" t="s">
        <v>67</v>
      </c>
      <c r="P685" s="16" t="s">
        <v>63</v>
      </c>
      <c r="Q685" s="16" t="s">
        <v>29</v>
      </c>
      <c r="R685" s="16" t="s">
        <v>1580</v>
      </c>
      <c r="S685" s="12" t="s">
        <v>3192</v>
      </c>
      <c r="T685" s="13">
        <v>45958</v>
      </c>
      <c r="U685" s="19"/>
      <c r="V685" s="53">
        <f>M685-Z685-AB685-AD685-AF685-AH685-AJ685-AL685-AN685-AP685-AR685-AT685-AV685-AX685-AZ685-BB685-BD685-BF685-BH685-U685</f>
        <v>0</v>
      </c>
      <c r="W685" s="22" t="s">
        <v>3298</v>
      </c>
      <c r="X685" s="16"/>
      <c r="Y685" s="9"/>
      <c r="Z685" s="19">
        <v>50</v>
      </c>
      <c r="AA685" s="252">
        <v>45958</v>
      </c>
    </row>
    <row r="686" spans="1:33" s="36" customFormat="1" ht="20.25" customHeight="1">
      <c r="A686" s="7">
        <v>45944</v>
      </c>
      <c r="B686" s="19" t="s">
        <v>3282</v>
      </c>
      <c r="C686" s="19" t="s">
        <v>304</v>
      </c>
      <c r="D686" s="19" t="s">
        <v>212</v>
      </c>
      <c r="E686" s="19" t="s">
        <v>34</v>
      </c>
      <c r="F686" s="19" t="s">
        <v>3290</v>
      </c>
      <c r="G686" s="19" t="s">
        <v>71</v>
      </c>
      <c r="H686" s="19" t="s">
        <v>31</v>
      </c>
      <c r="I686" s="19"/>
      <c r="J686" s="19" t="s">
        <v>27</v>
      </c>
      <c r="K686" s="19" t="s">
        <v>2530</v>
      </c>
      <c r="L686" s="19" t="s">
        <v>35</v>
      </c>
      <c r="M686" s="20">
        <v>50</v>
      </c>
      <c r="N686" s="25">
        <v>1.29</v>
      </c>
      <c r="O686" s="19" t="s">
        <v>67</v>
      </c>
      <c r="P686" s="19" t="s">
        <v>63</v>
      </c>
      <c r="Q686" s="19" t="s">
        <v>29</v>
      </c>
      <c r="R686" s="19" t="s">
        <v>2716</v>
      </c>
      <c r="S686" s="45" t="s">
        <v>3192</v>
      </c>
      <c r="T686" s="8">
        <v>45958</v>
      </c>
      <c r="U686" s="19"/>
      <c r="V686" s="55">
        <f>M686-Z686-AB686-AD686-AF686-AH686-AJ686-AL686-AN686-AP686-AR686-AT686-AV686-AX686-AZ686-BB686-BD686-BF686-BH686-U686</f>
        <v>0</v>
      </c>
      <c r="W686" s="15" t="s">
        <v>3299</v>
      </c>
      <c r="X686" s="19"/>
      <c r="Y686" s="10"/>
      <c r="Z686" s="19">
        <v>50</v>
      </c>
      <c r="AA686" s="123">
        <v>45946</v>
      </c>
    </row>
    <row r="687" spans="1:33" s="36" customFormat="1" ht="20.25" customHeight="1">
      <c r="A687" s="7">
        <v>45944</v>
      </c>
      <c r="B687" s="19" t="s">
        <v>3283</v>
      </c>
      <c r="C687" s="19" t="s">
        <v>304</v>
      </c>
      <c r="D687" s="19" t="s">
        <v>212</v>
      </c>
      <c r="E687" s="19" t="s">
        <v>34</v>
      </c>
      <c r="F687" s="19" t="s">
        <v>3291</v>
      </c>
      <c r="G687" s="19" t="s">
        <v>71</v>
      </c>
      <c r="H687" s="19" t="s">
        <v>31</v>
      </c>
      <c r="I687" s="19"/>
      <c r="J687" s="19" t="s">
        <v>27</v>
      </c>
      <c r="K687" s="19" t="s">
        <v>2530</v>
      </c>
      <c r="L687" s="19" t="s">
        <v>35</v>
      </c>
      <c r="M687" s="20">
        <v>25</v>
      </c>
      <c r="N687" s="25">
        <v>1.29</v>
      </c>
      <c r="O687" s="19" t="s">
        <v>67</v>
      </c>
      <c r="P687" s="19" t="s">
        <v>63</v>
      </c>
      <c r="Q687" s="19" t="s">
        <v>29</v>
      </c>
      <c r="R687" s="19" t="s">
        <v>2987</v>
      </c>
      <c r="S687" s="45" t="s">
        <v>3192</v>
      </c>
      <c r="T687" s="8">
        <v>45958</v>
      </c>
      <c r="U687" s="19"/>
      <c r="V687" s="55">
        <f>M687-Z687-AB687-AD687-AF687-AH687-AJ687-AL687-AN687-AP687-AR687-AT687-AV687-AX687-AZ687-BB687-BD687-BF687-BH687-U687</f>
        <v>-7.1000000000000014</v>
      </c>
      <c r="W687" s="15" t="s">
        <v>3300</v>
      </c>
      <c r="X687" s="19"/>
      <c r="Y687" s="10"/>
      <c r="Z687" s="19">
        <v>32.1</v>
      </c>
      <c r="AA687" s="123">
        <v>45946</v>
      </c>
    </row>
    <row r="688" spans="1:33" s="28" customFormat="1" ht="20.25" customHeight="1">
      <c r="A688" s="11">
        <v>45944</v>
      </c>
      <c r="B688" s="16" t="s">
        <v>3284</v>
      </c>
      <c r="C688" s="16" t="s">
        <v>304</v>
      </c>
      <c r="D688" s="16" t="s">
        <v>212</v>
      </c>
      <c r="E688" s="16" t="s">
        <v>34</v>
      </c>
      <c r="F688" s="16" t="s">
        <v>3292</v>
      </c>
      <c r="G688" s="16" t="s">
        <v>71</v>
      </c>
      <c r="H688" s="16" t="s">
        <v>31</v>
      </c>
      <c r="I688" s="1"/>
      <c r="J688" s="1" t="s">
        <v>27</v>
      </c>
      <c r="K688" s="16" t="s">
        <v>1796</v>
      </c>
      <c r="L688" s="16" t="s">
        <v>35</v>
      </c>
      <c r="M688" s="17">
        <v>25</v>
      </c>
      <c r="N688" s="6">
        <v>1.29</v>
      </c>
      <c r="O688" s="16" t="s">
        <v>67</v>
      </c>
      <c r="P688" s="16" t="s">
        <v>63</v>
      </c>
      <c r="Q688" s="16" t="s">
        <v>29</v>
      </c>
      <c r="R688" s="16" t="s">
        <v>1580</v>
      </c>
      <c r="S688" s="12" t="s">
        <v>3192</v>
      </c>
      <c r="T688" s="13">
        <v>45958</v>
      </c>
      <c r="U688" s="19"/>
      <c r="V688" s="53">
        <f>M688-Z688-AB688-AD688-AF688-AH688-AJ688-AL688-AN688-AP688-AR688-AT688-AV688-AX688-AZ688-BB688-BD688-BF688-BH688-U688</f>
        <v>-3.6999999999999993</v>
      </c>
      <c r="W688" s="22" t="s">
        <v>3301</v>
      </c>
      <c r="X688" s="16"/>
      <c r="Y688" s="9"/>
      <c r="Z688" s="19">
        <v>28.7</v>
      </c>
      <c r="AA688" s="252">
        <v>45958</v>
      </c>
    </row>
    <row r="689" spans="1:29" s="36" customFormat="1" ht="20.25" customHeight="1">
      <c r="A689" s="7">
        <v>45944</v>
      </c>
      <c r="B689" s="19" t="s">
        <v>3285</v>
      </c>
      <c r="C689" s="19" t="s">
        <v>304</v>
      </c>
      <c r="D689" s="19" t="s">
        <v>212</v>
      </c>
      <c r="E689" s="19" t="s">
        <v>34</v>
      </c>
      <c r="F689" s="19" t="s">
        <v>3293</v>
      </c>
      <c r="G689" s="19" t="s">
        <v>71</v>
      </c>
      <c r="H689" s="19" t="s">
        <v>31</v>
      </c>
      <c r="I689" s="1"/>
      <c r="J689" s="1" t="s">
        <v>27</v>
      </c>
      <c r="K689" s="19" t="s">
        <v>1470</v>
      </c>
      <c r="L689" s="1" t="s">
        <v>35</v>
      </c>
      <c r="M689" s="20">
        <v>25</v>
      </c>
      <c r="N689" s="271">
        <v>1.29</v>
      </c>
      <c r="O689" s="270" t="s">
        <v>67</v>
      </c>
      <c r="P689" s="270" t="s">
        <v>63</v>
      </c>
      <c r="Q689" s="270" t="s">
        <v>29</v>
      </c>
      <c r="R689" s="270" t="s">
        <v>2863</v>
      </c>
      <c r="S689" s="327" t="s">
        <v>3192</v>
      </c>
      <c r="T689" s="8">
        <v>45958</v>
      </c>
      <c r="U689" s="19"/>
      <c r="V689" s="55">
        <f>M689-Z689-AB689-AD689-AF689-AH689-AJ689-AL689-AN689-AP689-AR689-AT689-AV689-AX689-AZ689-BB689-BD689-BF689-BH689-U689</f>
        <v>-0.19999999999999929</v>
      </c>
      <c r="W689" s="15" t="s">
        <v>3302</v>
      </c>
      <c r="X689" s="19"/>
      <c r="Y689" s="10"/>
      <c r="Z689" s="19">
        <v>25.2</v>
      </c>
      <c r="AA689" s="123">
        <v>45972</v>
      </c>
    </row>
    <row r="690" spans="1:29" s="28" customFormat="1" ht="20.25" customHeight="1">
      <c r="A690" s="11">
        <v>45944</v>
      </c>
      <c r="B690" s="16" t="s">
        <v>3286</v>
      </c>
      <c r="C690" s="16" t="s">
        <v>267</v>
      </c>
      <c r="D690" s="16" t="s">
        <v>212</v>
      </c>
      <c r="E690" s="16" t="s">
        <v>34</v>
      </c>
      <c r="F690" s="16" t="s">
        <v>3294</v>
      </c>
      <c r="G690" s="16" t="s">
        <v>71</v>
      </c>
      <c r="H690" s="16" t="s">
        <v>31</v>
      </c>
      <c r="I690" s="1"/>
      <c r="J690" s="1" t="s">
        <v>27</v>
      </c>
      <c r="K690" s="16" t="s">
        <v>2530</v>
      </c>
      <c r="L690" s="1" t="s">
        <v>35</v>
      </c>
      <c r="M690" s="17">
        <v>1265</v>
      </c>
      <c r="N690" s="23">
        <v>1.29</v>
      </c>
      <c r="O690" s="16" t="s">
        <v>67</v>
      </c>
      <c r="P690" s="16" t="s">
        <v>63</v>
      </c>
      <c r="Q690" s="16" t="s">
        <v>29</v>
      </c>
      <c r="R690" s="16" t="s">
        <v>2716</v>
      </c>
      <c r="S690" s="12" t="s">
        <v>3059</v>
      </c>
      <c r="T690" s="13">
        <v>45951</v>
      </c>
      <c r="U690" s="19"/>
      <c r="V690" s="53">
        <f>M690-Z690-AB690-AD690-AF690-AH690-AJ690-AL690-AN690-AP690-AR690-AT690-AV690-AX690-AZ690-BB690-BD690-BF690-BH690-U690</f>
        <v>-1.7999999999999545</v>
      </c>
      <c r="W690" s="22" t="s">
        <v>3303</v>
      </c>
      <c r="X690" s="16"/>
      <c r="Y690" s="9"/>
      <c r="Z690" s="19">
        <v>1266.8</v>
      </c>
      <c r="AA690" s="252">
        <v>45946</v>
      </c>
    </row>
    <row r="691" spans="1:29" s="28" customFormat="1" ht="20.25" customHeight="1">
      <c r="A691" s="11">
        <v>45944</v>
      </c>
      <c r="B691" s="16" t="s">
        <v>3287</v>
      </c>
      <c r="C691" s="16" t="s">
        <v>267</v>
      </c>
      <c r="D691" s="16" t="s">
        <v>212</v>
      </c>
      <c r="E691" s="16" t="s">
        <v>34</v>
      </c>
      <c r="F691" s="16" t="s">
        <v>3295</v>
      </c>
      <c r="G691" s="16" t="s">
        <v>71</v>
      </c>
      <c r="H691" s="16" t="s">
        <v>31</v>
      </c>
      <c r="I691" s="1"/>
      <c r="J691" s="1" t="s">
        <v>27</v>
      </c>
      <c r="K691" s="16" t="s">
        <v>2976</v>
      </c>
      <c r="L691" s="1" t="s">
        <v>35</v>
      </c>
      <c r="M691" s="17">
        <v>2055</v>
      </c>
      <c r="N691" s="23">
        <v>1.29</v>
      </c>
      <c r="O691" s="16" t="s">
        <v>67</v>
      </c>
      <c r="P691" s="16" t="s">
        <v>63</v>
      </c>
      <c r="Q691" s="16" t="s">
        <v>29</v>
      </c>
      <c r="R691" s="16" t="s">
        <v>2716</v>
      </c>
      <c r="S691" s="12" t="s">
        <v>3059</v>
      </c>
      <c r="T691" s="13">
        <v>45951</v>
      </c>
      <c r="U691" s="19"/>
      <c r="V691" s="53">
        <f>M691-Z691-AB691-AD691-AF691-AH691-AJ691-AL691-AN691-AP691-AR691-AT691-AV691-AX691-AZ691-BB691-BD691-BF691-BH691-U691</f>
        <v>-1.0999999999999091</v>
      </c>
      <c r="W691" s="22" t="s">
        <v>3304</v>
      </c>
      <c r="X691" s="16"/>
      <c r="Y691" s="9"/>
      <c r="Z691" s="19">
        <f>1236.8+819.3</f>
        <v>2056.1</v>
      </c>
      <c r="AA691" s="252">
        <v>45946</v>
      </c>
    </row>
    <row r="692" spans="1:29" s="28" customFormat="1" ht="20.25" customHeight="1">
      <c r="A692" s="11">
        <v>45945</v>
      </c>
      <c r="B692" s="16" t="s">
        <v>3305</v>
      </c>
      <c r="C692" s="16" t="s">
        <v>304</v>
      </c>
      <c r="D692" s="16" t="s">
        <v>212</v>
      </c>
      <c r="E692" s="16" t="s">
        <v>34</v>
      </c>
      <c r="F692" s="16" t="s">
        <v>3308</v>
      </c>
      <c r="G692" s="16" t="s">
        <v>71</v>
      </c>
      <c r="H692" s="16" t="s">
        <v>31</v>
      </c>
      <c r="I692" s="1"/>
      <c r="J692" s="1" t="s">
        <v>27</v>
      </c>
      <c r="K692" s="16" t="s">
        <v>250</v>
      </c>
      <c r="L692" s="16" t="s">
        <v>35</v>
      </c>
      <c r="M692" s="17">
        <v>25</v>
      </c>
      <c r="N692" s="6">
        <v>1.29</v>
      </c>
      <c r="O692" s="16" t="s">
        <v>67</v>
      </c>
      <c r="P692" s="16" t="s">
        <v>63</v>
      </c>
      <c r="Q692" s="16" t="s">
        <v>29</v>
      </c>
      <c r="R692" s="16" t="s">
        <v>2865</v>
      </c>
      <c r="S692" s="12" t="s">
        <v>79</v>
      </c>
      <c r="T692" s="13">
        <v>45959</v>
      </c>
      <c r="U692" s="19"/>
      <c r="V692" s="53">
        <f>M692-Z692-AB692-AD692-AF692-AH692-AJ692-AL692-AN692-AP692-AR692-AT692-AV692-AX692-AZ692-BB692-BD692-BF692-BH692-U692</f>
        <v>-7.6000000000000014</v>
      </c>
      <c r="W692" s="22" t="s">
        <v>3313</v>
      </c>
      <c r="X692" s="16" t="s">
        <v>29</v>
      </c>
      <c r="Y692" s="9"/>
      <c r="Z692" s="19">
        <v>32.6</v>
      </c>
      <c r="AA692" s="252">
        <v>45958</v>
      </c>
    </row>
    <row r="693" spans="1:29" s="28" customFormat="1" ht="20.25" customHeight="1">
      <c r="A693" s="11">
        <v>45945</v>
      </c>
      <c r="B693" s="16" t="s">
        <v>3306</v>
      </c>
      <c r="C693" s="16" t="s">
        <v>304</v>
      </c>
      <c r="D693" s="16" t="s">
        <v>212</v>
      </c>
      <c r="E693" s="16" t="s">
        <v>34</v>
      </c>
      <c r="F693" s="16" t="s">
        <v>3309</v>
      </c>
      <c r="G693" s="16" t="s">
        <v>71</v>
      </c>
      <c r="H693" s="16" t="s">
        <v>26</v>
      </c>
      <c r="I693" s="16"/>
      <c r="J693" s="16" t="s">
        <v>27</v>
      </c>
      <c r="K693" s="16" t="s">
        <v>218</v>
      </c>
      <c r="L693" s="16" t="s">
        <v>35</v>
      </c>
      <c r="M693" s="17">
        <v>25</v>
      </c>
      <c r="N693" s="23">
        <v>1.29</v>
      </c>
      <c r="O693" s="16" t="s">
        <v>1063</v>
      </c>
      <c r="P693" s="16" t="s">
        <v>63</v>
      </c>
      <c r="Q693" s="16" t="s">
        <v>29</v>
      </c>
      <c r="R693" s="16" t="s">
        <v>509</v>
      </c>
      <c r="S693" s="12" t="s">
        <v>79</v>
      </c>
      <c r="T693" s="13">
        <v>45959</v>
      </c>
      <c r="U693" s="19"/>
      <c r="V693" s="53">
        <f>M693-Z693-AB693-AD693-AF693-AH693-AJ693-AL693-AN693-AP693-AR693-AT693-AV693-AX693-AZ693-BB693-BD693-BF693-BH693-U693</f>
        <v>-2</v>
      </c>
      <c r="W693" s="22" t="s">
        <v>3314</v>
      </c>
      <c r="X693" s="16" t="s">
        <v>29</v>
      </c>
      <c r="Y693" s="9"/>
      <c r="Z693" s="19">
        <v>27</v>
      </c>
      <c r="AA693" s="252">
        <v>45958</v>
      </c>
    </row>
    <row r="694" spans="1:29" s="28" customFormat="1" ht="20.25" customHeight="1">
      <c r="A694" s="11">
        <v>45945</v>
      </c>
      <c r="B694" s="16" t="s">
        <v>3307</v>
      </c>
      <c r="C694" s="16" t="s">
        <v>382</v>
      </c>
      <c r="D694" s="16" t="s">
        <v>212</v>
      </c>
      <c r="E694" s="16" t="s">
        <v>34</v>
      </c>
      <c r="F694" s="16" t="s">
        <v>3310</v>
      </c>
      <c r="G694" s="16" t="s">
        <v>71</v>
      </c>
      <c r="H694" s="16" t="s">
        <v>31</v>
      </c>
      <c r="I694" s="16"/>
      <c r="J694" s="16" t="s">
        <v>27</v>
      </c>
      <c r="K694" s="16" t="s">
        <v>245</v>
      </c>
      <c r="L694" s="16" t="s">
        <v>35</v>
      </c>
      <c r="M694" s="17">
        <v>63</v>
      </c>
      <c r="N694" s="23">
        <v>1.29</v>
      </c>
      <c r="O694" s="16" t="s">
        <v>67</v>
      </c>
      <c r="P694" s="16" t="s">
        <v>63</v>
      </c>
      <c r="Q694" s="16" t="s">
        <v>1997</v>
      </c>
      <c r="R694" s="16" t="s">
        <v>2729</v>
      </c>
      <c r="S694" s="12" t="s">
        <v>79</v>
      </c>
      <c r="T694" s="13">
        <v>45959</v>
      </c>
      <c r="U694" s="19"/>
      <c r="V694" s="324">
        <f>M694-Z694-AB694-AD694-AF694-AH694-AJ694-AL694-AN694-AP694-AR694-AT694-AV694-AX694-AZ694-BB694-BD694-BF694-BH694-U694</f>
        <v>-0.60000000000000142</v>
      </c>
      <c r="W694" s="22" t="s">
        <v>3315</v>
      </c>
      <c r="X694" s="16" t="s">
        <v>1021</v>
      </c>
      <c r="Y694" s="9"/>
      <c r="Z694" s="19">
        <f>46.6+17</f>
        <v>63.6</v>
      </c>
      <c r="AA694" s="252">
        <v>45968</v>
      </c>
    </row>
    <row r="695" spans="1:29" s="28" customFormat="1" ht="20.25" customHeight="1">
      <c r="A695" s="11">
        <v>45945</v>
      </c>
      <c r="B695" s="16" t="s">
        <v>3307</v>
      </c>
      <c r="C695" s="16" t="s">
        <v>382</v>
      </c>
      <c r="D695" s="16" t="s">
        <v>212</v>
      </c>
      <c r="E695" s="16" t="s">
        <v>34</v>
      </c>
      <c r="F695" s="16" t="s">
        <v>3310</v>
      </c>
      <c r="G695" s="16" t="s">
        <v>2455</v>
      </c>
      <c r="H695" s="16" t="s">
        <v>31</v>
      </c>
      <c r="I695" s="16"/>
      <c r="J695" s="16" t="s">
        <v>27</v>
      </c>
      <c r="K695" s="16" t="s">
        <v>245</v>
      </c>
      <c r="L695" s="16" t="s">
        <v>35</v>
      </c>
      <c r="M695" s="17">
        <v>14</v>
      </c>
      <c r="N695" s="23">
        <v>1.29</v>
      </c>
      <c r="O695" s="16" t="s">
        <v>67</v>
      </c>
      <c r="P695" s="16" t="s">
        <v>63</v>
      </c>
      <c r="Q695" s="16" t="s">
        <v>2463</v>
      </c>
      <c r="R695" s="16" t="s">
        <v>2464</v>
      </c>
      <c r="S695" s="12" t="s">
        <v>79</v>
      </c>
      <c r="T695" s="13">
        <v>45959</v>
      </c>
      <c r="U695" s="19"/>
      <c r="V695" s="53">
        <f>M695-Z695-AB695-AD695-AF695-AH695-AJ695-AL695-AN695-AP695-AR695-AT695-AV695-AX695-AZ695-BB695-BD695-BF695-BH695-U695</f>
        <v>-4.3000000000000007</v>
      </c>
      <c r="W695" s="22" t="s">
        <v>3316</v>
      </c>
      <c r="X695" s="16" t="s">
        <v>1021</v>
      </c>
      <c r="Y695" s="9"/>
      <c r="Z695" s="19">
        <v>18.3</v>
      </c>
      <c r="AA695" s="252">
        <v>45968</v>
      </c>
    </row>
    <row r="696" spans="1:29" s="28" customFormat="1" ht="20.25" customHeight="1">
      <c r="A696" s="11">
        <v>45945</v>
      </c>
      <c r="B696" s="16" t="s">
        <v>3307</v>
      </c>
      <c r="C696" s="16" t="s">
        <v>382</v>
      </c>
      <c r="D696" s="16" t="s">
        <v>212</v>
      </c>
      <c r="E696" s="16" t="s">
        <v>34</v>
      </c>
      <c r="F696" s="16" t="s">
        <v>3310</v>
      </c>
      <c r="G696" s="16" t="s">
        <v>3311</v>
      </c>
      <c r="H696" s="16" t="s">
        <v>31</v>
      </c>
      <c r="I696" s="16"/>
      <c r="J696" s="16" t="s">
        <v>27</v>
      </c>
      <c r="K696" s="16" t="s">
        <v>1116</v>
      </c>
      <c r="L696" s="16" t="s">
        <v>35</v>
      </c>
      <c r="M696" s="17">
        <v>18</v>
      </c>
      <c r="N696" s="23">
        <v>1.29</v>
      </c>
      <c r="O696" s="16" t="s">
        <v>67</v>
      </c>
      <c r="P696" s="16" t="s">
        <v>63</v>
      </c>
      <c r="Q696" s="16" t="s">
        <v>2654</v>
      </c>
      <c r="R696" s="16" t="s">
        <v>3312</v>
      </c>
      <c r="S696" s="12" t="s">
        <v>79</v>
      </c>
      <c r="T696" s="13">
        <v>45959</v>
      </c>
      <c r="U696" s="19"/>
      <c r="V696" s="53">
        <f>M696-Z696-AB696-AD696-AF696-AH696-AJ696-AL696-AN696-AP696-AR696-AT696-AV696-AX696-AZ696-BB696-BD696-BF696-BH696-U696</f>
        <v>-0.80000000000000071</v>
      </c>
      <c r="W696" s="22" t="s">
        <v>3317</v>
      </c>
      <c r="X696" s="16" t="s">
        <v>29</v>
      </c>
      <c r="Y696" s="9"/>
      <c r="Z696" s="19">
        <v>18.8</v>
      </c>
      <c r="AA696" s="252">
        <v>45968</v>
      </c>
    </row>
    <row r="697" spans="1:29" s="36" customFormat="1" ht="20.25" customHeight="1">
      <c r="A697" s="7">
        <v>45945</v>
      </c>
      <c r="B697" s="19" t="s">
        <v>3318</v>
      </c>
      <c r="C697" s="19" t="s">
        <v>267</v>
      </c>
      <c r="D697" s="19" t="s">
        <v>212</v>
      </c>
      <c r="E697" s="19" t="s">
        <v>25</v>
      </c>
      <c r="F697" s="19" t="s">
        <v>3324</v>
      </c>
      <c r="G697" s="19" t="s">
        <v>71</v>
      </c>
      <c r="H697" s="19" t="s">
        <v>26</v>
      </c>
      <c r="I697" s="19"/>
      <c r="J697" s="19" t="s">
        <v>27</v>
      </c>
      <c r="K697" s="19" t="s">
        <v>239</v>
      </c>
      <c r="L697" s="19" t="s">
        <v>35</v>
      </c>
      <c r="M697" s="20">
        <v>3800</v>
      </c>
      <c r="N697" s="25">
        <v>1.29</v>
      </c>
      <c r="O697" s="19" t="s">
        <v>1063</v>
      </c>
      <c r="P697" s="19" t="s">
        <v>63</v>
      </c>
      <c r="Q697" s="19" t="s">
        <v>29</v>
      </c>
      <c r="R697" s="19" t="s">
        <v>3331</v>
      </c>
      <c r="S697" s="45" t="s">
        <v>3335</v>
      </c>
      <c r="T697" s="8">
        <v>45966</v>
      </c>
      <c r="U697" s="19"/>
      <c r="V697" s="55">
        <f>M697-Z697-AB697-AD697-AF697-AH697-AJ697-AL697-AN697-AP697-AR697-AT697-AV697-AX697-AZ697-BB697-BD697-BF697-BH697-U697</f>
        <v>-3.3000000000004093</v>
      </c>
      <c r="W697" s="15" t="s">
        <v>3336</v>
      </c>
      <c r="X697" s="19"/>
      <c r="Y697" s="10"/>
      <c r="Z697" s="19">
        <f>854.2+2074.4</f>
        <v>2928.6000000000004</v>
      </c>
      <c r="AA697" s="123">
        <v>45951</v>
      </c>
      <c r="AB697" s="19">
        <v>874.7</v>
      </c>
      <c r="AC697" s="123">
        <v>45958</v>
      </c>
    </row>
    <row r="698" spans="1:29" s="36" customFormat="1" ht="20.25" customHeight="1">
      <c r="A698" s="7">
        <v>45945</v>
      </c>
      <c r="B698" s="19" t="s">
        <v>3319</v>
      </c>
      <c r="C698" s="19" t="s">
        <v>267</v>
      </c>
      <c r="D698" s="19" t="s">
        <v>212</v>
      </c>
      <c r="E698" s="19" t="s">
        <v>25</v>
      </c>
      <c r="F698" s="19" t="s">
        <v>3325</v>
      </c>
      <c r="G698" s="19" t="s">
        <v>71</v>
      </c>
      <c r="H698" s="19" t="s">
        <v>26</v>
      </c>
      <c r="I698" s="19"/>
      <c r="J698" s="19" t="s">
        <v>27</v>
      </c>
      <c r="K698" s="19" t="s">
        <v>239</v>
      </c>
      <c r="L698" s="19" t="s">
        <v>35</v>
      </c>
      <c r="M698" s="20">
        <v>435</v>
      </c>
      <c r="N698" s="25">
        <v>1.29</v>
      </c>
      <c r="O698" s="19" t="s">
        <v>1063</v>
      </c>
      <c r="P698" s="19" t="s">
        <v>63</v>
      </c>
      <c r="Q698" s="19" t="s">
        <v>29</v>
      </c>
      <c r="R698" s="19" t="s">
        <v>2988</v>
      </c>
      <c r="S698" s="45" t="s">
        <v>3335</v>
      </c>
      <c r="T698" s="8">
        <v>45966</v>
      </c>
      <c r="U698" s="19"/>
      <c r="V698" s="55">
        <f>M698-Z698-AB698-AD698-AF698-AH698-AJ698-AL698-AN698-AP698-AR698-AT698-AV698-AX698-AZ698-BB698-BD698-BF698-BH698-U698</f>
        <v>-2.1000000000000227</v>
      </c>
      <c r="W698" s="15" t="s">
        <v>3337</v>
      </c>
      <c r="X698" s="19"/>
      <c r="Y698" s="10"/>
      <c r="Z698" s="19">
        <v>437.1</v>
      </c>
      <c r="AA698" s="123">
        <v>45958</v>
      </c>
    </row>
    <row r="699" spans="1:29" s="36" customFormat="1" ht="20.25" customHeight="1">
      <c r="A699" s="7">
        <v>45945</v>
      </c>
      <c r="B699" s="19" t="s">
        <v>3320</v>
      </c>
      <c r="C699" s="19" t="s">
        <v>267</v>
      </c>
      <c r="D699" s="19" t="s">
        <v>212</v>
      </c>
      <c r="E699" s="19" t="s">
        <v>25</v>
      </c>
      <c r="F699" s="19" t="s">
        <v>3326</v>
      </c>
      <c r="G699" s="19" t="s">
        <v>71</v>
      </c>
      <c r="H699" s="19" t="s">
        <v>26</v>
      </c>
      <c r="I699" s="19"/>
      <c r="J699" s="19" t="s">
        <v>27</v>
      </c>
      <c r="K699" s="19" t="s">
        <v>218</v>
      </c>
      <c r="L699" s="19" t="s">
        <v>35</v>
      </c>
      <c r="M699" s="20">
        <v>605</v>
      </c>
      <c r="N699" s="25">
        <v>1.29</v>
      </c>
      <c r="O699" s="19" t="s">
        <v>1063</v>
      </c>
      <c r="P699" s="19" t="s">
        <v>63</v>
      </c>
      <c r="Q699" s="19" t="s">
        <v>29</v>
      </c>
      <c r="R699" s="19" t="s">
        <v>3332</v>
      </c>
      <c r="S699" s="45" t="s">
        <v>3335</v>
      </c>
      <c r="T699" s="8">
        <v>45966</v>
      </c>
      <c r="U699" s="19"/>
      <c r="V699" s="55">
        <f>M699-Z699-AB699-AD699-AF699-AH699-AJ699-AL699-AN699-AP699-AR699-AT699-AV699-AX699-AZ699-BB699-BD699-BF699-BH699-U699</f>
        <v>-0.70000000000004547</v>
      </c>
      <c r="W699" s="15" t="s">
        <v>3338</v>
      </c>
      <c r="X699" s="19"/>
      <c r="Y699" s="10"/>
      <c r="Z699" s="19">
        <v>605.70000000000005</v>
      </c>
      <c r="AA699" s="123">
        <v>45958</v>
      </c>
    </row>
    <row r="700" spans="1:29" s="36" customFormat="1" ht="20.25" customHeight="1">
      <c r="A700" s="7">
        <v>45945</v>
      </c>
      <c r="B700" s="19" t="s">
        <v>3321</v>
      </c>
      <c r="C700" s="19" t="s">
        <v>304</v>
      </c>
      <c r="D700" s="19" t="s">
        <v>212</v>
      </c>
      <c r="E700" s="19" t="s">
        <v>25</v>
      </c>
      <c r="F700" s="19" t="s">
        <v>3327</v>
      </c>
      <c r="G700" s="19" t="s">
        <v>71</v>
      </c>
      <c r="H700" s="19" t="s">
        <v>31</v>
      </c>
      <c r="I700" s="19"/>
      <c r="J700" s="19" t="s">
        <v>27</v>
      </c>
      <c r="K700" s="19" t="s">
        <v>3330</v>
      </c>
      <c r="L700" s="19" t="s">
        <v>35</v>
      </c>
      <c r="M700" s="20">
        <v>25</v>
      </c>
      <c r="N700" s="25">
        <v>1.29</v>
      </c>
      <c r="O700" s="19" t="s">
        <v>67</v>
      </c>
      <c r="P700" s="19" t="s">
        <v>63</v>
      </c>
      <c r="Q700" s="19" t="s">
        <v>29</v>
      </c>
      <c r="R700" s="19" t="s">
        <v>3333</v>
      </c>
      <c r="S700" s="45" t="s">
        <v>3335</v>
      </c>
      <c r="T700" s="8">
        <v>45966</v>
      </c>
      <c r="U700" s="19"/>
      <c r="V700" s="55">
        <f>M700-Z700-AB700-AD700-AF700-AH700-AJ700-AL700-AN700-AP700-AR700-AT700-AV700-AX700-AZ700-BB700-BD700-BF700-BH700-U700</f>
        <v>-2.6999999999999993</v>
      </c>
      <c r="W700" s="15" t="s">
        <v>3339</v>
      </c>
      <c r="X700" s="19"/>
      <c r="Y700" s="10"/>
      <c r="Z700" s="19">
        <v>27.7</v>
      </c>
      <c r="AA700" s="123">
        <v>45946</v>
      </c>
    </row>
    <row r="701" spans="1:29" s="28" customFormat="1" ht="20.25" customHeight="1">
      <c r="A701" s="11">
        <v>45945</v>
      </c>
      <c r="B701" s="16" t="s">
        <v>3322</v>
      </c>
      <c r="C701" s="16" t="s">
        <v>2624</v>
      </c>
      <c r="D701" s="16" t="s">
        <v>212</v>
      </c>
      <c r="E701" s="16" t="s">
        <v>25</v>
      </c>
      <c r="F701" s="16" t="s">
        <v>3328</v>
      </c>
      <c r="G701" s="16" t="s">
        <v>71</v>
      </c>
      <c r="H701" s="16" t="s">
        <v>31</v>
      </c>
      <c r="I701" s="1"/>
      <c r="J701" s="1" t="s">
        <v>27</v>
      </c>
      <c r="K701" s="16" t="s">
        <v>2355</v>
      </c>
      <c r="L701" s="1" t="s">
        <v>35</v>
      </c>
      <c r="M701" s="17">
        <v>690</v>
      </c>
      <c r="N701" s="6">
        <v>1.29</v>
      </c>
      <c r="O701" s="1" t="s">
        <v>67</v>
      </c>
      <c r="P701" s="1" t="s">
        <v>63</v>
      </c>
      <c r="Q701" s="1" t="s">
        <v>920</v>
      </c>
      <c r="R701" s="1" t="s">
        <v>2357</v>
      </c>
      <c r="S701" s="121" t="s">
        <v>3335</v>
      </c>
      <c r="T701" s="13">
        <v>45966</v>
      </c>
      <c r="U701" s="19"/>
      <c r="V701" s="53">
        <f>M701-Z701-AB701-AD701-AF701-AH701-AJ701-AL701-AN701-AP701-AR701-AT701-AV701-AX701-AZ701-BB701-BD701-BF701-BH701-U701</f>
        <v>-4.2000000000000455</v>
      </c>
      <c r="W701" s="22" t="s">
        <v>3340</v>
      </c>
      <c r="X701" s="16"/>
      <c r="Y701" s="9"/>
      <c r="Z701" s="19">
        <v>694.2</v>
      </c>
      <c r="AA701" s="252">
        <v>45953</v>
      </c>
    </row>
    <row r="702" spans="1:29" s="28" customFormat="1" ht="20.25" customHeight="1">
      <c r="A702" s="11">
        <v>45945</v>
      </c>
      <c r="B702" s="16" t="s">
        <v>3323</v>
      </c>
      <c r="C702" s="16" t="s">
        <v>400</v>
      </c>
      <c r="D702" s="16" t="s">
        <v>212</v>
      </c>
      <c r="E702" s="16" t="s">
        <v>25</v>
      </c>
      <c r="F702" s="16" t="s">
        <v>3329</v>
      </c>
      <c r="G702" s="16" t="s">
        <v>71</v>
      </c>
      <c r="H702" s="16" t="s">
        <v>31</v>
      </c>
      <c r="I702" s="1"/>
      <c r="J702" s="1" t="s">
        <v>27</v>
      </c>
      <c r="K702" s="16" t="s">
        <v>975</v>
      </c>
      <c r="L702" s="1" t="s">
        <v>35</v>
      </c>
      <c r="M702" s="17">
        <v>17.72</v>
      </c>
      <c r="N702" s="23">
        <v>1.29</v>
      </c>
      <c r="O702" s="16" t="s">
        <v>67</v>
      </c>
      <c r="P702" s="16" t="s">
        <v>63</v>
      </c>
      <c r="Q702" s="16" t="s">
        <v>3334</v>
      </c>
      <c r="R702" s="16" t="s">
        <v>2188</v>
      </c>
      <c r="S702" s="12" t="s">
        <v>79</v>
      </c>
      <c r="T702" s="13">
        <v>45959</v>
      </c>
      <c r="U702" s="19"/>
      <c r="V702" s="53">
        <f>M702-Z702-AB702-AD702-AF702-AH702-AJ702-AL702-AN702-AP702-AR702-AT702-AV702-AX702-AZ702-BB702-BD702-BF702-BH702-U702</f>
        <v>-0.28000000000000114</v>
      </c>
      <c r="W702" s="22" t="s">
        <v>3341</v>
      </c>
      <c r="X702" s="16" t="s">
        <v>1021</v>
      </c>
      <c r="Y702" s="9"/>
      <c r="Z702" s="19">
        <v>18</v>
      </c>
      <c r="AA702" s="252">
        <v>45967</v>
      </c>
    </row>
    <row r="703" spans="1:29" s="28" customFormat="1" ht="20.25" customHeight="1">
      <c r="A703" s="11">
        <v>45946</v>
      </c>
      <c r="B703" s="16" t="s">
        <v>3345</v>
      </c>
      <c r="C703" s="16" t="s">
        <v>304</v>
      </c>
      <c r="D703" s="16" t="s">
        <v>212</v>
      </c>
      <c r="E703" s="16" t="s">
        <v>25</v>
      </c>
      <c r="F703" s="16" t="s">
        <v>3347</v>
      </c>
      <c r="G703" s="16" t="s">
        <v>71</v>
      </c>
      <c r="H703" s="16" t="s">
        <v>31</v>
      </c>
      <c r="I703" s="16"/>
      <c r="J703" s="16" t="s">
        <v>27</v>
      </c>
      <c r="K703" s="16" t="s">
        <v>2738</v>
      </c>
      <c r="L703" s="16" t="s">
        <v>35</v>
      </c>
      <c r="M703" s="17">
        <v>25</v>
      </c>
      <c r="N703" s="23">
        <v>1.29</v>
      </c>
      <c r="O703" s="16" t="s">
        <v>67</v>
      </c>
      <c r="P703" s="16" t="s">
        <v>63</v>
      </c>
      <c r="Q703" s="16" t="s">
        <v>29</v>
      </c>
      <c r="R703" s="16" t="s">
        <v>2866</v>
      </c>
      <c r="S703" s="12" t="s">
        <v>3350</v>
      </c>
      <c r="T703" s="13">
        <v>45960</v>
      </c>
      <c r="U703" s="19"/>
      <c r="V703" s="53">
        <f>M703-Z703-AB703-AD703-AF703-AH703-AJ703-AL703-AN703-AP703-AR703-AT703-AV703-AX703-AZ703-BB703-BD703-BF703-BH703-U703</f>
        <v>-1.6000000000000014</v>
      </c>
      <c r="W703" s="22" t="s">
        <v>3351</v>
      </c>
      <c r="X703" s="16"/>
      <c r="Y703" s="9"/>
      <c r="Z703" s="19">
        <v>26.6</v>
      </c>
      <c r="AA703" s="252">
        <v>45951</v>
      </c>
    </row>
    <row r="704" spans="1:29" s="36" customFormat="1" ht="20.25" customHeight="1">
      <c r="A704" s="7">
        <v>45946</v>
      </c>
      <c r="B704" s="19" t="s">
        <v>3346</v>
      </c>
      <c r="C704" s="19" t="s">
        <v>304</v>
      </c>
      <c r="D704" s="19" t="s">
        <v>212</v>
      </c>
      <c r="E704" s="19" t="s">
        <v>25</v>
      </c>
      <c r="F704" s="19" t="s">
        <v>3348</v>
      </c>
      <c r="G704" s="19" t="s">
        <v>71</v>
      </c>
      <c r="H704" s="19" t="s">
        <v>31</v>
      </c>
      <c r="I704" s="1"/>
      <c r="J704" s="1" t="s">
        <v>27</v>
      </c>
      <c r="K704" s="19" t="s">
        <v>3349</v>
      </c>
      <c r="L704" s="1" t="s">
        <v>35</v>
      </c>
      <c r="M704" s="20">
        <v>25</v>
      </c>
      <c r="N704" s="271">
        <v>1.29</v>
      </c>
      <c r="O704" s="270" t="s">
        <v>67</v>
      </c>
      <c r="P704" s="270" t="s">
        <v>63</v>
      </c>
      <c r="Q704" s="270" t="s">
        <v>29</v>
      </c>
      <c r="R704" s="270" t="s">
        <v>2865</v>
      </c>
      <c r="S704" s="327" t="s">
        <v>3350</v>
      </c>
      <c r="T704" s="8">
        <v>45960</v>
      </c>
      <c r="U704" s="19"/>
      <c r="V704" s="55">
        <f>M704-Z704-AB704-AD704-AF704-AH704-AJ704-AL704-AN704-AP704-AR704-AT704-AV704-AX704-AZ704-BB704-BD704-BF704-BH704-U704</f>
        <v>-0.60000000000000142</v>
      </c>
      <c r="W704" s="15" t="s">
        <v>3352</v>
      </c>
      <c r="X704" s="19"/>
      <c r="Y704" s="10"/>
      <c r="Z704" s="19">
        <v>25.6</v>
      </c>
      <c r="AA704" s="123">
        <v>45972</v>
      </c>
    </row>
    <row r="705" spans="1:29" s="28" customFormat="1" ht="20.25" customHeight="1">
      <c r="A705" s="11">
        <v>45946</v>
      </c>
      <c r="B705" s="16" t="s">
        <v>3353</v>
      </c>
      <c r="C705" s="16" t="s">
        <v>382</v>
      </c>
      <c r="D705" s="16" t="s">
        <v>212</v>
      </c>
      <c r="E705" s="16" t="s">
        <v>25</v>
      </c>
      <c r="F705" s="16" t="s">
        <v>3354</v>
      </c>
      <c r="G705" s="16" t="s">
        <v>71</v>
      </c>
      <c r="H705" s="16" t="s">
        <v>31</v>
      </c>
      <c r="I705" s="16"/>
      <c r="J705" s="16" t="s">
        <v>27</v>
      </c>
      <c r="K705" s="16" t="s">
        <v>2462</v>
      </c>
      <c r="L705" s="16" t="s">
        <v>35</v>
      </c>
      <c r="M705" s="17">
        <v>15000</v>
      </c>
      <c r="N705" s="23">
        <v>1.29</v>
      </c>
      <c r="O705" s="16" t="s">
        <v>67</v>
      </c>
      <c r="P705" s="16" t="s">
        <v>63</v>
      </c>
      <c r="Q705" s="16" t="s">
        <v>2767</v>
      </c>
      <c r="R705" s="16" t="s">
        <v>3355</v>
      </c>
      <c r="S705" s="12" t="s">
        <v>3350</v>
      </c>
      <c r="T705" s="13">
        <v>45960</v>
      </c>
      <c r="U705" s="19"/>
      <c r="V705" s="53">
        <f>M705-Z705-AB705-AD705-AF705-AH705-AJ705-AL705-AN705-AP705-AR705-AT705-AV705-AX705-AZ705-BB705-BD705-BF705-BH705-U705</f>
        <v>-5.9999999997671694E-2</v>
      </c>
      <c r="W705" s="22" t="s">
        <v>3356</v>
      </c>
      <c r="X705" s="16"/>
      <c r="Y705" s="9"/>
      <c r="Z705" s="19">
        <f>886.4+932.1+1678.1+3091.5+2531.2+4738.96+1141.8</f>
        <v>15000.059999999998</v>
      </c>
      <c r="AA705" s="252">
        <v>45968</v>
      </c>
    </row>
    <row r="706" spans="1:29" s="36" customFormat="1" ht="20.25" customHeight="1">
      <c r="A706" s="7">
        <v>45947</v>
      </c>
      <c r="B706" s="19" t="s">
        <v>3380</v>
      </c>
      <c r="C706" s="19" t="s">
        <v>382</v>
      </c>
      <c r="D706" s="19" t="s">
        <v>212</v>
      </c>
      <c r="E706" s="19" t="s">
        <v>25</v>
      </c>
      <c r="F706" s="19" t="s">
        <v>3381</v>
      </c>
      <c r="G706" s="19" t="s">
        <v>71</v>
      </c>
      <c r="H706" s="19" t="s">
        <v>31</v>
      </c>
      <c r="I706" s="16"/>
      <c r="J706" s="16" t="s">
        <v>27</v>
      </c>
      <c r="K706" s="19" t="s">
        <v>2653</v>
      </c>
      <c r="L706" s="16" t="s">
        <v>35</v>
      </c>
      <c r="M706" s="20">
        <v>22099.35</v>
      </c>
      <c r="N706" s="25">
        <v>1.29</v>
      </c>
      <c r="O706" s="19" t="s">
        <v>67</v>
      </c>
      <c r="P706" s="19" t="s">
        <v>63</v>
      </c>
      <c r="Q706" s="19" t="s">
        <v>2767</v>
      </c>
      <c r="R706" s="19" t="s">
        <v>1222</v>
      </c>
      <c r="S706" s="45" t="s">
        <v>3382</v>
      </c>
      <c r="T706" s="8">
        <v>45968</v>
      </c>
      <c r="U706" s="19"/>
      <c r="V706" s="55">
        <f>M706-Z706-AB706-AD706-AF706-AH706-AJ706-AL706-AN706-AP706-AR706-AT706-AV706-AX706-AZ706-BB706-BD706-BF706-BH706-U706</f>
        <v>-0.75000000000227374</v>
      </c>
      <c r="W706" s="15" t="s">
        <v>3383</v>
      </c>
      <c r="X706" s="19" t="s">
        <v>29</v>
      </c>
      <c r="Y706" s="10"/>
      <c r="Z706" s="19">
        <f>1515.9+2917.4+4229.4+4223.7+734.3+2586.7+3050.8</f>
        <v>19258.2</v>
      </c>
      <c r="AA706" s="123">
        <v>45968</v>
      </c>
      <c r="AB706" s="19">
        <v>2841.9</v>
      </c>
      <c r="AC706" s="123">
        <v>45980</v>
      </c>
    </row>
    <row r="707" spans="1:29" s="28" customFormat="1" ht="20.25" customHeight="1">
      <c r="A707" s="11">
        <v>45947</v>
      </c>
      <c r="B707" s="16" t="s">
        <v>3387</v>
      </c>
      <c r="C707" s="16" t="s">
        <v>290</v>
      </c>
      <c r="D707" s="16" t="s">
        <v>212</v>
      </c>
      <c r="E707" s="16" t="s">
        <v>25</v>
      </c>
      <c r="F707" s="16" t="s">
        <v>3388</v>
      </c>
      <c r="G707" s="16" t="s">
        <v>71</v>
      </c>
      <c r="H707" s="16" t="s">
        <v>31</v>
      </c>
      <c r="I707" s="16"/>
      <c r="J707" s="16" t="s">
        <v>27</v>
      </c>
      <c r="K707" s="16" t="s">
        <v>239</v>
      </c>
      <c r="L707" s="16" t="s">
        <v>35</v>
      </c>
      <c r="M707" s="17">
        <v>700</v>
      </c>
      <c r="N707" s="23">
        <v>1.29</v>
      </c>
      <c r="O707" s="16" t="s">
        <v>67</v>
      </c>
      <c r="P707" s="16" t="s">
        <v>63</v>
      </c>
      <c r="Q707" s="16" t="s">
        <v>29</v>
      </c>
      <c r="R707" s="16" t="s">
        <v>29</v>
      </c>
      <c r="S707" s="12" t="s">
        <v>3058</v>
      </c>
      <c r="T707" s="13">
        <v>45950</v>
      </c>
      <c r="U707" s="19"/>
      <c r="V707" s="53">
        <f>M707-Z707-AB707-AD707-AF707-AH707-AJ707-AL707-AN707-AP707-AR707-AT707-AV707-AX707-AZ707-BB707-BD707-BF707-BH707-U707</f>
        <v>-0.70000000000004547</v>
      </c>
      <c r="W707" s="22" t="s">
        <v>3389</v>
      </c>
      <c r="X707" s="16" t="s">
        <v>29</v>
      </c>
      <c r="Y707" s="9"/>
      <c r="Z707" s="19">
        <f>258.6+442.1</f>
        <v>700.7</v>
      </c>
      <c r="AA707" s="252">
        <v>45950</v>
      </c>
    </row>
    <row r="708" spans="1:29" s="28" customFormat="1" ht="20.25" customHeight="1">
      <c r="A708" s="11">
        <v>45950</v>
      </c>
      <c r="B708" s="16" t="s">
        <v>3390</v>
      </c>
      <c r="C708" s="16" t="s">
        <v>382</v>
      </c>
      <c r="D708" s="16" t="s">
        <v>212</v>
      </c>
      <c r="E708" s="16" t="s">
        <v>25</v>
      </c>
      <c r="F708" s="16" t="s">
        <v>3393</v>
      </c>
      <c r="G708" s="16" t="s">
        <v>71</v>
      </c>
      <c r="H708" s="16" t="s">
        <v>31</v>
      </c>
      <c r="I708" s="16"/>
      <c r="J708" s="16" t="s">
        <v>27</v>
      </c>
      <c r="K708" s="16" t="s">
        <v>782</v>
      </c>
      <c r="L708" s="16" t="s">
        <v>35</v>
      </c>
      <c r="M708" s="17">
        <v>666.16</v>
      </c>
      <c r="N708" s="23">
        <v>1.29</v>
      </c>
      <c r="O708" s="16" t="s">
        <v>67</v>
      </c>
      <c r="P708" s="16" t="s">
        <v>63</v>
      </c>
      <c r="Q708" s="16" t="s">
        <v>402</v>
      </c>
      <c r="R708" s="16" t="s">
        <v>3396</v>
      </c>
      <c r="S708" s="12" t="s">
        <v>3397</v>
      </c>
      <c r="T708" s="13">
        <v>45971</v>
      </c>
      <c r="U708" s="19"/>
      <c r="V708" s="53">
        <f>M708-Z708-AB708-AD708-AF708-AH708-AJ708-AL708-AN708-AP708-AR708-AT708-AV708-AX708-AZ708-BB708-BD708-BF708-BH708-U708</f>
        <v>9.1599999999999682</v>
      </c>
      <c r="W708" s="22" t="s">
        <v>3398</v>
      </c>
      <c r="X708" s="16" t="s">
        <v>29</v>
      </c>
      <c r="Y708" s="9"/>
      <c r="Z708" s="19">
        <v>657</v>
      </c>
      <c r="AA708" s="252">
        <v>45968</v>
      </c>
    </row>
    <row r="709" spans="1:29" s="28" customFormat="1" ht="20.25" customHeight="1">
      <c r="A709" s="11">
        <v>45950</v>
      </c>
      <c r="B709" s="16" t="s">
        <v>3391</v>
      </c>
      <c r="C709" s="16" t="s">
        <v>304</v>
      </c>
      <c r="D709" s="16" t="s">
        <v>212</v>
      </c>
      <c r="E709" s="16" t="s">
        <v>25</v>
      </c>
      <c r="F709" s="16" t="s">
        <v>3394</v>
      </c>
      <c r="G709" s="16" t="s">
        <v>71</v>
      </c>
      <c r="H709" s="16" t="s">
        <v>26</v>
      </c>
      <c r="I709" s="1"/>
      <c r="J709" s="1" t="s">
        <v>27</v>
      </c>
      <c r="K709" s="16" t="s">
        <v>223</v>
      </c>
      <c r="L709" s="16" t="s">
        <v>35</v>
      </c>
      <c r="M709" s="17">
        <v>110</v>
      </c>
      <c r="N709" s="6">
        <v>1.29</v>
      </c>
      <c r="O709" s="16" t="s">
        <v>67</v>
      </c>
      <c r="P709" s="16" t="s">
        <v>63</v>
      </c>
      <c r="Q709" s="16" t="s">
        <v>29</v>
      </c>
      <c r="R709" s="16" t="s">
        <v>29</v>
      </c>
      <c r="S709" s="12" t="s">
        <v>3216</v>
      </c>
      <c r="T709" s="13">
        <v>45964</v>
      </c>
      <c r="U709" s="19"/>
      <c r="V709" s="53">
        <f>M709-Z709-AB709-AD709-AF709-AH709-AJ709-AL709-AN709-AP709-AR709-AT709-AV709-AX709-AZ709-BB709-BD709-BF709-BH709-U709</f>
        <v>-4.9000000000000057</v>
      </c>
      <c r="W709" s="22" t="s">
        <v>3399</v>
      </c>
      <c r="X709" s="16" t="s">
        <v>29</v>
      </c>
      <c r="Y709" s="9"/>
      <c r="Z709" s="19">
        <v>114.9</v>
      </c>
      <c r="AA709" s="252">
        <v>45958</v>
      </c>
    </row>
    <row r="710" spans="1:29" s="28" customFormat="1" ht="20.25" customHeight="1">
      <c r="A710" s="11">
        <v>45950</v>
      </c>
      <c r="B710" s="16" t="s">
        <v>3392</v>
      </c>
      <c r="C710" s="16" t="s">
        <v>267</v>
      </c>
      <c r="D710" s="16" t="s">
        <v>212</v>
      </c>
      <c r="E710" s="16" t="s">
        <v>25</v>
      </c>
      <c r="F710" s="16" t="s">
        <v>3395</v>
      </c>
      <c r="G710" s="16" t="s">
        <v>71</v>
      </c>
      <c r="H710" s="16" t="s">
        <v>31</v>
      </c>
      <c r="I710" s="16"/>
      <c r="J710" s="16" t="s">
        <v>27</v>
      </c>
      <c r="K710" s="16" t="s">
        <v>683</v>
      </c>
      <c r="L710" s="16" t="s">
        <v>35</v>
      </c>
      <c r="M710" s="17">
        <v>650</v>
      </c>
      <c r="N710" s="23">
        <v>1.29</v>
      </c>
      <c r="O710" s="16" t="s">
        <v>1063</v>
      </c>
      <c r="P710" s="16" t="s">
        <v>63</v>
      </c>
      <c r="Q710" s="16" t="s">
        <v>29</v>
      </c>
      <c r="R710" s="16" t="s">
        <v>29</v>
      </c>
      <c r="S710" s="12" t="s">
        <v>3183</v>
      </c>
      <c r="T710" s="13">
        <v>45957</v>
      </c>
      <c r="U710" s="19"/>
      <c r="V710" s="53">
        <f>M710-Z710-AB710-AD710-AF710-AH710-AJ710-AL710-AN710-AP710-AR710-AT710-AV710-AX710-AZ710-BB710-BD710-BF710-BH710-U710</f>
        <v>-2.3999999999999773</v>
      </c>
      <c r="W710" s="22" t="s">
        <v>3400</v>
      </c>
      <c r="X710" s="16" t="s">
        <v>29</v>
      </c>
      <c r="Y710" s="9"/>
      <c r="Z710" s="19">
        <v>652.4</v>
      </c>
      <c r="AA710" s="252">
        <v>45958</v>
      </c>
    </row>
    <row r="711" spans="1:29" s="28" customFormat="1" ht="20.25" customHeight="1">
      <c r="A711" s="11">
        <v>45951</v>
      </c>
      <c r="B711" s="16" t="s">
        <v>3404</v>
      </c>
      <c r="C711" s="16" t="s">
        <v>304</v>
      </c>
      <c r="D711" s="16" t="s">
        <v>212</v>
      </c>
      <c r="E711" s="16" t="s">
        <v>34</v>
      </c>
      <c r="F711" s="16" t="s">
        <v>3405</v>
      </c>
      <c r="G711" s="16" t="s">
        <v>71</v>
      </c>
      <c r="H711" s="16" t="s">
        <v>31</v>
      </c>
      <c r="I711" s="16"/>
      <c r="J711" s="16" t="s">
        <v>27</v>
      </c>
      <c r="K711" s="16" t="s">
        <v>239</v>
      </c>
      <c r="L711" s="16" t="s">
        <v>35</v>
      </c>
      <c r="M711" s="17">
        <v>75</v>
      </c>
      <c r="N711" s="23">
        <v>1.29</v>
      </c>
      <c r="O711" s="16" t="s">
        <v>1063</v>
      </c>
      <c r="P711" s="16" t="s">
        <v>63</v>
      </c>
      <c r="Q711" s="16" t="s">
        <v>29</v>
      </c>
      <c r="R711" s="16" t="s">
        <v>1200</v>
      </c>
      <c r="S711" s="12" t="s">
        <v>3277</v>
      </c>
      <c r="T711" s="13">
        <v>45965</v>
      </c>
      <c r="U711" s="19"/>
      <c r="V711" s="53">
        <f>M711-Z711-AB711-AD711-AF711-AH711-AJ711-AL711-AN711-AP711-AR711-AT711-AV711-AX711-AZ711-BB711-BD711-BF711-BH711-U711</f>
        <v>0</v>
      </c>
      <c r="W711" s="22" t="s">
        <v>3406</v>
      </c>
      <c r="X711" s="16"/>
      <c r="Y711" s="9"/>
      <c r="Z711" s="19">
        <v>75</v>
      </c>
      <c r="AA711" s="252">
        <v>45958</v>
      </c>
    </row>
    <row r="712" spans="1:29" s="28" customFormat="1" ht="20.25" customHeight="1">
      <c r="A712" s="11">
        <v>45952</v>
      </c>
      <c r="B712" s="16" t="s">
        <v>3411</v>
      </c>
      <c r="C712" s="16" t="s">
        <v>267</v>
      </c>
      <c r="D712" s="16" t="s">
        <v>212</v>
      </c>
      <c r="E712" s="16" t="s">
        <v>25</v>
      </c>
      <c r="F712" s="16" t="s">
        <v>3418</v>
      </c>
      <c r="G712" s="16" t="s">
        <v>71</v>
      </c>
      <c r="H712" s="16" t="s">
        <v>26</v>
      </c>
      <c r="I712" s="1"/>
      <c r="J712" s="1" t="s">
        <v>27</v>
      </c>
      <c r="K712" s="16" t="s">
        <v>239</v>
      </c>
      <c r="L712" s="1" t="s">
        <v>35</v>
      </c>
      <c r="M712" s="17">
        <v>100</v>
      </c>
      <c r="N712" s="23">
        <v>1.29</v>
      </c>
      <c r="O712" s="16" t="s">
        <v>1063</v>
      </c>
      <c r="P712" s="16" t="s">
        <v>63</v>
      </c>
      <c r="Q712" s="16" t="s">
        <v>29</v>
      </c>
      <c r="R712" s="16" t="s">
        <v>713</v>
      </c>
      <c r="S712" s="12" t="s">
        <v>3335</v>
      </c>
      <c r="T712" s="13">
        <v>45966</v>
      </c>
      <c r="U712" s="19"/>
      <c r="V712" s="53">
        <f>M712-Z712-AB712-AD712-AF712-AH712-AJ712-AL712-AN712-AP712-AR712-AT712-AV712-AX712-AZ712-BB712-BD712-BF712-BH712-U712</f>
        <v>-3.2999999999999972</v>
      </c>
      <c r="W712" s="22" t="s">
        <v>3425</v>
      </c>
      <c r="X712" s="16"/>
      <c r="Y712" s="9"/>
      <c r="Z712" s="19">
        <v>103.3</v>
      </c>
      <c r="AA712" s="252">
        <v>45967</v>
      </c>
    </row>
    <row r="713" spans="1:29" s="28" customFormat="1" ht="20.25" customHeight="1">
      <c r="A713" s="11">
        <v>45952</v>
      </c>
      <c r="B713" s="16" t="s">
        <v>3412</v>
      </c>
      <c r="C713" s="16" t="s">
        <v>400</v>
      </c>
      <c r="D713" s="16" t="s">
        <v>212</v>
      </c>
      <c r="E713" s="16" t="s">
        <v>25</v>
      </c>
      <c r="F713" s="16" t="s">
        <v>3419</v>
      </c>
      <c r="G713" s="16" t="s">
        <v>71</v>
      </c>
      <c r="H713" s="16" t="s">
        <v>31</v>
      </c>
      <c r="I713" s="1"/>
      <c r="J713" s="1" t="s">
        <v>27</v>
      </c>
      <c r="K713" s="16" t="s">
        <v>1601</v>
      </c>
      <c r="L713" s="1" t="s">
        <v>35</v>
      </c>
      <c r="M713" s="17">
        <v>47.97</v>
      </c>
      <c r="N713" s="23">
        <v>1.29</v>
      </c>
      <c r="O713" s="16" t="s">
        <v>67</v>
      </c>
      <c r="P713" s="16" t="s">
        <v>63</v>
      </c>
      <c r="Q713" s="16" t="s">
        <v>474</v>
      </c>
      <c r="R713" s="16" t="s">
        <v>475</v>
      </c>
      <c r="S713" s="12" t="s">
        <v>3335</v>
      </c>
      <c r="T713" s="13">
        <v>45966</v>
      </c>
      <c r="U713" s="315"/>
      <c r="V713" s="53">
        <f>M713-Z713-AB713-AD713-AF713-AH713-AJ713-AL713-AN713-AP713-AR713-AT713-AV713-AX713-AZ713-BB713-BD713-BF713-BH713-U713</f>
        <v>-1.1300000000000026</v>
      </c>
      <c r="W713" s="22" t="s">
        <v>3426</v>
      </c>
      <c r="X713" s="16" t="s">
        <v>1021</v>
      </c>
      <c r="Y713" s="9"/>
      <c r="Z713" s="315">
        <v>49.1</v>
      </c>
      <c r="AA713" s="252">
        <v>45967</v>
      </c>
    </row>
    <row r="714" spans="1:29" s="28" customFormat="1" ht="20.25" customHeight="1">
      <c r="A714" s="11">
        <v>45952</v>
      </c>
      <c r="B714" s="16" t="s">
        <v>3413</v>
      </c>
      <c r="C714" s="16" t="s">
        <v>304</v>
      </c>
      <c r="D714" s="16" t="s">
        <v>212</v>
      </c>
      <c r="E714" s="16" t="s">
        <v>25</v>
      </c>
      <c r="F714" s="16" t="s">
        <v>3420</v>
      </c>
      <c r="G714" s="16" t="s">
        <v>71</v>
      </c>
      <c r="H714" s="16" t="s">
        <v>31</v>
      </c>
      <c r="I714" s="1"/>
      <c r="J714" s="1" t="s">
        <v>27</v>
      </c>
      <c r="K714" s="16" t="s">
        <v>613</v>
      </c>
      <c r="L714" s="1" t="s">
        <v>35</v>
      </c>
      <c r="M714" s="17">
        <v>25</v>
      </c>
      <c r="N714" s="23">
        <v>1.29</v>
      </c>
      <c r="O714" s="16" t="s">
        <v>67</v>
      </c>
      <c r="P714" s="16" t="s">
        <v>63</v>
      </c>
      <c r="Q714" s="16" t="s">
        <v>29</v>
      </c>
      <c r="R714" s="16" t="s">
        <v>29</v>
      </c>
      <c r="S714" s="12" t="s">
        <v>3335</v>
      </c>
      <c r="T714" s="13">
        <v>45966</v>
      </c>
      <c r="U714" s="19"/>
      <c r="V714" s="53">
        <f>M714-Z714-AB714-AD714-AF714-AH714-AJ714-AL714-AN714-AP714-AR714-AT714-AV714-AX714-AZ714-BB714-BD714-BF714-BH714-U714</f>
        <v>-4</v>
      </c>
      <c r="W714" s="22" t="s">
        <v>3427</v>
      </c>
      <c r="X714" s="16"/>
      <c r="Y714" s="9"/>
      <c r="Z714" s="19">
        <v>29</v>
      </c>
      <c r="AA714" s="252">
        <v>45967</v>
      </c>
    </row>
    <row r="715" spans="1:29" s="28" customFormat="1" ht="20.25" customHeight="1">
      <c r="A715" s="11">
        <v>45952</v>
      </c>
      <c r="B715" s="16" t="s">
        <v>3414</v>
      </c>
      <c r="C715" s="16" t="s">
        <v>304</v>
      </c>
      <c r="D715" s="16" t="s">
        <v>212</v>
      </c>
      <c r="E715" s="16" t="s">
        <v>25</v>
      </c>
      <c r="F715" s="16" t="s">
        <v>3421</v>
      </c>
      <c r="G715" s="16" t="s">
        <v>71</v>
      </c>
      <c r="H715" s="16" t="s">
        <v>31</v>
      </c>
      <c r="I715" s="1"/>
      <c r="J715" s="1" t="s">
        <v>27</v>
      </c>
      <c r="K715" s="16" t="s">
        <v>683</v>
      </c>
      <c r="L715" s="1" t="s">
        <v>35</v>
      </c>
      <c r="M715" s="17">
        <v>50</v>
      </c>
      <c r="N715" s="23">
        <v>1.29</v>
      </c>
      <c r="O715" s="16" t="s">
        <v>1063</v>
      </c>
      <c r="P715" s="16" t="s">
        <v>63</v>
      </c>
      <c r="Q715" s="16" t="s">
        <v>29</v>
      </c>
      <c r="R715" s="16" t="s">
        <v>29</v>
      </c>
      <c r="S715" s="12" t="s">
        <v>3335</v>
      </c>
      <c r="T715" s="13">
        <v>45966</v>
      </c>
      <c r="U715" s="19"/>
      <c r="V715" s="53">
        <f>M715-Z715-AB715-AD715-AF715-AH715-AJ715-AL715-AN715-AP715-AR715-AT715-AV715-AX715-AZ715-BB715-BD715-BF715-BH715-U715</f>
        <v>-0.29999999999999716</v>
      </c>
      <c r="W715" s="22" t="s">
        <v>3428</v>
      </c>
      <c r="X715" s="16"/>
      <c r="Y715" s="9"/>
      <c r="Z715" s="19">
        <v>50.3</v>
      </c>
      <c r="AA715" s="252">
        <v>45967</v>
      </c>
    </row>
    <row r="716" spans="1:29" s="36" customFormat="1" ht="20.25" customHeight="1">
      <c r="A716" s="7">
        <v>45952</v>
      </c>
      <c r="B716" s="19" t="s">
        <v>3415</v>
      </c>
      <c r="C716" s="19" t="s">
        <v>304</v>
      </c>
      <c r="D716" s="19" t="s">
        <v>212</v>
      </c>
      <c r="E716" s="19" t="s">
        <v>25</v>
      </c>
      <c r="F716" s="19" t="s">
        <v>3422</v>
      </c>
      <c r="G716" s="19" t="s">
        <v>71</v>
      </c>
      <c r="H716" s="19" t="s">
        <v>31</v>
      </c>
      <c r="I716" s="1"/>
      <c r="J716" s="1" t="s">
        <v>27</v>
      </c>
      <c r="K716" s="19" t="s">
        <v>588</v>
      </c>
      <c r="L716" s="1" t="s">
        <v>35</v>
      </c>
      <c r="M716" s="20">
        <v>150</v>
      </c>
      <c r="N716" s="25">
        <v>1.29</v>
      </c>
      <c r="O716" s="19" t="s">
        <v>67</v>
      </c>
      <c r="P716" s="19" t="s">
        <v>63</v>
      </c>
      <c r="Q716" s="19" t="s">
        <v>29</v>
      </c>
      <c r="R716" s="19" t="s">
        <v>29</v>
      </c>
      <c r="S716" s="45" t="s">
        <v>3335</v>
      </c>
      <c r="T716" s="8">
        <v>45966</v>
      </c>
      <c r="U716" s="19"/>
      <c r="V716" s="55">
        <f>M716-Z716-AB716-AD716-AF716-AH716-AJ716-AL716-AN716-AP716-AR716-AT716-AV716-AX716-AZ716-BB716-BD716-BF716-BH716-U716</f>
        <v>-0.80000000000001137</v>
      </c>
      <c r="W716" s="15" t="s">
        <v>3429</v>
      </c>
      <c r="X716" s="19"/>
      <c r="Y716" s="10"/>
      <c r="Z716" s="19">
        <v>150.80000000000001</v>
      </c>
      <c r="AA716" s="123">
        <v>45972</v>
      </c>
    </row>
    <row r="717" spans="1:29" s="28" customFormat="1" ht="20.25" customHeight="1">
      <c r="A717" s="11">
        <v>45952</v>
      </c>
      <c r="B717" s="16" t="s">
        <v>3416</v>
      </c>
      <c r="C717" s="16" t="s">
        <v>304</v>
      </c>
      <c r="D717" s="16" t="s">
        <v>212</v>
      </c>
      <c r="E717" s="16" t="s">
        <v>25</v>
      </c>
      <c r="F717" s="16" t="s">
        <v>3423</v>
      </c>
      <c r="G717" s="16" t="s">
        <v>71</v>
      </c>
      <c r="H717" s="16" t="s">
        <v>31</v>
      </c>
      <c r="I717" s="1"/>
      <c r="J717" s="1" t="s">
        <v>27</v>
      </c>
      <c r="K717" s="16" t="s">
        <v>966</v>
      </c>
      <c r="L717" s="1" t="s">
        <v>35</v>
      </c>
      <c r="M717" s="17">
        <v>200</v>
      </c>
      <c r="N717" s="23">
        <v>1.29</v>
      </c>
      <c r="O717" s="16" t="s">
        <v>67</v>
      </c>
      <c r="P717" s="16" t="s">
        <v>63</v>
      </c>
      <c r="Q717" s="16" t="s">
        <v>29</v>
      </c>
      <c r="R717" s="16" t="s">
        <v>29</v>
      </c>
      <c r="S717" s="12" t="s">
        <v>3335</v>
      </c>
      <c r="T717" s="13">
        <v>45966</v>
      </c>
      <c r="U717" s="19"/>
      <c r="V717" s="53">
        <f>M717-Z717-AB717-AD717-AF717-AH717-AJ717-AL717-AN717-AP717-AR717-AT717-AV717-AX717-AZ717-BB717-BD717-BF717-BH717-U717</f>
        <v>-0.30000000000001137</v>
      </c>
      <c r="W717" s="22" t="s">
        <v>3430</v>
      </c>
      <c r="X717" s="16"/>
      <c r="Y717" s="9"/>
      <c r="Z717" s="19">
        <v>200.3</v>
      </c>
      <c r="AA717" s="252">
        <v>45967</v>
      </c>
    </row>
    <row r="718" spans="1:29" s="28" customFormat="1" ht="20.25" customHeight="1">
      <c r="A718" s="11">
        <v>45952</v>
      </c>
      <c r="B718" s="16" t="s">
        <v>3417</v>
      </c>
      <c r="C718" s="16" t="s">
        <v>304</v>
      </c>
      <c r="D718" s="16" t="s">
        <v>212</v>
      </c>
      <c r="E718" s="16" t="s">
        <v>25</v>
      </c>
      <c r="F718" s="16" t="s">
        <v>3424</v>
      </c>
      <c r="G718" s="16" t="s">
        <v>71</v>
      </c>
      <c r="H718" s="16" t="s">
        <v>26</v>
      </c>
      <c r="I718" s="1"/>
      <c r="J718" s="1" t="s">
        <v>27</v>
      </c>
      <c r="K718" s="16" t="s">
        <v>683</v>
      </c>
      <c r="L718" s="1" t="s">
        <v>35</v>
      </c>
      <c r="M718" s="17">
        <v>100</v>
      </c>
      <c r="N718" s="23">
        <v>1.29</v>
      </c>
      <c r="O718" s="16" t="s">
        <v>1063</v>
      </c>
      <c r="P718" s="16" t="s">
        <v>63</v>
      </c>
      <c r="Q718" s="16" t="s">
        <v>29</v>
      </c>
      <c r="R718" s="16" t="s">
        <v>29</v>
      </c>
      <c r="S718" s="12" t="s">
        <v>3335</v>
      </c>
      <c r="T718" s="13">
        <v>45966</v>
      </c>
      <c r="U718" s="19"/>
      <c r="V718" s="53">
        <f>M718-Z718-AB718-AD718-AF718-AH718-AJ718-AL718-AN718-AP718-AR718-AT718-AV718-AX718-AZ718-BB718-BD718-BF718-BH718-U718</f>
        <v>-0.20000000000000284</v>
      </c>
      <c r="W718" s="22" t="s">
        <v>3431</v>
      </c>
      <c r="X718" s="16"/>
      <c r="Y718" s="9"/>
      <c r="Z718" s="19">
        <v>100.2</v>
      </c>
      <c r="AA718" s="252">
        <v>45967</v>
      </c>
    </row>
    <row r="719" spans="1:29" s="36" customFormat="1" ht="20.25" customHeight="1">
      <c r="A719" s="7">
        <v>45954</v>
      </c>
      <c r="B719" s="19" t="s">
        <v>3441</v>
      </c>
      <c r="C719" s="19" t="s">
        <v>1568</v>
      </c>
      <c r="D719" s="19" t="s">
        <v>212</v>
      </c>
      <c r="E719" s="19" t="s">
        <v>25</v>
      </c>
      <c r="F719" s="19" t="s">
        <v>3443</v>
      </c>
      <c r="G719" s="19" t="s">
        <v>71</v>
      </c>
      <c r="H719" s="19" t="s">
        <v>26</v>
      </c>
      <c r="I719" s="19"/>
      <c r="J719" s="19" t="s">
        <v>27</v>
      </c>
      <c r="K719" s="19" t="s">
        <v>1346</v>
      </c>
      <c r="L719" s="19" t="s">
        <v>35</v>
      </c>
      <c r="M719" s="20">
        <v>2166</v>
      </c>
      <c r="N719" s="25">
        <v>1.29</v>
      </c>
      <c r="O719" s="19" t="s">
        <v>67</v>
      </c>
      <c r="P719" s="19" t="s">
        <v>63</v>
      </c>
      <c r="Q719" s="19" t="s">
        <v>29</v>
      </c>
      <c r="R719" s="19" t="s">
        <v>539</v>
      </c>
      <c r="S719" s="45" t="s">
        <v>3382</v>
      </c>
      <c r="T719" s="8">
        <v>45968</v>
      </c>
      <c r="U719" s="19"/>
      <c r="V719" s="55">
        <f>M719-Z719-AB719-AD719-AF719-AH719-AJ719-AL719-AN719-AP719-AR719-AT719-AV719-AX719-AZ719-BB719-BD719-BF719-BH719-U719</f>
        <v>-1.6999999999998181</v>
      </c>
      <c r="W719" s="15" t="s">
        <v>3445</v>
      </c>
      <c r="X719" s="19"/>
      <c r="Y719" s="10"/>
      <c r="Z719" s="19">
        <f>938+101.5+62.6+1065.6</f>
        <v>2167.6999999999998</v>
      </c>
      <c r="AA719" s="123">
        <v>45975</v>
      </c>
    </row>
    <row r="720" spans="1:29" s="28" customFormat="1" ht="20.25" customHeight="1">
      <c r="A720" s="11">
        <v>45954</v>
      </c>
      <c r="B720" s="16" t="s">
        <v>3441</v>
      </c>
      <c r="C720" s="16" t="s">
        <v>1568</v>
      </c>
      <c r="D720" s="16" t="s">
        <v>212</v>
      </c>
      <c r="E720" s="16" t="s">
        <v>25</v>
      </c>
      <c r="F720" s="16" t="s">
        <v>3443</v>
      </c>
      <c r="G720" s="16" t="s">
        <v>71</v>
      </c>
      <c r="H720" s="16" t="s">
        <v>31</v>
      </c>
      <c r="I720" s="1"/>
      <c r="J720" s="1" t="s">
        <v>27</v>
      </c>
      <c r="K720" s="16" t="s">
        <v>1346</v>
      </c>
      <c r="L720" s="1" t="s">
        <v>35</v>
      </c>
      <c r="M720" s="17">
        <v>2000</v>
      </c>
      <c r="N720" s="6">
        <v>1.29</v>
      </c>
      <c r="O720" s="1" t="s">
        <v>67</v>
      </c>
      <c r="P720" s="1" t="s">
        <v>63</v>
      </c>
      <c r="Q720" s="1" t="s">
        <v>29</v>
      </c>
      <c r="R720" s="1" t="s">
        <v>2497</v>
      </c>
      <c r="S720" s="121" t="s">
        <v>3382</v>
      </c>
      <c r="T720" s="13">
        <v>45968</v>
      </c>
      <c r="U720" s="19"/>
      <c r="V720" s="53">
        <f>M720-Z720-AB720-AD720-AF720-AH720-AJ720-AL720-AN720-AP720-AR720-AT720-AV720-AX720-AZ720-BB720-BD720-BF720-BH720-U720</f>
        <v>-1.5999999999999091</v>
      </c>
      <c r="W720" s="22" t="s">
        <v>3446</v>
      </c>
      <c r="X720" s="16"/>
      <c r="Y720" s="9"/>
      <c r="Z720" s="19">
        <f>241.6+390.8+1369.2</f>
        <v>2001.6</v>
      </c>
      <c r="AA720" s="252">
        <v>45972</v>
      </c>
    </row>
    <row r="721" spans="1:31" s="28" customFormat="1" ht="20.25" customHeight="1">
      <c r="A721" s="11">
        <v>45954</v>
      </c>
      <c r="B721" s="16" t="s">
        <v>3442</v>
      </c>
      <c r="C721" s="16" t="s">
        <v>382</v>
      </c>
      <c r="D721" s="16" t="s">
        <v>212</v>
      </c>
      <c r="E721" s="16" t="s">
        <v>25</v>
      </c>
      <c r="F721" s="16" t="s">
        <v>3444</v>
      </c>
      <c r="G721" s="16" t="s">
        <v>71</v>
      </c>
      <c r="H721" s="16" t="s">
        <v>31</v>
      </c>
      <c r="I721" s="16"/>
      <c r="J721" s="16" t="s">
        <v>27</v>
      </c>
      <c r="K721" s="16" t="s">
        <v>929</v>
      </c>
      <c r="L721" s="16" t="s">
        <v>35</v>
      </c>
      <c r="M721" s="17">
        <v>298.86</v>
      </c>
      <c r="N721" s="23">
        <v>1.29</v>
      </c>
      <c r="O721" s="16" t="s">
        <v>67</v>
      </c>
      <c r="P721" s="16" t="s">
        <v>63</v>
      </c>
      <c r="Q721" s="16" t="s">
        <v>1997</v>
      </c>
      <c r="R721" s="16" t="s">
        <v>2729</v>
      </c>
      <c r="S721" s="12" t="s">
        <v>3382</v>
      </c>
      <c r="T721" s="13">
        <v>45968</v>
      </c>
      <c r="U721" s="19"/>
      <c r="V721" s="53">
        <f>M721-Z721-AB721-AD721-AF721-AH721-AJ721-AL721-AN721-AP721-AR721-AT721-AV721-AX721-AZ721-BB721-BD721-BF721-BH721-U721</f>
        <v>-0.74000000000000909</v>
      </c>
      <c r="W721" s="22" t="s">
        <v>3447</v>
      </c>
      <c r="X721" s="16"/>
      <c r="Y721" s="9"/>
      <c r="Z721" s="19">
        <v>299.60000000000002</v>
      </c>
      <c r="AA721" s="252">
        <v>45968</v>
      </c>
    </row>
    <row r="722" spans="1:31" s="28" customFormat="1" ht="20.25" customHeight="1">
      <c r="A722" s="11">
        <v>45957</v>
      </c>
      <c r="B722" s="16" t="s">
        <v>3467</v>
      </c>
      <c r="C722" s="16" t="s">
        <v>298</v>
      </c>
      <c r="D722" s="16" t="s">
        <v>212</v>
      </c>
      <c r="E722" s="16" t="s">
        <v>34</v>
      </c>
      <c r="F722" s="16" t="s">
        <v>3469</v>
      </c>
      <c r="G722" s="16" t="s">
        <v>71</v>
      </c>
      <c r="H722" s="16" t="s">
        <v>31</v>
      </c>
      <c r="I722" s="16"/>
      <c r="J722" s="16" t="s">
        <v>27</v>
      </c>
      <c r="K722" s="16" t="s">
        <v>1012</v>
      </c>
      <c r="L722" s="16" t="s">
        <v>35</v>
      </c>
      <c r="M722" s="17">
        <v>1353</v>
      </c>
      <c r="N722" s="23">
        <v>1.29</v>
      </c>
      <c r="O722" s="16" t="s">
        <v>67</v>
      </c>
      <c r="P722" s="16" t="s">
        <v>63</v>
      </c>
      <c r="Q722" s="16" t="s">
        <v>29</v>
      </c>
      <c r="R722" s="16" t="s">
        <v>1087</v>
      </c>
      <c r="S722" s="12" t="s">
        <v>3471</v>
      </c>
      <c r="T722" s="13">
        <v>45979</v>
      </c>
      <c r="U722" s="19"/>
      <c r="V722" s="53">
        <f>M722-Z722-AB722-AD722-AF722-AH722-AJ722-AL722-AN722-AP722-AR722-AT722-AV722-AX722-AZ722-BB722-BD722-BF722-BH722-U722</f>
        <v>-0.20000000000004547</v>
      </c>
      <c r="W722" s="22" t="s">
        <v>3472</v>
      </c>
      <c r="X722" s="16" t="s">
        <v>29</v>
      </c>
      <c r="Y722" s="9"/>
      <c r="Z722" s="19">
        <v>1353.2</v>
      </c>
      <c r="AA722" s="252">
        <v>45978</v>
      </c>
    </row>
    <row r="723" spans="1:31" s="36" customFormat="1" ht="20.25" customHeight="1">
      <c r="A723" s="7">
        <v>45957</v>
      </c>
      <c r="B723" s="19" t="s">
        <v>3468</v>
      </c>
      <c r="C723" s="19" t="s">
        <v>267</v>
      </c>
      <c r="D723" s="19" t="s">
        <v>212</v>
      </c>
      <c r="E723" s="19" t="s">
        <v>34</v>
      </c>
      <c r="F723" s="19" t="s">
        <v>3470</v>
      </c>
      <c r="G723" s="19" t="s">
        <v>71</v>
      </c>
      <c r="H723" s="19" t="s">
        <v>26</v>
      </c>
      <c r="I723" s="19"/>
      <c r="J723" s="19" t="s">
        <v>27</v>
      </c>
      <c r="K723" s="19" t="s">
        <v>223</v>
      </c>
      <c r="L723" s="19" t="s">
        <v>35</v>
      </c>
      <c r="M723" s="20">
        <v>25</v>
      </c>
      <c r="N723" s="25">
        <v>1.29</v>
      </c>
      <c r="O723" s="19" t="s">
        <v>67</v>
      </c>
      <c r="P723" s="19" t="s">
        <v>63</v>
      </c>
      <c r="Q723" s="19" t="s">
        <v>29</v>
      </c>
      <c r="R723" s="19" t="s">
        <v>1396</v>
      </c>
      <c r="S723" s="45" t="s">
        <v>3397</v>
      </c>
      <c r="T723" s="8">
        <v>45971</v>
      </c>
      <c r="U723" s="19"/>
      <c r="V723" s="55">
        <f>M723-Z723-AB723-AD723-AF723-AH723-AJ723-AL723-AN723-AP723-AR723-AT723-AV723-AX723-AZ723-BB723-BD723-BF723-BH723-U723</f>
        <v>0</v>
      </c>
      <c r="W723" s="15" t="s">
        <v>3473</v>
      </c>
      <c r="X723" s="19" t="s">
        <v>29</v>
      </c>
      <c r="Y723" s="10"/>
      <c r="Z723" s="19">
        <v>25</v>
      </c>
      <c r="AA723" s="123">
        <v>45975</v>
      </c>
    </row>
    <row r="724" spans="1:31" s="28" customFormat="1" ht="20.25" customHeight="1">
      <c r="A724" s="11">
        <v>45959</v>
      </c>
      <c r="B724" s="16" t="s">
        <v>3480</v>
      </c>
      <c r="C724" s="16" t="s">
        <v>400</v>
      </c>
      <c r="D724" s="16" t="s">
        <v>212</v>
      </c>
      <c r="E724" s="16" t="s">
        <v>34</v>
      </c>
      <c r="F724" s="16" t="s">
        <v>3481</v>
      </c>
      <c r="G724" s="16" t="s">
        <v>71</v>
      </c>
      <c r="H724" s="16" t="s">
        <v>31</v>
      </c>
      <c r="I724" s="1"/>
      <c r="J724" s="1" t="s">
        <v>27</v>
      </c>
      <c r="K724" s="16" t="s">
        <v>487</v>
      </c>
      <c r="L724" s="1" t="s">
        <v>35</v>
      </c>
      <c r="M724" s="17">
        <v>56.5</v>
      </c>
      <c r="N724" s="23">
        <v>1.29</v>
      </c>
      <c r="O724" s="16" t="s">
        <v>67</v>
      </c>
      <c r="P724" s="16" t="s">
        <v>29</v>
      </c>
      <c r="Q724" s="16" t="s">
        <v>29</v>
      </c>
      <c r="R724" s="16" t="s">
        <v>3483</v>
      </c>
      <c r="S724" s="12" t="s">
        <v>3216</v>
      </c>
      <c r="T724" s="13">
        <v>45964</v>
      </c>
      <c r="U724" s="19"/>
      <c r="V724" s="53">
        <f>M724-Z724-AB724-AD724-AF724-AH724-AJ724-AL724-AN724-AP724-AR724-AT724-AV724-AX724-AZ724-BB724-BD724-BF724-BH724-U724</f>
        <v>-2.7000000000000028</v>
      </c>
      <c r="W724" s="22" t="s">
        <v>3484</v>
      </c>
      <c r="X724" s="16"/>
      <c r="Y724" s="9"/>
      <c r="Z724" s="19">
        <v>59.2</v>
      </c>
      <c r="AA724" s="252">
        <v>45967</v>
      </c>
    </row>
    <row r="725" spans="1:31" s="28" customFormat="1" ht="20.25" customHeight="1">
      <c r="A725" s="11">
        <v>45959</v>
      </c>
      <c r="B725" s="16" t="s">
        <v>3480</v>
      </c>
      <c r="C725" s="16" t="s">
        <v>400</v>
      </c>
      <c r="D725" s="16" t="s">
        <v>212</v>
      </c>
      <c r="E725" s="16" t="s">
        <v>34</v>
      </c>
      <c r="F725" s="16" t="s">
        <v>3481</v>
      </c>
      <c r="G725" s="16" t="s">
        <v>71</v>
      </c>
      <c r="H725" s="16" t="s">
        <v>31</v>
      </c>
      <c r="I725" s="1"/>
      <c r="J725" s="1" t="s">
        <v>27</v>
      </c>
      <c r="K725" s="16" t="s">
        <v>1822</v>
      </c>
      <c r="L725" s="1" t="s">
        <v>35</v>
      </c>
      <c r="M725" s="17">
        <v>23.4</v>
      </c>
      <c r="N725" s="23">
        <v>1.29</v>
      </c>
      <c r="O725" s="16" t="s">
        <v>67</v>
      </c>
      <c r="P725" s="16" t="s">
        <v>29</v>
      </c>
      <c r="Q725" s="16" t="s">
        <v>29</v>
      </c>
      <c r="R725" s="16" t="s">
        <v>1387</v>
      </c>
      <c r="S725" s="12" t="s">
        <v>3216</v>
      </c>
      <c r="T725" s="13">
        <v>45964</v>
      </c>
      <c r="U725" s="315"/>
      <c r="V725" s="53">
        <f>M725-Z725-AB725-AD725-AF725-AH725-AJ725-AL725-AN725-AP725-AR725-AT725-AV725-AX725-AZ725-BB725-BD725-BF725-BH725-U725</f>
        <v>-3.7000000000000028</v>
      </c>
      <c r="W725" s="22" t="s">
        <v>3485</v>
      </c>
      <c r="X725" s="16" t="s">
        <v>1021</v>
      </c>
      <c r="Y725" s="9"/>
      <c r="Z725" s="315">
        <v>27.1</v>
      </c>
      <c r="AA725" s="252">
        <v>45967</v>
      </c>
    </row>
    <row r="726" spans="1:31" s="28" customFormat="1" ht="20.25" customHeight="1">
      <c r="A726" s="11">
        <v>45959</v>
      </c>
      <c r="B726" s="16" t="s">
        <v>3486</v>
      </c>
      <c r="C726" s="16" t="s">
        <v>535</v>
      </c>
      <c r="D726" s="16" t="s">
        <v>212</v>
      </c>
      <c r="E726" s="16" t="s">
        <v>25</v>
      </c>
      <c r="F726" s="16" t="s">
        <v>3509</v>
      </c>
      <c r="G726" s="16" t="s">
        <v>71</v>
      </c>
      <c r="H726" s="16" t="s">
        <v>26</v>
      </c>
      <c r="I726" s="16"/>
      <c r="J726" s="16" t="s">
        <v>27</v>
      </c>
      <c r="K726" s="16" t="s">
        <v>537</v>
      </c>
      <c r="L726" s="16" t="s">
        <v>35</v>
      </c>
      <c r="M726" s="17">
        <v>88</v>
      </c>
      <c r="N726" s="23">
        <v>1.27</v>
      </c>
      <c r="O726" s="16" t="s">
        <v>67</v>
      </c>
      <c r="P726" s="16" t="s">
        <v>29</v>
      </c>
      <c r="Q726" s="16" t="s">
        <v>3237</v>
      </c>
      <c r="R726" s="16" t="s">
        <v>29</v>
      </c>
      <c r="S726" s="12" t="s">
        <v>3487</v>
      </c>
      <c r="T726" s="13">
        <v>45982</v>
      </c>
      <c r="U726" s="19"/>
      <c r="V726" s="53">
        <f>M726-Z726-AB726-AD726-AF726-AH726-AJ726-AL726-AN726-AP726-AR726-AT726-AV726-AX726-AZ726-BB726-BD726-BF726-BH726-U726</f>
        <v>-0.5</v>
      </c>
      <c r="W726" s="22" t="s">
        <v>3490</v>
      </c>
      <c r="X726" s="16" t="s">
        <v>29</v>
      </c>
      <c r="Y726" s="9"/>
      <c r="Z726" s="19">
        <v>88.5</v>
      </c>
      <c r="AA726" s="252">
        <v>45978</v>
      </c>
    </row>
    <row r="727" spans="1:31" s="36" customFormat="1" ht="20.25" customHeight="1">
      <c r="A727" s="7">
        <v>45958</v>
      </c>
      <c r="B727" s="19" t="s">
        <v>3491</v>
      </c>
      <c r="C727" s="19" t="s">
        <v>1568</v>
      </c>
      <c r="D727" s="19" t="s">
        <v>212</v>
      </c>
      <c r="E727" s="19" t="s">
        <v>34</v>
      </c>
      <c r="F727" s="19" t="s">
        <v>3493</v>
      </c>
      <c r="G727" s="19" t="s">
        <v>71</v>
      </c>
      <c r="H727" s="19" t="s">
        <v>26</v>
      </c>
      <c r="I727" s="16"/>
      <c r="J727" s="16" t="s">
        <v>27</v>
      </c>
      <c r="K727" s="19" t="s">
        <v>2766</v>
      </c>
      <c r="L727" s="16" t="s">
        <v>35</v>
      </c>
      <c r="M727" s="20">
        <v>1823</v>
      </c>
      <c r="N727" s="25">
        <v>1.29</v>
      </c>
      <c r="O727" s="19" t="s">
        <v>67</v>
      </c>
      <c r="P727" s="19" t="s">
        <v>63</v>
      </c>
      <c r="Q727" s="19" t="s">
        <v>29</v>
      </c>
      <c r="R727" s="19" t="s">
        <v>2496</v>
      </c>
      <c r="S727" s="45" t="s">
        <v>3407</v>
      </c>
      <c r="T727" s="8">
        <v>45972</v>
      </c>
      <c r="U727" s="19"/>
      <c r="V727" s="55">
        <f>M727-Z727-AB727-AD727-AF727-AH727-AJ727-AL727-AN727-AP727-AR727-AT727-AV727-AX727-AZ727-BB727-BD727-BF727-BH727-U727</f>
        <v>-1.5</v>
      </c>
      <c r="W727" s="15" t="s">
        <v>3497</v>
      </c>
      <c r="X727" s="19" t="s">
        <v>29</v>
      </c>
      <c r="Y727" s="10"/>
      <c r="Z727" s="19">
        <v>223.2</v>
      </c>
      <c r="AA727" s="123">
        <v>45972</v>
      </c>
      <c r="AB727" s="19">
        <v>450.3</v>
      </c>
      <c r="AC727" s="123">
        <v>45979</v>
      </c>
      <c r="AD727" s="19">
        <v>1151</v>
      </c>
      <c r="AE727" s="123">
        <v>45986</v>
      </c>
    </row>
    <row r="728" spans="1:31" s="36" customFormat="1" ht="20.25" customHeight="1">
      <c r="A728" s="7">
        <v>45958</v>
      </c>
      <c r="B728" s="19" t="s">
        <v>3492</v>
      </c>
      <c r="C728" s="19" t="s">
        <v>1568</v>
      </c>
      <c r="D728" s="19" t="s">
        <v>212</v>
      </c>
      <c r="E728" s="19" t="s">
        <v>34</v>
      </c>
      <c r="F728" s="19" t="s">
        <v>3494</v>
      </c>
      <c r="G728" s="19" t="s">
        <v>71</v>
      </c>
      <c r="H728" s="19" t="s">
        <v>31</v>
      </c>
      <c r="I728" s="19"/>
      <c r="J728" s="19" t="s">
        <v>27</v>
      </c>
      <c r="K728" s="19" t="s">
        <v>1012</v>
      </c>
      <c r="L728" s="19" t="s">
        <v>35</v>
      </c>
      <c r="M728" s="20">
        <v>1509</v>
      </c>
      <c r="N728" s="25">
        <v>1.29</v>
      </c>
      <c r="O728" s="19" t="s">
        <v>67</v>
      </c>
      <c r="P728" s="19" t="s">
        <v>63</v>
      </c>
      <c r="Q728" s="19" t="s">
        <v>29</v>
      </c>
      <c r="R728" s="19" t="s">
        <v>2497</v>
      </c>
      <c r="S728" s="45" t="s">
        <v>3407</v>
      </c>
      <c r="T728" s="8">
        <v>45972</v>
      </c>
      <c r="U728" s="19"/>
      <c r="V728" s="55">
        <f>M728-Z728-AB728-AD728-AF728-AH728-AJ728-AL728-AN728-AP728-AR728-AT728-AV728-AX728-AZ728-BB728-BD728-BF728-BH728-U728</f>
        <v>-0.40000000000009095</v>
      </c>
      <c r="W728" s="15" t="s">
        <v>3498</v>
      </c>
      <c r="X728" s="19" t="s">
        <v>29</v>
      </c>
      <c r="Y728" s="10"/>
      <c r="Z728" s="19">
        <v>1509.4</v>
      </c>
      <c r="AA728" s="123">
        <v>45975</v>
      </c>
    </row>
    <row r="729" spans="1:31" s="28" customFormat="1" ht="20.25" customHeight="1">
      <c r="A729" s="11">
        <v>45958</v>
      </c>
      <c r="B729" s="16" t="s">
        <v>3492</v>
      </c>
      <c r="C729" s="16" t="s">
        <v>1568</v>
      </c>
      <c r="D729" s="16" t="s">
        <v>212</v>
      </c>
      <c r="E729" s="16" t="s">
        <v>34</v>
      </c>
      <c r="F729" s="16" t="s">
        <v>3494</v>
      </c>
      <c r="G729" s="16" t="s">
        <v>71</v>
      </c>
      <c r="H729" s="16" t="s">
        <v>31</v>
      </c>
      <c r="I729" s="16"/>
      <c r="J729" s="16" t="s">
        <v>27</v>
      </c>
      <c r="K729" s="16" t="s">
        <v>598</v>
      </c>
      <c r="L729" s="16" t="s">
        <v>35</v>
      </c>
      <c r="M729" s="17">
        <v>305</v>
      </c>
      <c r="N729" s="23">
        <v>1.29</v>
      </c>
      <c r="O729" s="16" t="s">
        <v>67</v>
      </c>
      <c r="P729" s="16" t="s">
        <v>63</v>
      </c>
      <c r="Q729" s="16" t="s">
        <v>29</v>
      </c>
      <c r="R729" s="16" t="s">
        <v>3495</v>
      </c>
      <c r="S729" s="12" t="s">
        <v>3407</v>
      </c>
      <c r="T729" s="13">
        <v>45972</v>
      </c>
      <c r="U729" s="19"/>
      <c r="V729" s="53">
        <f>M729-Z729-AB729-AD729-AF729-AH729-AJ729-AL729-AN729-AP729-AR729-AT729-AV729-AX729-AZ729-BB729-BD729-BF729-BH729-U729</f>
        <v>-6.6999999999999886</v>
      </c>
      <c r="W729" s="22" t="s">
        <v>3499</v>
      </c>
      <c r="X729" s="16" t="s">
        <v>29</v>
      </c>
      <c r="Y729" s="9"/>
      <c r="Z729" s="19">
        <v>311.7</v>
      </c>
      <c r="AA729" s="252">
        <v>45968</v>
      </c>
    </row>
    <row r="730" spans="1:31" s="28" customFormat="1" ht="20.25" customHeight="1">
      <c r="A730" s="11">
        <v>45958</v>
      </c>
      <c r="B730" s="16" t="s">
        <v>3492</v>
      </c>
      <c r="C730" s="16" t="s">
        <v>1568</v>
      </c>
      <c r="D730" s="16" t="s">
        <v>212</v>
      </c>
      <c r="E730" s="16" t="s">
        <v>34</v>
      </c>
      <c r="F730" s="16" t="s">
        <v>3494</v>
      </c>
      <c r="G730" s="16" t="s">
        <v>71</v>
      </c>
      <c r="H730" s="16" t="s">
        <v>31</v>
      </c>
      <c r="I730" s="1"/>
      <c r="J730" s="1" t="s">
        <v>27</v>
      </c>
      <c r="K730" s="16" t="s">
        <v>3482</v>
      </c>
      <c r="L730" s="1" t="s">
        <v>35</v>
      </c>
      <c r="M730" s="17">
        <v>2444</v>
      </c>
      <c r="N730" s="6">
        <v>1.29</v>
      </c>
      <c r="O730" s="1" t="s">
        <v>67</v>
      </c>
      <c r="P730" s="1" t="s">
        <v>63</v>
      </c>
      <c r="Q730" s="1" t="s">
        <v>29</v>
      </c>
      <c r="R730" s="1" t="s">
        <v>3496</v>
      </c>
      <c r="S730" s="121" t="s">
        <v>3407</v>
      </c>
      <c r="T730" s="13">
        <v>45972</v>
      </c>
      <c r="U730" s="19"/>
      <c r="V730" s="53">
        <f>M730-Z730-AB730-AD730-AF730-AH730-AJ730-AL730-AN730-AP730-AR730-AT730-AV730-AX730-AZ730-BB730-BD730-BF730-BH730-U730</f>
        <v>0</v>
      </c>
      <c r="W730" s="22" t="s">
        <v>3500</v>
      </c>
      <c r="X730" s="16" t="s">
        <v>29</v>
      </c>
      <c r="Y730" s="9"/>
      <c r="Z730" s="19">
        <f>2259.9+184.1</f>
        <v>2444</v>
      </c>
      <c r="AA730" s="252">
        <v>45972</v>
      </c>
    </row>
    <row r="731" spans="1:31" s="28" customFormat="1" ht="20.25" customHeight="1">
      <c r="A731" s="11">
        <v>45960</v>
      </c>
      <c r="B731" s="16" t="s">
        <v>3510</v>
      </c>
      <c r="C731" s="16" t="s">
        <v>267</v>
      </c>
      <c r="D731" s="16" t="s">
        <v>212</v>
      </c>
      <c r="E731" s="16" t="s">
        <v>25</v>
      </c>
      <c r="F731" s="16" t="s">
        <v>3531</v>
      </c>
      <c r="G731" s="16" t="s">
        <v>71</v>
      </c>
      <c r="H731" s="16" t="s">
        <v>31</v>
      </c>
      <c r="I731" s="1"/>
      <c r="J731" s="1" t="s">
        <v>27</v>
      </c>
      <c r="K731" s="16" t="s">
        <v>250</v>
      </c>
      <c r="L731" s="1" t="s">
        <v>35</v>
      </c>
      <c r="M731" s="17">
        <v>3235</v>
      </c>
      <c r="N731" s="23">
        <v>1.29</v>
      </c>
      <c r="O731" s="16" t="s">
        <v>67</v>
      </c>
      <c r="P731" s="16" t="s">
        <v>63</v>
      </c>
      <c r="Q731" s="16" t="s">
        <v>29</v>
      </c>
      <c r="R731" s="16" t="s">
        <v>3051</v>
      </c>
      <c r="S731" s="12" t="s">
        <v>3569</v>
      </c>
      <c r="T731" s="13">
        <v>45981</v>
      </c>
      <c r="U731" s="19"/>
      <c r="V731" s="53">
        <f>M731-Z731-AB731-AD731-AF731-AH731-AJ731-AL731-AN731-AP731-AR731-AT731-AV731-AX731-AZ731-BB731-BD731-BF731-BH731-U731</f>
        <v>-3.8000000000001819</v>
      </c>
      <c r="W731" s="22" t="s">
        <v>3570</v>
      </c>
      <c r="X731" s="16" t="s">
        <v>29</v>
      </c>
      <c r="Y731" s="9"/>
      <c r="Z731" s="19">
        <f>3055.3+183.5</f>
        <v>3238.8</v>
      </c>
      <c r="AA731" s="252">
        <v>45967</v>
      </c>
    </row>
    <row r="732" spans="1:31" s="28" customFormat="1" ht="20.25" customHeight="1">
      <c r="A732" s="11">
        <v>45960</v>
      </c>
      <c r="B732" s="16" t="s">
        <v>3511</v>
      </c>
      <c r="C732" s="16" t="s">
        <v>267</v>
      </c>
      <c r="D732" s="16" t="s">
        <v>212</v>
      </c>
      <c r="E732" s="16" t="s">
        <v>25</v>
      </c>
      <c r="F732" s="16" t="s">
        <v>3532</v>
      </c>
      <c r="G732" s="16" t="s">
        <v>71</v>
      </c>
      <c r="H732" s="16" t="s">
        <v>26</v>
      </c>
      <c r="I732" s="1"/>
      <c r="J732" s="1" t="s">
        <v>27</v>
      </c>
      <c r="K732" s="16" t="s">
        <v>218</v>
      </c>
      <c r="L732" s="1" t="s">
        <v>35</v>
      </c>
      <c r="M732" s="17">
        <v>3100</v>
      </c>
      <c r="N732" s="23">
        <v>1.29</v>
      </c>
      <c r="O732" s="16" t="s">
        <v>67</v>
      </c>
      <c r="P732" s="16" t="s">
        <v>63</v>
      </c>
      <c r="Q732" s="16" t="s">
        <v>29</v>
      </c>
      <c r="R732" s="16" t="s">
        <v>3553</v>
      </c>
      <c r="S732" s="12" t="s">
        <v>3569</v>
      </c>
      <c r="T732" s="13">
        <v>45981</v>
      </c>
      <c r="U732" s="19"/>
      <c r="V732" s="53">
        <f>M732-Z732-AB732-AD732-AF732-AH732-AJ732-AL732-AN732-AP732-AR732-AT732-AV732-AX732-AZ732-BB732-BD732-BF732-BH732-U732</f>
        <v>-1.7999999999997272</v>
      </c>
      <c r="W732" s="22" t="s">
        <v>3571</v>
      </c>
      <c r="X732" s="16" t="s">
        <v>29</v>
      </c>
      <c r="Y732" s="9"/>
      <c r="Z732" s="19">
        <f>2284.7+817.1</f>
        <v>3101.7999999999997</v>
      </c>
      <c r="AA732" s="252">
        <v>45967</v>
      </c>
    </row>
    <row r="733" spans="1:31" s="28" customFormat="1" ht="20.25" customHeight="1">
      <c r="A733" s="11">
        <v>45960</v>
      </c>
      <c r="B733" s="16" t="s">
        <v>3512</v>
      </c>
      <c r="C733" s="16" t="s">
        <v>267</v>
      </c>
      <c r="D733" s="16" t="s">
        <v>212</v>
      </c>
      <c r="E733" s="16" t="s">
        <v>25</v>
      </c>
      <c r="F733" s="16" t="s">
        <v>3533</v>
      </c>
      <c r="G733" s="16" t="s">
        <v>71</v>
      </c>
      <c r="H733" s="16" t="s">
        <v>26</v>
      </c>
      <c r="I733" s="1"/>
      <c r="J733" s="1" t="s">
        <v>27</v>
      </c>
      <c r="K733" s="16" t="s">
        <v>1458</v>
      </c>
      <c r="L733" s="1" t="s">
        <v>75</v>
      </c>
      <c r="M733" s="17">
        <v>1775</v>
      </c>
      <c r="N733" s="6">
        <v>1.29</v>
      </c>
      <c r="O733" s="1" t="s">
        <v>67</v>
      </c>
      <c r="P733" s="1" t="s">
        <v>63</v>
      </c>
      <c r="Q733" s="1" t="s">
        <v>29</v>
      </c>
      <c r="R733" s="1" t="s">
        <v>3554</v>
      </c>
      <c r="S733" s="121" t="s">
        <v>3569</v>
      </c>
      <c r="T733" s="13">
        <v>45981</v>
      </c>
      <c r="U733" s="301"/>
      <c r="V733" s="53">
        <f>M733-Z733-AB733-AD733-AF733-AH733-AJ733-AL733-AN733-AP733-AR733-AT733-AV733-AX733-AZ733-BB733-BD733-BF733-BH733-U733</f>
        <v>-2.2999999999999545</v>
      </c>
      <c r="W733" s="22" t="s">
        <v>3572</v>
      </c>
      <c r="X733" s="16" t="s">
        <v>29</v>
      </c>
      <c r="Y733" s="9"/>
      <c r="Z733" s="301">
        <v>1777.3</v>
      </c>
      <c r="AA733" s="252">
        <v>45972</v>
      </c>
    </row>
    <row r="734" spans="1:31" s="36" customFormat="1" ht="20.25" customHeight="1">
      <c r="A734" s="7">
        <v>45960</v>
      </c>
      <c r="B734" s="19" t="s">
        <v>3513</v>
      </c>
      <c r="C734" s="19" t="s">
        <v>267</v>
      </c>
      <c r="D734" s="19" t="s">
        <v>212</v>
      </c>
      <c r="E734" s="19" t="s">
        <v>25</v>
      </c>
      <c r="F734" s="19" t="s">
        <v>3534</v>
      </c>
      <c r="G734" s="19" t="s">
        <v>71</v>
      </c>
      <c r="H734" s="19" t="s">
        <v>26</v>
      </c>
      <c r="I734" s="301"/>
      <c r="J734" s="19" t="s">
        <v>27</v>
      </c>
      <c r="K734" s="19" t="s">
        <v>3551</v>
      </c>
      <c r="L734" s="19" t="s">
        <v>75</v>
      </c>
      <c r="M734" s="20">
        <v>2390</v>
      </c>
      <c r="N734" s="25">
        <v>1.29</v>
      </c>
      <c r="O734" s="19" t="s">
        <v>67</v>
      </c>
      <c r="P734" s="19" t="s">
        <v>63</v>
      </c>
      <c r="Q734" s="19" t="s">
        <v>29</v>
      </c>
      <c r="R734" s="19" t="s">
        <v>2921</v>
      </c>
      <c r="S734" s="45" t="s">
        <v>3569</v>
      </c>
      <c r="T734" s="8">
        <v>45981</v>
      </c>
      <c r="U734" s="19"/>
      <c r="V734" s="55">
        <f>M734-Z734-AB734-AD734-AF734-AH734-AJ734-AL734-AN734-AP734-AR734-AT734-AV734-AX734-AZ734-BB734-BD734-BF734-BH734-U734</f>
        <v>-1.5999999999999091</v>
      </c>
      <c r="W734" s="15" t="s">
        <v>3573</v>
      </c>
      <c r="X734" s="19" t="s">
        <v>29</v>
      </c>
      <c r="Y734" s="10"/>
      <c r="Z734" s="19">
        <v>1296.8</v>
      </c>
      <c r="AA734" s="123">
        <v>45967</v>
      </c>
      <c r="AB734" s="19">
        <v>803.9</v>
      </c>
      <c r="AC734" s="123">
        <v>45988</v>
      </c>
      <c r="AD734" s="19">
        <f>247.1+43.8</f>
        <v>290.89999999999998</v>
      </c>
      <c r="AE734" s="123">
        <v>45995</v>
      </c>
    </row>
    <row r="735" spans="1:31" s="28" customFormat="1" ht="20.25" customHeight="1">
      <c r="A735" s="11">
        <v>45960</v>
      </c>
      <c r="B735" s="16" t="s">
        <v>3514</v>
      </c>
      <c r="C735" s="16" t="s">
        <v>267</v>
      </c>
      <c r="D735" s="16" t="s">
        <v>212</v>
      </c>
      <c r="E735" s="16" t="s">
        <v>25</v>
      </c>
      <c r="F735" s="16" t="s">
        <v>3535</v>
      </c>
      <c r="G735" s="16" t="s">
        <v>71</v>
      </c>
      <c r="H735" s="16" t="s">
        <v>31</v>
      </c>
      <c r="I735" s="1"/>
      <c r="J735" s="1" t="s">
        <v>27</v>
      </c>
      <c r="K735" s="16" t="s">
        <v>218</v>
      </c>
      <c r="L735" s="1" t="s">
        <v>75</v>
      </c>
      <c r="M735" s="17">
        <v>4375</v>
      </c>
      <c r="N735" s="23">
        <v>1.29</v>
      </c>
      <c r="O735" s="16" t="s">
        <v>67</v>
      </c>
      <c r="P735" s="16" t="s">
        <v>63</v>
      </c>
      <c r="Q735" s="16" t="s">
        <v>29</v>
      </c>
      <c r="R735" s="16" t="s">
        <v>3555</v>
      </c>
      <c r="S735" s="12" t="s">
        <v>3569</v>
      </c>
      <c r="T735" s="13">
        <v>45981</v>
      </c>
      <c r="U735" s="19"/>
      <c r="V735" s="53">
        <f>M735-Z735-AB735-AD735-AF735-AH735-AJ735-AL735-AN735-AP735-AR735-AT735-AV735-AX735-AZ735-BB735-BD735-BF735-BH735-U735</f>
        <v>-1.1999999999998181</v>
      </c>
      <c r="W735" s="22" t="s">
        <v>3574</v>
      </c>
      <c r="X735" s="16" t="s">
        <v>29</v>
      </c>
      <c r="Y735" s="9"/>
      <c r="Z735" s="19">
        <v>4376.2</v>
      </c>
      <c r="AA735" s="252">
        <v>45967</v>
      </c>
    </row>
    <row r="736" spans="1:31" s="36" customFormat="1" ht="20.25" customHeight="1">
      <c r="A736" s="7">
        <v>45960</v>
      </c>
      <c r="B736" s="19" t="s">
        <v>3515</v>
      </c>
      <c r="C736" s="19" t="s">
        <v>267</v>
      </c>
      <c r="D736" s="19" t="s">
        <v>212</v>
      </c>
      <c r="E736" s="19" t="s">
        <v>25</v>
      </c>
      <c r="F736" s="19" t="s">
        <v>3536</v>
      </c>
      <c r="G736" s="19" t="s">
        <v>71</v>
      </c>
      <c r="H736" s="19" t="s">
        <v>26</v>
      </c>
      <c r="I736" s="19"/>
      <c r="J736" s="19" t="s">
        <v>27</v>
      </c>
      <c r="K736" s="19" t="s">
        <v>2975</v>
      </c>
      <c r="L736" s="19" t="s">
        <v>75</v>
      </c>
      <c r="M736" s="20">
        <v>1475</v>
      </c>
      <c r="N736" s="25">
        <v>1.29</v>
      </c>
      <c r="O736" s="19" t="s">
        <v>67</v>
      </c>
      <c r="P736" s="19" t="s">
        <v>63</v>
      </c>
      <c r="Q736" s="19" t="s">
        <v>29</v>
      </c>
      <c r="R736" s="19" t="s">
        <v>3053</v>
      </c>
      <c r="S736" s="45" t="s">
        <v>3569</v>
      </c>
      <c r="T736" s="8">
        <v>45981</v>
      </c>
      <c r="U736" s="19"/>
      <c r="V736" s="55">
        <f>M736-Z736-AB736-AD736-AF736-AH736-AJ736-AL736-AN736-AP736-AR736-AT736-AV736-AX736-AZ736-BB736-BD736-BF736-BH736-U736</f>
        <v>-5.7999999999999545</v>
      </c>
      <c r="W736" s="15" t="s">
        <v>3575</v>
      </c>
      <c r="X736" s="19" t="s">
        <v>29</v>
      </c>
      <c r="Y736" s="10"/>
      <c r="Z736" s="19">
        <v>1480.8</v>
      </c>
      <c r="AA736" s="123">
        <v>45975</v>
      </c>
    </row>
    <row r="737" spans="1:33" s="28" customFormat="1" ht="20.25" customHeight="1">
      <c r="A737" s="11">
        <v>45960</v>
      </c>
      <c r="B737" s="16" t="s">
        <v>3516</v>
      </c>
      <c r="C737" s="16" t="s">
        <v>267</v>
      </c>
      <c r="D737" s="16" t="s">
        <v>212</v>
      </c>
      <c r="E737" s="16" t="s">
        <v>25</v>
      </c>
      <c r="F737" s="16" t="s">
        <v>3537</v>
      </c>
      <c r="G737" s="16" t="s">
        <v>71</v>
      </c>
      <c r="H737" s="16" t="s">
        <v>26</v>
      </c>
      <c r="I737" s="1"/>
      <c r="J737" s="1" t="s">
        <v>27</v>
      </c>
      <c r="K737" s="16" t="s">
        <v>372</v>
      </c>
      <c r="L737" s="1" t="s">
        <v>35</v>
      </c>
      <c r="M737" s="17">
        <v>1335</v>
      </c>
      <c r="N737" s="6">
        <v>1.29</v>
      </c>
      <c r="O737" s="1" t="s">
        <v>67</v>
      </c>
      <c r="P737" s="1" t="s">
        <v>63</v>
      </c>
      <c r="Q737" s="1" t="s">
        <v>29</v>
      </c>
      <c r="R737" s="1" t="s">
        <v>2923</v>
      </c>
      <c r="S737" s="121" t="s">
        <v>3569</v>
      </c>
      <c r="T737" s="13">
        <v>45981</v>
      </c>
      <c r="U737" s="19"/>
      <c r="V737" s="53">
        <f>M737-Z737-AB737-AD737-AF737-AH737-AJ737-AL737-AN737-AP737-AR737-AT737-AV737-AX737-AZ737-BB737-BD737-BF737-BH737-U737</f>
        <v>-1.0999999999999659</v>
      </c>
      <c r="W737" s="22" t="s">
        <v>3576</v>
      </c>
      <c r="X737" s="16" t="s">
        <v>29</v>
      </c>
      <c r="Y737" s="9"/>
      <c r="Z737" s="19">
        <v>828.8</v>
      </c>
      <c r="AA737" s="252">
        <v>45967</v>
      </c>
      <c r="AB737" s="19">
        <v>507.3</v>
      </c>
      <c r="AC737" s="252">
        <v>45972</v>
      </c>
    </row>
    <row r="738" spans="1:33" s="36" customFormat="1" ht="20.25" customHeight="1">
      <c r="A738" s="7">
        <v>45960</v>
      </c>
      <c r="B738" s="19" t="s">
        <v>3517</v>
      </c>
      <c r="C738" s="19" t="s">
        <v>267</v>
      </c>
      <c r="D738" s="19" t="s">
        <v>212</v>
      </c>
      <c r="E738" s="19" t="s">
        <v>25</v>
      </c>
      <c r="F738" s="19" t="s">
        <v>3538</v>
      </c>
      <c r="G738" s="19" t="s">
        <v>71</v>
      </c>
      <c r="H738" s="19" t="s">
        <v>26</v>
      </c>
      <c r="I738" s="301"/>
      <c r="J738" s="301" t="s">
        <v>27</v>
      </c>
      <c r="K738" s="19" t="s">
        <v>760</v>
      </c>
      <c r="L738" s="301" t="s">
        <v>35</v>
      </c>
      <c r="M738" s="20">
        <v>2275</v>
      </c>
      <c r="N738" s="303">
        <v>1.29</v>
      </c>
      <c r="O738" s="301" t="s">
        <v>67</v>
      </c>
      <c r="P738" s="301" t="s">
        <v>63</v>
      </c>
      <c r="Q738" s="301" t="s">
        <v>29</v>
      </c>
      <c r="R738" s="301" t="s">
        <v>3056</v>
      </c>
      <c r="S738" s="304" t="s">
        <v>3569</v>
      </c>
      <c r="T738" s="8">
        <v>45981</v>
      </c>
      <c r="U738" s="19"/>
      <c r="V738" s="55">
        <f>M738-Z738-AB738-AD738-AF738-AH738-AJ738-AL738-AN738-AP738-AR738-AT738-AV738-AX738-AZ738-BB738-BD738-BF738-BH738-U738</f>
        <v>-0.10000000000002274</v>
      </c>
      <c r="W738" s="15" t="s">
        <v>3577</v>
      </c>
      <c r="X738" s="19" t="s">
        <v>29</v>
      </c>
      <c r="Y738" s="10"/>
      <c r="Z738" s="19">
        <v>66</v>
      </c>
      <c r="AA738" s="123">
        <v>45975</v>
      </c>
      <c r="AB738" s="19">
        <f>1070.7+160.8</f>
        <v>1231.5</v>
      </c>
      <c r="AC738" s="123">
        <v>45981</v>
      </c>
      <c r="AD738" s="19">
        <v>977.6</v>
      </c>
      <c r="AE738" s="123">
        <v>45988</v>
      </c>
    </row>
    <row r="739" spans="1:33" s="28" customFormat="1" ht="20.25" customHeight="1">
      <c r="A739" s="11">
        <v>45960</v>
      </c>
      <c r="B739" s="16" t="s">
        <v>3518</v>
      </c>
      <c r="C739" s="16" t="s">
        <v>400</v>
      </c>
      <c r="D739" s="16" t="s">
        <v>212</v>
      </c>
      <c r="E739" s="16" t="s">
        <v>25</v>
      </c>
      <c r="F739" s="16" t="s">
        <v>3539</v>
      </c>
      <c r="G739" s="16" t="s">
        <v>71</v>
      </c>
      <c r="H739" s="16" t="s">
        <v>31</v>
      </c>
      <c r="I739" s="16"/>
      <c r="J739" s="16" t="s">
        <v>27</v>
      </c>
      <c r="K739" s="16" t="s">
        <v>3552</v>
      </c>
      <c r="L739" s="16" t="s">
        <v>35</v>
      </c>
      <c r="M739" s="17">
        <v>19.71</v>
      </c>
      <c r="N739" s="23">
        <v>1.29</v>
      </c>
      <c r="O739" s="16" t="s">
        <v>67</v>
      </c>
      <c r="P739" s="16" t="s">
        <v>63</v>
      </c>
      <c r="Q739" s="16" t="s">
        <v>29</v>
      </c>
      <c r="R739" s="16" t="s">
        <v>3556</v>
      </c>
      <c r="S739" s="12" t="s">
        <v>3489</v>
      </c>
      <c r="T739" s="13">
        <v>45974</v>
      </c>
      <c r="U739" s="381"/>
      <c r="V739" s="53">
        <f>M739-Z739-AB739-AD739-AF739-AH739-AJ739-AL739-AN739-AP739-AR739-AT739-AV739-AX739-AZ739-BB739-BD739-BF739-BH739-U739</f>
        <v>-3.3900000000000006</v>
      </c>
      <c r="W739" s="22" t="s">
        <v>3578</v>
      </c>
      <c r="X739" s="16" t="s">
        <v>29</v>
      </c>
      <c r="Y739" s="9"/>
      <c r="Z739" s="381">
        <v>23.1</v>
      </c>
      <c r="AA739" s="252">
        <v>45980</v>
      </c>
    </row>
    <row r="740" spans="1:33" s="28" customFormat="1" ht="20.25" customHeight="1">
      <c r="A740" s="11">
        <v>45960</v>
      </c>
      <c r="B740" s="16" t="s">
        <v>3519</v>
      </c>
      <c r="C740" s="16" t="s">
        <v>400</v>
      </c>
      <c r="D740" s="16" t="s">
        <v>212</v>
      </c>
      <c r="E740" s="16" t="s">
        <v>25</v>
      </c>
      <c r="F740" s="16" t="s">
        <v>3540</v>
      </c>
      <c r="G740" s="16" t="s">
        <v>71</v>
      </c>
      <c r="H740" s="16" t="s">
        <v>26</v>
      </c>
      <c r="I740" s="1"/>
      <c r="J740" s="1" t="s">
        <v>27</v>
      </c>
      <c r="K740" s="16" t="s">
        <v>372</v>
      </c>
      <c r="L740" s="1" t="s">
        <v>35</v>
      </c>
      <c r="M740" s="17">
        <v>314.48</v>
      </c>
      <c r="N740" s="23">
        <v>1.29</v>
      </c>
      <c r="O740" s="16" t="s">
        <v>67</v>
      </c>
      <c r="P740" s="16" t="s">
        <v>63</v>
      </c>
      <c r="Q740" s="16" t="s">
        <v>3557</v>
      </c>
      <c r="R740" s="16" t="s">
        <v>3558</v>
      </c>
      <c r="S740" s="12" t="s">
        <v>3569</v>
      </c>
      <c r="T740" s="13">
        <v>45981</v>
      </c>
      <c r="U740" s="19"/>
      <c r="V740" s="53">
        <f>M740-Z740-AB740-AD740-AF740-AH740-AJ740-AL740-AN740-AP740-AR740-AT740-AV740-AX740-AZ740-BB740-BD740-BF740-BH740-U740</f>
        <v>-2.3199999999999932</v>
      </c>
      <c r="W740" s="22" t="s">
        <v>3579</v>
      </c>
      <c r="X740" s="16" t="s">
        <v>29</v>
      </c>
      <c r="Y740" s="9"/>
      <c r="Z740" s="19">
        <v>316.8</v>
      </c>
      <c r="AA740" s="252">
        <v>45967</v>
      </c>
    </row>
    <row r="741" spans="1:33" s="28" customFormat="1" ht="20.25" customHeight="1">
      <c r="A741" s="11">
        <v>45960</v>
      </c>
      <c r="B741" s="16" t="s">
        <v>3520</v>
      </c>
      <c r="C741" s="16" t="s">
        <v>400</v>
      </c>
      <c r="D741" s="16" t="s">
        <v>212</v>
      </c>
      <c r="E741" s="16" t="s">
        <v>25</v>
      </c>
      <c r="F741" s="16" t="s">
        <v>3541</v>
      </c>
      <c r="G741" s="16" t="s">
        <v>71</v>
      </c>
      <c r="H741" s="16" t="s">
        <v>31</v>
      </c>
      <c r="I741" s="1"/>
      <c r="J741" s="1" t="s">
        <v>27</v>
      </c>
      <c r="K741" s="16" t="s">
        <v>218</v>
      </c>
      <c r="L741" s="1" t="s">
        <v>35</v>
      </c>
      <c r="M741" s="17">
        <v>1648.5</v>
      </c>
      <c r="N741" s="23">
        <v>1.29</v>
      </c>
      <c r="O741" s="16" t="s">
        <v>1063</v>
      </c>
      <c r="P741" s="16" t="s">
        <v>63</v>
      </c>
      <c r="Q741" s="16" t="s">
        <v>2494</v>
      </c>
      <c r="R741" s="16" t="s">
        <v>1563</v>
      </c>
      <c r="S741" s="12" t="s">
        <v>3569</v>
      </c>
      <c r="T741" s="13">
        <v>45981</v>
      </c>
      <c r="U741" s="19"/>
      <c r="V741" s="53">
        <f>M741-Z741-AB741-AD741-AF741-AH741-AJ741-AL741-AN741-AP741-AR741-AT741-AV741-AX741-AZ741-BB741-BD741-BF741-BH741-U741</f>
        <v>-1.8999999999998636</v>
      </c>
      <c r="W741" s="22" t="s">
        <v>3580</v>
      </c>
      <c r="X741" s="16" t="s">
        <v>29</v>
      </c>
      <c r="Y741" s="9"/>
      <c r="Z741" s="19">
        <f>1635.8+14.6</f>
        <v>1650.3999999999999</v>
      </c>
      <c r="AA741" s="252">
        <v>45967</v>
      </c>
    </row>
    <row r="742" spans="1:33" s="36" customFormat="1" ht="20.25" customHeight="1">
      <c r="A742" s="7">
        <v>45960</v>
      </c>
      <c r="B742" s="19" t="s">
        <v>3520</v>
      </c>
      <c r="C742" s="19" t="s">
        <v>400</v>
      </c>
      <c r="D742" s="19" t="s">
        <v>212</v>
      </c>
      <c r="E742" s="19" t="s">
        <v>25</v>
      </c>
      <c r="F742" s="19" t="s">
        <v>3541</v>
      </c>
      <c r="G742" s="19" t="s">
        <v>71</v>
      </c>
      <c r="H742" s="19" t="s">
        <v>31</v>
      </c>
      <c r="I742" s="301"/>
      <c r="J742" s="301" t="s">
        <v>27</v>
      </c>
      <c r="K742" s="19" t="s">
        <v>2123</v>
      </c>
      <c r="L742" s="301" t="s">
        <v>35</v>
      </c>
      <c r="M742" s="20">
        <v>7562.84</v>
      </c>
      <c r="N742" s="25">
        <v>1.29</v>
      </c>
      <c r="O742" s="19" t="s">
        <v>67</v>
      </c>
      <c r="P742" s="19" t="s">
        <v>63</v>
      </c>
      <c r="Q742" s="19" t="s">
        <v>2494</v>
      </c>
      <c r="R742" s="19" t="s">
        <v>3559</v>
      </c>
      <c r="S742" s="45" t="s">
        <v>3569</v>
      </c>
      <c r="T742" s="8">
        <v>45981</v>
      </c>
      <c r="U742" s="19"/>
      <c r="V742" s="55">
        <f>M742-Z742-AB742-AD742-AF742-AH742-AJ742-AL742-AN742-AP742-AR742-AT742-AV742-AX742-AZ742-BB742-BD742-BF742-BH742-U742</f>
        <v>-4.0600000000001728</v>
      </c>
      <c r="W742" s="15" t="s">
        <v>3581</v>
      </c>
      <c r="X742" s="19" t="s">
        <v>29</v>
      </c>
      <c r="Y742" s="10"/>
      <c r="Z742" s="10">
        <v>2149.1</v>
      </c>
      <c r="AA742" s="123">
        <v>45973</v>
      </c>
      <c r="AB742" s="19">
        <f>1969+237.4+1241.1</f>
        <v>3447.5</v>
      </c>
      <c r="AC742" s="123">
        <v>45980</v>
      </c>
      <c r="AD742" s="19">
        <f>1405.5+564.8</f>
        <v>1970.3</v>
      </c>
      <c r="AE742" s="123">
        <v>45982</v>
      </c>
    </row>
    <row r="743" spans="1:33" s="28" customFormat="1" ht="20.25" customHeight="1">
      <c r="A743" s="11">
        <v>45960</v>
      </c>
      <c r="B743" s="16" t="s">
        <v>3521</v>
      </c>
      <c r="C743" s="16" t="s">
        <v>400</v>
      </c>
      <c r="D743" s="16" t="s">
        <v>212</v>
      </c>
      <c r="E743" s="16" t="s">
        <v>25</v>
      </c>
      <c r="F743" s="16" t="s">
        <v>3542</v>
      </c>
      <c r="G743" s="16" t="s">
        <v>64</v>
      </c>
      <c r="H743" s="16" t="s">
        <v>26</v>
      </c>
      <c r="I743" s="1"/>
      <c r="J743" s="1" t="s">
        <v>27</v>
      </c>
      <c r="K743" s="16" t="s">
        <v>372</v>
      </c>
      <c r="L743" s="1" t="s">
        <v>35</v>
      </c>
      <c r="M743" s="17">
        <v>178.57</v>
      </c>
      <c r="N743" s="23">
        <v>1.29</v>
      </c>
      <c r="O743" s="16" t="s">
        <v>67</v>
      </c>
      <c r="P743" s="16" t="s">
        <v>63</v>
      </c>
      <c r="Q743" s="16" t="s">
        <v>3560</v>
      </c>
      <c r="R743" s="16" t="s">
        <v>3561</v>
      </c>
      <c r="S743" s="12" t="s">
        <v>3569</v>
      </c>
      <c r="T743" s="13">
        <v>45981</v>
      </c>
      <c r="U743" s="19"/>
      <c r="V743" s="53">
        <f>M743-Z743-AB743-AD743-AF743-AH743-AJ743-AL743-AN743-AP743-AR743-AT743-AV743-AX743-AZ743-BB743-BD743-BF743-BH743-U743</f>
        <v>-0.83000000000001251</v>
      </c>
      <c r="W743" s="22" t="s">
        <v>3722</v>
      </c>
      <c r="X743" s="16" t="s">
        <v>29</v>
      </c>
      <c r="Y743" s="9"/>
      <c r="Z743" s="19">
        <v>179.4</v>
      </c>
      <c r="AA743" s="252">
        <v>45967</v>
      </c>
    </row>
    <row r="744" spans="1:33" s="36" customFormat="1" ht="20.25" customHeight="1">
      <c r="A744" s="7">
        <v>45960</v>
      </c>
      <c r="B744" s="19" t="s">
        <v>3522</v>
      </c>
      <c r="C744" s="19" t="s">
        <v>400</v>
      </c>
      <c r="D744" s="19" t="s">
        <v>212</v>
      </c>
      <c r="E744" s="19" t="s">
        <v>25</v>
      </c>
      <c r="F744" s="19" t="s">
        <v>3543</v>
      </c>
      <c r="G744" s="19" t="s">
        <v>71</v>
      </c>
      <c r="H744" s="19" t="s">
        <v>31</v>
      </c>
      <c r="I744" s="19"/>
      <c r="J744" s="19" t="s">
        <v>27</v>
      </c>
      <c r="K744" s="19" t="s">
        <v>1012</v>
      </c>
      <c r="L744" s="19" t="s">
        <v>35</v>
      </c>
      <c r="M744" s="20">
        <v>2682.17</v>
      </c>
      <c r="N744" s="25">
        <v>1.29</v>
      </c>
      <c r="O744" s="19" t="s">
        <v>67</v>
      </c>
      <c r="P744" s="19" t="s">
        <v>63</v>
      </c>
      <c r="Q744" s="19" t="s">
        <v>2494</v>
      </c>
      <c r="R744" s="19" t="s">
        <v>3559</v>
      </c>
      <c r="S744" s="45" t="s">
        <v>3489</v>
      </c>
      <c r="T744" s="8">
        <v>45974</v>
      </c>
      <c r="U744" s="19"/>
      <c r="V744" s="55">
        <f>M744-Z744-AB744-AD744-AF744-AH744-AJ744-AL744-AN744-AP744-AR744-AT744-AV744-AX744-AZ744-BB744-BD744-BF744-BH744-U744</f>
        <v>-2.0299999999997453</v>
      </c>
      <c r="W744" s="15" t="s">
        <v>3582</v>
      </c>
      <c r="X744" s="19" t="s">
        <v>29</v>
      </c>
      <c r="Y744" s="10"/>
      <c r="Z744" s="19">
        <f>2040.8+643.4</f>
        <v>2684.2</v>
      </c>
      <c r="AA744" s="123">
        <v>45980</v>
      </c>
    </row>
    <row r="745" spans="1:33" s="28" customFormat="1" ht="20.25" customHeight="1">
      <c r="A745" s="11">
        <v>45960</v>
      </c>
      <c r="B745" s="16" t="s">
        <v>3522</v>
      </c>
      <c r="C745" s="16" t="s">
        <v>400</v>
      </c>
      <c r="D745" s="16" t="s">
        <v>212</v>
      </c>
      <c r="E745" s="16" t="s">
        <v>25</v>
      </c>
      <c r="F745" s="16" t="s">
        <v>3543</v>
      </c>
      <c r="G745" s="16" t="s">
        <v>71</v>
      </c>
      <c r="H745" s="16" t="s">
        <v>31</v>
      </c>
      <c r="I745" s="1"/>
      <c r="J745" s="1" t="s">
        <v>27</v>
      </c>
      <c r="K745" s="16" t="s">
        <v>340</v>
      </c>
      <c r="L745" s="1" t="s">
        <v>35</v>
      </c>
      <c r="M745" s="17">
        <v>139.72</v>
      </c>
      <c r="N745" s="23">
        <v>1.29</v>
      </c>
      <c r="O745" s="16" t="s">
        <v>67</v>
      </c>
      <c r="P745" s="16" t="s">
        <v>63</v>
      </c>
      <c r="Q745" s="16" t="s">
        <v>2494</v>
      </c>
      <c r="R745" s="16" t="s">
        <v>1563</v>
      </c>
      <c r="S745" s="12" t="s">
        <v>3489</v>
      </c>
      <c r="T745" s="13">
        <v>45974</v>
      </c>
      <c r="U745" s="19"/>
      <c r="V745" s="53">
        <f>M745-Z745-AB745-AD745-AF745-AH745-AJ745-AL745-AN745-AP745-AR745-AT745-AV745-AX745-AZ745-BB745-BD745-BF745-BH745-U745</f>
        <v>-8.0000000000012506E-2</v>
      </c>
      <c r="W745" s="22" t="s">
        <v>3583</v>
      </c>
      <c r="X745" s="16" t="s">
        <v>29</v>
      </c>
      <c r="Y745" s="9"/>
      <c r="Z745" s="19">
        <v>139.80000000000001</v>
      </c>
      <c r="AA745" s="252">
        <v>45967</v>
      </c>
    </row>
    <row r="746" spans="1:33" s="36" customFormat="1" ht="20.25" customHeight="1">
      <c r="A746" s="7">
        <v>45960</v>
      </c>
      <c r="B746" s="19" t="s">
        <v>3523</v>
      </c>
      <c r="C746" s="19" t="s">
        <v>400</v>
      </c>
      <c r="D746" s="19" t="s">
        <v>212</v>
      </c>
      <c r="E746" s="19" t="s">
        <v>25</v>
      </c>
      <c r="F746" s="19" t="s">
        <v>3544</v>
      </c>
      <c r="G746" s="19" t="s">
        <v>71</v>
      </c>
      <c r="H746" s="19" t="s">
        <v>31</v>
      </c>
      <c r="I746" s="19"/>
      <c r="J746" s="19" t="s">
        <v>27</v>
      </c>
      <c r="K746" s="19" t="s">
        <v>2123</v>
      </c>
      <c r="L746" s="19" t="s">
        <v>35</v>
      </c>
      <c r="M746" s="20">
        <v>655.26</v>
      </c>
      <c r="N746" s="25">
        <v>1.29</v>
      </c>
      <c r="O746" s="19" t="s">
        <v>67</v>
      </c>
      <c r="P746" s="19" t="s">
        <v>63</v>
      </c>
      <c r="Q746" s="19" t="s">
        <v>2494</v>
      </c>
      <c r="R746" s="19" t="s">
        <v>3562</v>
      </c>
      <c r="S746" s="45" t="s">
        <v>3489</v>
      </c>
      <c r="T746" s="8">
        <v>45974</v>
      </c>
      <c r="U746" s="19"/>
      <c r="V746" s="55">
        <f>M746-Z746-AB746-AD746-AF746-AH746-AJ746-AL746-AN746-AP746-AR746-AT746-AV746-AX746-AZ746-BB746-BD746-BF746-BH746-U746</f>
        <v>-5.4400000000000546</v>
      </c>
      <c r="W746" s="15" t="s">
        <v>3584</v>
      </c>
      <c r="X746" s="19" t="s">
        <v>29</v>
      </c>
      <c r="Y746" s="10"/>
      <c r="Z746" s="19">
        <v>660.7</v>
      </c>
      <c r="AA746" s="123">
        <v>45980</v>
      </c>
    </row>
    <row r="747" spans="1:33" s="28" customFormat="1" ht="20.25" customHeight="1">
      <c r="A747" s="11">
        <v>45960</v>
      </c>
      <c r="B747" s="16" t="s">
        <v>3524</v>
      </c>
      <c r="C747" s="16" t="s">
        <v>2092</v>
      </c>
      <c r="D747" s="16" t="s">
        <v>212</v>
      </c>
      <c r="E747" s="16" t="s">
        <v>25</v>
      </c>
      <c r="F747" s="16">
        <v>4000045307</v>
      </c>
      <c r="G747" s="16" t="s">
        <v>71</v>
      </c>
      <c r="H747" s="16" t="s">
        <v>26</v>
      </c>
      <c r="I747" s="1"/>
      <c r="J747" s="1" t="s">
        <v>27</v>
      </c>
      <c r="K747" s="16" t="s">
        <v>218</v>
      </c>
      <c r="L747" s="1" t="s">
        <v>35</v>
      </c>
      <c r="M747" s="17">
        <v>834</v>
      </c>
      <c r="N747" s="23">
        <v>1.29</v>
      </c>
      <c r="O747" s="16" t="s">
        <v>1063</v>
      </c>
      <c r="P747" s="16" t="s">
        <v>63</v>
      </c>
      <c r="Q747" s="16" t="s">
        <v>29</v>
      </c>
      <c r="R747" s="16" t="s">
        <v>29</v>
      </c>
      <c r="S747" s="12" t="s">
        <v>3569</v>
      </c>
      <c r="T747" s="13">
        <v>45981</v>
      </c>
      <c r="U747" s="19"/>
      <c r="V747" s="53">
        <f>M747-Z747-AB747-AD747-AF747-AH747-AJ747-AL747-AN747-AP747-AR747-AT747-AV747-AX747-AZ747-BB747-BD747-BF747-BH747-U747</f>
        <v>-0.5</v>
      </c>
      <c r="W747" s="22" t="s">
        <v>3585</v>
      </c>
      <c r="X747" s="16" t="s">
        <v>2275</v>
      </c>
      <c r="Y747" s="9"/>
      <c r="Z747" s="9">
        <v>834.5</v>
      </c>
      <c r="AA747" s="252">
        <v>45964</v>
      </c>
    </row>
    <row r="748" spans="1:33" s="28" customFormat="1" ht="20.25" customHeight="1">
      <c r="A748" s="11">
        <v>45960</v>
      </c>
      <c r="B748" s="16" t="s">
        <v>3525</v>
      </c>
      <c r="C748" s="16" t="s">
        <v>1568</v>
      </c>
      <c r="D748" s="16" t="s">
        <v>212</v>
      </c>
      <c r="E748" s="16" t="s">
        <v>25</v>
      </c>
      <c r="F748" s="16" t="s">
        <v>3545</v>
      </c>
      <c r="G748" s="16" t="s">
        <v>71</v>
      </c>
      <c r="H748" s="16" t="s">
        <v>26</v>
      </c>
      <c r="I748" s="16"/>
      <c r="J748" s="16" t="s">
        <v>27</v>
      </c>
      <c r="K748" s="16" t="s">
        <v>913</v>
      </c>
      <c r="L748" s="16" t="s">
        <v>35</v>
      </c>
      <c r="M748" s="17">
        <v>417</v>
      </c>
      <c r="N748" s="23">
        <v>1.29</v>
      </c>
      <c r="O748" s="16" t="s">
        <v>1063</v>
      </c>
      <c r="P748" s="16" t="s">
        <v>63</v>
      </c>
      <c r="Q748" s="16" t="s">
        <v>29</v>
      </c>
      <c r="R748" s="16" t="s">
        <v>3138</v>
      </c>
      <c r="S748" s="12" t="s">
        <v>3489</v>
      </c>
      <c r="T748" s="13">
        <v>45974</v>
      </c>
      <c r="U748" s="19"/>
      <c r="V748" s="53">
        <f>M748-Z748-AB748-AD748-AF748-AH748-AJ748-AL748-AN748-AP748-AR748-AT748-AV748-AX748-AZ748-BB748-BD748-BF748-BH748-U748</f>
        <v>-1.5</v>
      </c>
      <c r="W748" s="22" t="s">
        <v>3586</v>
      </c>
      <c r="X748" s="16" t="s">
        <v>29</v>
      </c>
      <c r="Y748" s="9"/>
      <c r="Z748" s="19">
        <v>418.5</v>
      </c>
      <c r="AA748" s="252">
        <v>45965</v>
      </c>
    </row>
    <row r="749" spans="1:33" s="282" customFormat="1" ht="20.25" customHeight="1">
      <c r="A749" s="272">
        <v>45960</v>
      </c>
      <c r="B749" s="273" t="s">
        <v>3525</v>
      </c>
      <c r="C749" s="273" t="s">
        <v>1568</v>
      </c>
      <c r="D749" s="273" t="s">
        <v>212</v>
      </c>
      <c r="E749" s="273" t="s">
        <v>25</v>
      </c>
      <c r="F749" s="273" t="s">
        <v>3545</v>
      </c>
      <c r="G749" s="273" t="s">
        <v>71</v>
      </c>
      <c r="H749" s="273" t="s">
        <v>26</v>
      </c>
      <c r="I749" s="273"/>
      <c r="J749" s="273" t="s">
        <v>27</v>
      </c>
      <c r="K749" s="273" t="s">
        <v>1717</v>
      </c>
      <c r="L749" s="273" t="s">
        <v>35</v>
      </c>
      <c r="M749" s="274"/>
      <c r="N749" s="275">
        <v>1.29</v>
      </c>
      <c r="O749" s="273" t="s">
        <v>67</v>
      </c>
      <c r="P749" s="273" t="s">
        <v>63</v>
      </c>
      <c r="Q749" s="273" t="s">
        <v>29</v>
      </c>
      <c r="R749" s="273" t="s">
        <v>3139</v>
      </c>
      <c r="S749" s="276" t="s">
        <v>3489</v>
      </c>
      <c r="T749" s="277">
        <v>45974</v>
      </c>
      <c r="U749" s="278"/>
      <c r="V749" s="279">
        <f>M749-Z749-AB749-AD749-AF749-AH749-AJ749-AL749-AN749-AP749-AR749-AT749-AV749-AX749-AZ749-BB749-BD749-BF749-BH749-U749</f>
        <v>0</v>
      </c>
      <c r="W749" s="280" t="s">
        <v>3587</v>
      </c>
      <c r="X749" s="273" t="s">
        <v>29</v>
      </c>
      <c r="Y749" s="322"/>
      <c r="Z749" s="322"/>
    </row>
    <row r="750" spans="1:33" s="28" customFormat="1" ht="20.25" customHeight="1">
      <c r="A750" s="11">
        <v>45960</v>
      </c>
      <c r="B750" s="16" t="s">
        <v>3525</v>
      </c>
      <c r="C750" s="16" t="s">
        <v>1568</v>
      </c>
      <c r="D750" s="16" t="s">
        <v>212</v>
      </c>
      <c r="E750" s="16" t="s">
        <v>25</v>
      </c>
      <c r="F750" s="16" t="s">
        <v>3545</v>
      </c>
      <c r="G750" s="16" t="s">
        <v>71</v>
      </c>
      <c r="H750" s="16" t="s">
        <v>26</v>
      </c>
      <c r="I750" s="1"/>
      <c r="J750" s="1" t="s">
        <v>27</v>
      </c>
      <c r="K750" s="16" t="s">
        <v>913</v>
      </c>
      <c r="L750" s="1" t="s">
        <v>35</v>
      </c>
      <c r="M750" s="17">
        <v>8385</v>
      </c>
      <c r="N750" s="6">
        <v>1.29</v>
      </c>
      <c r="O750" s="1" t="s">
        <v>1063</v>
      </c>
      <c r="P750" s="1" t="s">
        <v>63</v>
      </c>
      <c r="Q750" s="1" t="s">
        <v>29</v>
      </c>
      <c r="R750" s="1" t="s">
        <v>3563</v>
      </c>
      <c r="S750" s="121" t="s">
        <v>3489</v>
      </c>
      <c r="T750" s="13">
        <v>45974</v>
      </c>
      <c r="U750" s="19"/>
      <c r="V750" s="53">
        <f>M750-Z750-AB750-AD750-AF750-AH750-AJ750-AL750-AN750-AP750-AR750-AT750-AV750-AX750-AZ750-BB750-BD750-BF750-BH750-U750</f>
        <v>-4.4000000000005457</v>
      </c>
      <c r="W750" s="22" t="s">
        <v>3588</v>
      </c>
      <c r="X750" s="16" t="s">
        <v>29</v>
      </c>
      <c r="Y750" s="9"/>
      <c r="Z750" s="19">
        <v>680.6</v>
      </c>
      <c r="AA750" s="252">
        <v>45965</v>
      </c>
      <c r="AB750" s="19">
        <f>2286.5+3157.3</f>
        <v>5443.8</v>
      </c>
      <c r="AC750" s="252">
        <v>45968</v>
      </c>
      <c r="AD750" s="19">
        <v>1672.2</v>
      </c>
      <c r="AE750" s="252">
        <v>45975</v>
      </c>
      <c r="AF750" s="19">
        <v>592.79999999999995</v>
      </c>
      <c r="AG750" s="252">
        <v>45979</v>
      </c>
    </row>
    <row r="751" spans="1:33" s="28" customFormat="1" ht="20.25" customHeight="1">
      <c r="A751" s="11">
        <v>45960</v>
      </c>
      <c r="B751" s="16" t="s">
        <v>3526</v>
      </c>
      <c r="C751" s="16" t="s">
        <v>535</v>
      </c>
      <c r="D751" s="16" t="s">
        <v>212</v>
      </c>
      <c r="E751" s="16" t="s">
        <v>25</v>
      </c>
      <c r="F751" s="16" t="s">
        <v>3546</v>
      </c>
      <c r="G751" s="16" t="s">
        <v>71</v>
      </c>
      <c r="H751" s="16" t="s">
        <v>26</v>
      </c>
      <c r="I751" s="16"/>
      <c r="J751" s="16" t="s">
        <v>27</v>
      </c>
      <c r="K751" s="16" t="s">
        <v>588</v>
      </c>
      <c r="L751" s="16" t="s">
        <v>35</v>
      </c>
      <c r="M751" s="17">
        <v>650</v>
      </c>
      <c r="N751" s="23">
        <v>1.29</v>
      </c>
      <c r="O751" s="16" t="s">
        <v>67</v>
      </c>
      <c r="P751" s="16" t="s">
        <v>63</v>
      </c>
      <c r="Q751" s="16" t="s">
        <v>3564</v>
      </c>
      <c r="R751" s="16" t="s">
        <v>3565</v>
      </c>
      <c r="S751" s="12" t="s">
        <v>3569</v>
      </c>
      <c r="T751" s="13">
        <v>45981</v>
      </c>
      <c r="U751" s="19"/>
      <c r="V751" s="53">
        <f>M751-Z751-AB751-AD751-AF751-AH751-AJ751-AL751-AN751-AP751-AR751-AT751-AV751-AX751-AZ751-BB751-BD751-BF751-BH751-U751</f>
        <v>-0.60000000000002274</v>
      </c>
      <c r="W751" s="22" t="s">
        <v>3589</v>
      </c>
      <c r="X751" s="16" t="s">
        <v>29</v>
      </c>
      <c r="Y751" s="9"/>
      <c r="Z751" s="19">
        <v>650.6</v>
      </c>
      <c r="AA751" s="252">
        <v>45978</v>
      </c>
    </row>
    <row r="752" spans="1:33" s="28" customFormat="1" ht="20.25" customHeight="1">
      <c r="A752" s="11">
        <v>45960</v>
      </c>
      <c r="B752" s="16" t="s">
        <v>3527</v>
      </c>
      <c r="C752" s="16" t="s">
        <v>535</v>
      </c>
      <c r="D752" s="16" t="s">
        <v>212</v>
      </c>
      <c r="E752" s="16" t="s">
        <v>25</v>
      </c>
      <c r="F752" s="16" t="s">
        <v>3547</v>
      </c>
      <c r="G752" s="16" t="s">
        <v>71</v>
      </c>
      <c r="H752" s="16" t="s">
        <v>26</v>
      </c>
      <c r="I752" s="16"/>
      <c r="J752" s="16" t="s">
        <v>27</v>
      </c>
      <c r="K752" s="16" t="s">
        <v>1346</v>
      </c>
      <c r="L752" s="16" t="s">
        <v>35</v>
      </c>
      <c r="M752" s="17">
        <v>10</v>
      </c>
      <c r="N752" s="23">
        <v>1.29</v>
      </c>
      <c r="O752" s="16" t="s">
        <v>67</v>
      </c>
      <c r="P752" s="16" t="s">
        <v>63</v>
      </c>
      <c r="Q752" s="16" t="s">
        <v>3566</v>
      </c>
      <c r="R752" s="16" t="s">
        <v>3567</v>
      </c>
      <c r="S752" s="12" t="s">
        <v>3489</v>
      </c>
      <c r="T752" s="13">
        <v>45974</v>
      </c>
      <c r="U752" s="19"/>
      <c r="V752" s="53">
        <f>M752-Z752-AB752-AD752-AF752-AH752-AJ752-AL752-AN752-AP752-AR752-AT752-AV752-AX752-AZ752-BB752-BD752-BF752-BH752-U752</f>
        <v>-0.80000000000000071</v>
      </c>
      <c r="W752" s="22" t="s">
        <v>3590</v>
      </c>
      <c r="X752" s="16" t="s">
        <v>29</v>
      </c>
      <c r="Y752" s="9"/>
      <c r="Z752" s="19">
        <v>10.8</v>
      </c>
      <c r="AA752" s="252">
        <v>45966</v>
      </c>
    </row>
    <row r="753" spans="1:29" s="28" customFormat="1" ht="20.25" customHeight="1">
      <c r="A753" s="11">
        <v>45960</v>
      </c>
      <c r="B753" s="16" t="s">
        <v>3528</v>
      </c>
      <c r="C753" s="16" t="s">
        <v>304</v>
      </c>
      <c r="D753" s="16" t="s">
        <v>212</v>
      </c>
      <c r="E753" s="16" t="s">
        <v>25</v>
      </c>
      <c r="F753" s="16" t="s">
        <v>3548</v>
      </c>
      <c r="G753" s="16" t="s">
        <v>71</v>
      </c>
      <c r="H753" s="16" t="s">
        <v>31</v>
      </c>
      <c r="I753" s="1"/>
      <c r="J753" s="1" t="s">
        <v>27</v>
      </c>
      <c r="K753" s="16" t="s">
        <v>250</v>
      </c>
      <c r="L753" s="1" t="s">
        <v>35</v>
      </c>
      <c r="M753" s="17">
        <v>300</v>
      </c>
      <c r="N753" s="23">
        <v>1.29</v>
      </c>
      <c r="O753" s="16" t="s">
        <v>67</v>
      </c>
      <c r="P753" s="16" t="s">
        <v>63</v>
      </c>
      <c r="Q753" s="16" t="s">
        <v>29</v>
      </c>
      <c r="R753" s="16" t="s">
        <v>2865</v>
      </c>
      <c r="S753" s="12" t="s">
        <v>3489</v>
      </c>
      <c r="T753" s="13">
        <v>45974</v>
      </c>
      <c r="U753" s="19"/>
      <c r="V753" s="53">
        <f>M753-Z753-AB753-AD753-AF753-AH753-AJ753-AL753-AN753-AP753-AR753-AT753-AV753-AX753-AZ753-BB753-BD753-BF753-BH753-U753</f>
        <v>-6.6999999999999886</v>
      </c>
      <c r="W753" s="22" t="s">
        <v>3591</v>
      </c>
      <c r="X753" s="16" t="s">
        <v>29</v>
      </c>
      <c r="Y753" s="9"/>
      <c r="Z753" s="19">
        <v>306.7</v>
      </c>
      <c r="AA753" s="252">
        <v>45967</v>
      </c>
    </row>
    <row r="754" spans="1:29" s="36" customFormat="1" ht="20.25" customHeight="1">
      <c r="A754" s="7">
        <v>45960</v>
      </c>
      <c r="B754" s="19" t="s">
        <v>3529</v>
      </c>
      <c r="C754" s="19" t="s">
        <v>304</v>
      </c>
      <c r="D754" s="19" t="s">
        <v>212</v>
      </c>
      <c r="E754" s="19" t="s">
        <v>25</v>
      </c>
      <c r="F754" s="19" t="s">
        <v>3549</v>
      </c>
      <c r="G754" s="19" t="s">
        <v>71</v>
      </c>
      <c r="H754" s="19" t="s">
        <v>31</v>
      </c>
      <c r="I754" s="270"/>
      <c r="J754" s="270" t="s">
        <v>27</v>
      </c>
      <c r="K754" s="19" t="s">
        <v>2123</v>
      </c>
      <c r="L754" s="270" t="s">
        <v>35</v>
      </c>
      <c r="M754" s="20">
        <v>390</v>
      </c>
      <c r="N754" s="25">
        <v>1.29</v>
      </c>
      <c r="O754" s="19" t="s">
        <v>67</v>
      </c>
      <c r="P754" s="19" t="s">
        <v>63</v>
      </c>
      <c r="Q754" s="19" t="s">
        <v>29</v>
      </c>
      <c r="R754" s="19" t="s">
        <v>3568</v>
      </c>
      <c r="S754" s="45" t="s">
        <v>3489</v>
      </c>
      <c r="T754" s="8">
        <v>45974</v>
      </c>
      <c r="U754" s="19"/>
      <c r="V754" s="55">
        <f>M754-Z754-AB754-AD754-AF754-AH754-AJ754-AL754-AN754-AP754-AR754-AT754-AV754-AX754-AZ754-BB754-BD754-BF754-BH754-U754</f>
        <v>-1.6000000000000227</v>
      </c>
      <c r="W754" s="15" t="s">
        <v>3592</v>
      </c>
      <c r="X754" s="19" t="s">
        <v>29</v>
      </c>
      <c r="Y754" s="10"/>
      <c r="Z754" s="19">
        <v>294.60000000000002</v>
      </c>
      <c r="AA754" s="123">
        <v>45967</v>
      </c>
      <c r="AB754" s="19">
        <v>97</v>
      </c>
      <c r="AC754" s="123">
        <v>45972</v>
      </c>
    </row>
    <row r="755" spans="1:29" s="36" customFormat="1" ht="20.25" customHeight="1">
      <c r="A755" s="7">
        <v>45960</v>
      </c>
      <c r="B755" s="19" t="s">
        <v>3530</v>
      </c>
      <c r="C755" s="19" t="s">
        <v>304</v>
      </c>
      <c r="D755" s="19" t="s">
        <v>212</v>
      </c>
      <c r="E755" s="19" t="s">
        <v>25</v>
      </c>
      <c r="F755" s="19" t="s">
        <v>3550</v>
      </c>
      <c r="G755" s="19" t="s">
        <v>71</v>
      </c>
      <c r="H755" s="19" t="s">
        <v>31</v>
      </c>
      <c r="I755" s="19"/>
      <c r="J755" s="19" t="s">
        <v>27</v>
      </c>
      <c r="K755" s="19" t="s">
        <v>2975</v>
      </c>
      <c r="L755" s="19" t="s">
        <v>35</v>
      </c>
      <c r="M755" s="20">
        <v>940</v>
      </c>
      <c r="N755" s="25">
        <v>1.29</v>
      </c>
      <c r="O755" s="19" t="s">
        <v>67</v>
      </c>
      <c r="P755" s="19" t="s">
        <v>63</v>
      </c>
      <c r="Q755" s="19" t="s">
        <v>29</v>
      </c>
      <c r="R755" s="19" t="s">
        <v>2865</v>
      </c>
      <c r="S755" s="45" t="s">
        <v>3489</v>
      </c>
      <c r="T755" s="8">
        <v>45974</v>
      </c>
      <c r="U755" s="19"/>
      <c r="V755" s="55">
        <f>M755-Z755-AB755-AD755-AF755-AH755-AJ755-AL755-AN755-AP755-AR755-AT755-AV755-AX755-AZ755-BB755-BD755-BF755-BH755-U755</f>
        <v>-3</v>
      </c>
      <c r="W755" s="15" t="s">
        <v>3593</v>
      </c>
      <c r="X755" s="19" t="s">
        <v>29</v>
      </c>
      <c r="Y755" s="10"/>
      <c r="Z755" s="19">
        <f>149.5+273.4</f>
        <v>422.9</v>
      </c>
      <c r="AA755" s="123">
        <v>45972</v>
      </c>
      <c r="AB755" s="19">
        <v>520.1</v>
      </c>
      <c r="AC755" s="123">
        <v>45975</v>
      </c>
    </row>
    <row r="756" spans="1:29" s="28" customFormat="1" ht="20.25" customHeight="1">
      <c r="A756" s="11">
        <v>45961</v>
      </c>
      <c r="B756" s="16" t="s">
        <v>3614</v>
      </c>
      <c r="C756" s="16" t="s">
        <v>304</v>
      </c>
      <c r="D756" s="16" t="s">
        <v>212</v>
      </c>
      <c r="E756" s="16" t="s">
        <v>34</v>
      </c>
      <c r="F756" s="16" t="s">
        <v>3618</v>
      </c>
      <c r="G756" s="16" t="s">
        <v>71</v>
      </c>
      <c r="H756" s="16" t="s">
        <v>31</v>
      </c>
      <c r="I756" s="1"/>
      <c r="J756" s="1" t="s">
        <v>27</v>
      </c>
      <c r="K756" s="16" t="s">
        <v>966</v>
      </c>
      <c r="L756" s="1" t="s">
        <v>35</v>
      </c>
      <c r="M756" s="17">
        <v>25</v>
      </c>
      <c r="N756" s="6">
        <v>1.29</v>
      </c>
      <c r="O756" s="1" t="s">
        <v>67</v>
      </c>
      <c r="P756" s="1" t="s">
        <v>63</v>
      </c>
      <c r="Q756" s="1" t="s">
        <v>29</v>
      </c>
      <c r="R756" s="1" t="s">
        <v>2863</v>
      </c>
      <c r="S756" s="121" t="s">
        <v>3622</v>
      </c>
      <c r="T756" s="13">
        <v>45975</v>
      </c>
      <c r="U756" s="19"/>
      <c r="V756" s="53">
        <f>M756-Z756-AB756-AD756-AF756-AH756-AJ756-AL756-AN756-AP756-AR756-AT756-AV756-AX756-AZ756-BB756-BD756-BF756-BH756-U756</f>
        <v>-3.1000000000000014</v>
      </c>
      <c r="W756" s="22" t="s">
        <v>3623</v>
      </c>
      <c r="X756" s="16"/>
      <c r="Y756" s="9"/>
      <c r="Z756" s="19">
        <v>28.1</v>
      </c>
      <c r="AA756" s="252">
        <v>45972</v>
      </c>
    </row>
    <row r="757" spans="1:29" s="28" customFormat="1" ht="20.25" customHeight="1">
      <c r="A757" s="11">
        <v>45961</v>
      </c>
      <c r="B757" s="16" t="s">
        <v>3615</v>
      </c>
      <c r="C757" s="16" t="s">
        <v>304</v>
      </c>
      <c r="D757" s="16" t="s">
        <v>212</v>
      </c>
      <c r="E757" s="16" t="s">
        <v>34</v>
      </c>
      <c r="F757" s="16" t="s">
        <v>3619</v>
      </c>
      <c r="G757" s="16" t="s">
        <v>71</v>
      </c>
      <c r="H757" s="16" t="s">
        <v>31</v>
      </c>
      <c r="I757" s="1"/>
      <c r="J757" s="1" t="s">
        <v>27</v>
      </c>
      <c r="K757" s="16" t="s">
        <v>1476</v>
      </c>
      <c r="L757" s="1" t="s">
        <v>35</v>
      </c>
      <c r="M757" s="17">
        <v>25</v>
      </c>
      <c r="N757" s="6">
        <v>1.29</v>
      </c>
      <c r="O757" s="1" t="s">
        <v>1063</v>
      </c>
      <c r="P757" s="1" t="s">
        <v>63</v>
      </c>
      <c r="Q757" s="1" t="s">
        <v>29</v>
      </c>
      <c r="R757" s="1" t="s">
        <v>3093</v>
      </c>
      <c r="S757" s="121" t="s">
        <v>3622</v>
      </c>
      <c r="T757" s="13">
        <v>45975</v>
      </c>
      <c r="U757" s="19"/>
      <c r="V757" s="53">
        <f>M757-Z757-AB757-AD757-AF757-AH757-AJ757-AL757-AN757-AP757-AR757-AT757-AV757-AX757-AZ757-BB757-BD757-BF757-BH757-U757</f>
        <v>-1.6000000000000014</v>
      </c>
      <c r="W757" s="22" t="s">
        <v>3624</v>
      </c>
      <c r="X757" s="16"/>
      <c r="Y757" s="9"/>
      <c r="Z757" s="19">
        <v>26.6</v>
      </c>
      <c r="AA757" s="252">
        <v>45972</v>
      </c>
    </row>
    <row r="758" spans="1:29" s="28" customFormat="1" ht="20.25" customHeight="1">
      <c r="A758" s="11">
        <v>45961</v>
      </c>
      <c r="B758" s="16" t="s">
        <v>3616</v>
      </c>
      <c r="C758" s="16" t="s">
        <v>304</v>
      </c>
      <c r="D758" s="16" t="s">
        <v>212</v>
      </c>
      <c r="E758" s="16" t="s">
        <v>34</v>
      </c>
      <c r="F758" s="16" t="s">
        <v>3620</v>
      </c>
      <c r="G758" s="16" t="s">
        <v>71</v>
      </c>
      <c r="H758" s="16" t="s">
        <v>31</v>
      </c>
      <c r="I758" s="1"/>
      <c r="J758" s="1" t="s">
        <v>27</v>
      </c>
      <c r="K758" s="16" t="s">
        <v>1346</v>
      </c>
      <c r="L758" s="1" t="s">
        <v>35</v>
      </c>
      <c r="M758" s="17">
        <v>25</v>
      </c>
      <c r="N758" s="6">
        <v>1.29</v>
      </c>
      <c r="O758" s="1" t="s">
        <v>67</v>
      </c>
      <c r="P758" s="1" t="s">
        <v>63</v>
      </c>
      <c r="Q758" s="1" t="s">
        <v>29</v>
      </c>
      <c r="R758" s="1" t="s">
        <v>3093</v>
      </c>
      <c r="S758" s="121" t="s">
        <v>3622</v>
      </c>
      <c r="T758" s="13">
        <v>45975</v>
      </c>
      <c r="U758" s="19"/>
      <c r="V758" s="53">
        <f>M758-Z758-AB758-AD758-AF758-AH758-AJ758-AL758-AN758-AP758-AR758-AT758-AV758-AX758-AZ758-BB758-BD758-BF758-BH758-U758</f>
        <v>-1.3000000000000007</v>
      </c>
      <c r="W758" s="22" t="s">
        <v>3625</v>
      </c>
      <c r="X758" s="16"/>
      <c r="Y758" s="9"/>
      <c r="Z758" s="19">
        <v>26.3</v>
      </c>
      <c r="AA758" s="252">
        <v>45972</v>
      </c>
    </row>
    <row r="759" spans="1:29" s="28" customFormat="1" ht="20.25" customHeight="1">
      <c r="A759" s="11">
        <v>45961</v>
      </c>
      <c r="B759" s="16" t="s">
        <v>3617</v>
      </c>
      <c r="C759" s="16" t="s">
        <v>304</v>
      </c>
      <c r="D759" s="16" t="s">
        <v>212</v>
      </c>
      <c r="E759" s="16" t="s">
        <v>34</v>
      </c>
      <c r="F759" s="16" t="s">
        <v>3621</v>
      </c>
      <c r="G759" s="16" t="s">
        <v>71</v>
      </c>
      <c r="H759" s="16" t="s">
        <v>31</v>
      </c>
      <c r="I759" s="1"/>
      <c r="J759" s="1" t="s">
        <v>27</v>
      </c>
      <c r="K759" s="16" t="s">
        <v>3111</v>
      </c>
      <c r="L759" s="1" t="s">
        <v>35</v>
      </c>
      <c r="M759" s="17">
        <v>25</v>
      </c>
      <c r="N759" s="6">
        <v>1.29</v>
      </c>
      <c r="O759" s="1" t="s">
        <v>1063</v>
      </c>
      <c r="P759" s="1" t="s">
        <v>63</v>
      </c>
      <c r="Q759" s="1" t="s">
        <v>29</v>
      </c>
      <c r="R759" s="1" t="s">
        <v>2863</v>
      </c>
      <c r="S759" s="121" t="s">
        <v>3622</v>
      </c>
      <c r="T759" s="13">
        <v>45975</v>
      </c>
      <c r="U759" s="301"/>
      <c r="V759" s="53">
        <f>M759-Z759-AB759-AD759-AF759-AH759-AJ759-AL759-AN759-AP759-AR759-AT759-AV759-AX759-AZ759-BB759-BD759-BF759-BH759-U759</f>
        <v>-2.5</v>
      </c>
      <c r="W759" s="22" t="s">
        <v>3626</v>
      </c>
      <c r="X759" s="16"/>
      <c r="Y759" s="9"/>
      <c r="Z759" s="301">
        <v>27.5</v>
      </c>
      <c r="AA759" s="252">
        <v>45972</v>
      </c>
    </row>
    <row r="760" spans="1:29" s="28" customFormat="1" ht="20.25" customHeight="1">
      <c r="A760" s="11">
        <v>45961</v>
      </c>
      <c r="B760" s="16" t="s">
        <v>3627</v>
      </c>
      <c r="C760" s="16" t="s">
        <v>267</v>
      </c>
      <c r="D760" s="16" t="s">
        <v>212</v>
      </c>
      <c r="E760" s="16" t="s">
        <v>25</v>
      </c>
      <c r="F760" s="16" t="s">
        <v>3636</v>
      </c>
      <c r="G760" s="16" t="s">
        <v>71</v>
      </c>
      <c r="H760" s="16" t="s">
        <v>26</v>
      </c>
      <c r="I760" s="1"/>
      <c r="J760" s="1" t="s">
        <v>27</v>
      </c>
      <c r="K760" s="16" t="s">
        <v>782</v>
      </c>
      <c r="L760" s="1" t="s">
        <v>35</v>
      </c>
      <c r="M760" s="17">
        <v>140</v>
      </c>
      <c r="N760" s="6">
        <v>1.29</v>
      </c>
      <c r="O760" s="1" t="s">
        <v>67</v>
      </c>
      <c r="P760" s="1" t="s">
        <v>63</v>
      </c>
      <c r="Q760" s="1" t="s">
        <v>29</v>
      </c>
      <c r="R760" s="1" t="s">
        <v>3055</v>
      </c>
      <c r="S760" s="121" t="s">
        <v>3622</v>
      </c>
      <c r="T760" s="13">
        <v>45975</v>
      </c>
      <c r="U760" s="19"/>
      <c r="V760" s="53">
        <f>M760-Z760-AB760-AD760-AF760-AH760-AJ760-AL760-AN760-AP760-AR760-AT760-AV760-AX760-AZ760-BB760-BD760-BF760-BH760-U760</f>
        <v>-2.5999999999999943</v>
      </c>
      <c r="W760" s="22" t="s">
        <v>3652</v>
      </c>
      <c r="X760" s="16" t="s">
        <v>29</v>
      </c>
      <c r="Y760" s="9"/>
      <c r="Z760" s="19">
        <v>142.6</v>
      </c>
      <c r="AA760" s="252">
        <v>45981</v>
      </c>
    </row>
    <row r="761" spans="1:29" s="28" customFormat="1" ht="20.25" customHeight="1">
      <c r="A761" s="11">
        <v>45961</v>
      </c>
      <c r="B761" s="16" t="s">
        <v>3628</v>
      </c>
      <c r="C761" s="16" t="s">
        <v>267</v>
      </c>
      <c r="D761" s="16" t="s">
        <v>212</v>
      </c>
      <c r="E761" s="16" t="s">
        <v>25</v>
      </c>
      <c r="F761" s="16" t="s">
        <v>3637</v>
      </c>
      <c r="G761" s="16" t="s">
        <v>71</v>
      </c>
      <c r="H761" s="16" t="s">
        <v>31</v>
      </c>
      <c r="I761" s="1"/>
      <c r="J761" s="1" t="s">
        <v>27</v>
      </c>
      <c r="K761" s="16" t="s">
        <v>966</v>
      </c>
      <c r="L761" s="1" t="s">
        <v>35</v>
      </c>
      <c r="M761" s="17">
        <v>290</v>
      </c>
      <c r="N761" s="6">
        <v>1.29</v>
      </c>
      <c r="O761" s="1" t="s">
        <v>67</v>
      </c>
      <c r="P761" s="1" t="s">
        <v>63</v>
      </c>
      <c r="Q761" s="1" t="s">
        <v>29</v>
      </c>
      <c r="R761" s="1" t="s">
        <v>2865</v>
      </c>
      <c r="S761" s="121" t="s">
        <v>3622</v>
      </c>
      <c r="T761" s="13">
        <v>45975</v>
      </c>
      <c r="U761" s="19"/>
      <c r="V761" s="53">
        <f>M761-Z761-AB761-AD761-AF761-AH761-AJ761-AL761-AN761-AP761-AR761-AT761-AV761-AX761-AZ761-BB761-BD761-BF761-BH761-U761</f>
        <v>-0.60000000000002274</v>
      </c>
      <c r="W761" s="22" t="s">
        <v>3653</v>
      </c>
      <c r="X761" s="16" t="s">
        <v>29</v>
      </c>
      <c r="Y761" s="9"/>
      <c r="Z761" s="19">
        <v>290.60000000000002</v>
      </c>
      <c r="AA761" s="252">
        <v>45972</v>
      </c>
    </row>
    <row r="762" spans="1:29" s="36" customFormat="1" ht="20.25" customHeight="1">
      <c r="A762" s="7">
        <v>45961</v>
      </c>
      <c r="B762" s="19" t="s">
        <v>3629</v>
      </c>
      <c r="C762" s="19" t="s">
        <v>267</v>
      </c>
      <c r="D762" s="19" t="s">
        <v>212</v>
      </c>
      <c r="E762" s="19" t="s">
        <v>25</v>
      </c>
      <c r="F762" s="19" t="s">
        <v>3638</v>
      </c>
      <c r="G762" s="19" t="s">
        <v>71</v>
      </c>
      <c r="H762" s="19" t="s">
        <v>31</v>
      </c>
      <c r="I762" s="19"/>
      <c r="J762" s="19" t="s">
        <v>27</v>
      </c>
      <c r="K762" s="19" t="s">
        <v>3111</v>
      </c>
      <c r="L762" s="19" t="s">
        <v>35</v>
      </c>
      <c r="M762" s="20">
        <v>900</v>
      </c>
      <c r="N762" s="25">
        <v>1.29</v>
      </c>
      <c r="O762" s="19" t="s">
        <v>67</v>
      </c>
      <c r="P762" s="19" t="s">
        <v>63</v>
      </c>
      <c r="Q762" s="19" t="s">
        <v>29</v>
      </c>
      <c r="R762" s="19" t="s">
        <v>2865</v>
      </c>
      <c r="S762" s="45" t="s">
        <v>3622</v>
      </c>
      <c r="T762" s="8">
        <v>45975</v>
      </c>
      <c r="U762" s="19"/>
      <c r="V762" s="55">
        <f>M762-Z762-AB762-AD762-AF762-AH762-AJ762-AL762-AN762-AP762-AR762-AT762-AV762-AX762-AZ762-BB762-BD762-BF762-BH762-U762</f>
        <v>-0.5</v>
      </c>
      <c r="W762" s="15" t="s">
        <v>3654</v>
      </c>
      <c r="X762" s="19" t="s">
        <v>29</v>
      </c>
      <c r="Y762" s="10"/>
      <c r="Z762" s="19">
        <v>564.9</v>
      </c>
      <c r="AA762" s="123">
        <v>45972</v>
      </c>
      <c r="AB762" s="19">
        <v>335.6</v>
      </c>
      <c r="AC762" s="123">
        <v>45975</v>
      </c>
    </row>
    <row r="763" spans="1:29" s="36" customFormat="1" ht="20.25" customHeight="1">
      <c r="A763" s="7">
        <v>45961</v>
      </c>
      <c r="B763" s="19" t="s">
        <v>3630</v>
      </c>
      <c r="C763" s="19" t="s">
        <v>267</v>
      </c>
      <c r="D763" s="19" t="s">
        <v>212</v>
      </c>
      <c r="E763" s="19" t="s">
        <v>25</v>
      </c>
      <c r="F763" s="19" t="s">
        <v>3639</v>
      </c>
      <c r="G763" s="19" t="s">
        <v>71</v>
      </c>
      <c r="H763" s="19" t="s">
        <v>26</v>
      </c>
      <c r="I763" s="19"/>
      <c r="J763" s="19" t="s">
        <v>27</v>
      </c>
      <c r="K763" s="19" t="s">
        <v>1476</v>
      </c>
      <c r="L763" s="19" t="s">
        <v>35</v>
      </c>
      <c r="M763" s="20">
        <v>4080</v>
      </c>
      <c r="N763" s="25">
        <v>1.29</v>
      </c>
      <c r="O763" s="19" t="s">
        <v>1063</v>
      </c>
      <c r="P763" s="19" t="s">
        <v>63</v>
      </c>
      <c r="Q763" s="19" t="s">
        <v>29</v>
      </c>
      <c r="R763" s="19" t="s">
        <v>509</v>
      </c>
      <c r="S763" s="45" t="s">
        <v>3487</v>
      </c>
      <c r="T763" s="8">
        <v>45982</v>
      </c>
      <c r="U763" s="19"/>
      <c r="V763" s="55">
        <f>M763-Z763-AB763-AD763-AF763-AH763-AJ763-AL763-AN763-AP763-AR763-AT763-AV763-AX763-AZ763-BB763-BD763-BF763-BH763-U763</f>
        <v>-3.3999999999996362</v>
      </c>
      <c r="W763" s="15" t="s">
        <v>3655</v>
      </c>
      <c r="X763" s="19" t="s">
        <v>29</v>
      </c>
      <c r="Y763" s="10"/>
      <c r="Z763" s="19">
        <f>1453.3+2630.1</f>
        <v>4083.3999999999996</v>
      </c>
      <c r="AA763" s="123">
        <v>45975</v>
      </c>
    </row>
    <row r="764" spans="1:29" s="28" customFormat="1" ht="20.25" customHeight="1">
      <c r="A764" s="11">
        <v>45961</v>
      </c>
      <c r="B764" s="16" t="s">
        <v>3631</v>
      </c>
      <c r="C764" s="16" t="s">
        <v>382</v>
      </c>
      <c r="D764" s="16" t="s">
        <v>212</v>
      </c>
      <c r="E764" s="16" t="s">
        <v>25</v>
      </c>
      <c r="F764" s="16" t="s">
        <v>3640</v>
      </c>
      <c r="G764" s="16" t="s">
        <v>71</v>
      </c>
      <c r="H764" s="16" t="s">
        <v>31</v>
      </c>
      <c r="I764" s="16"/>
      <c r="J764" s="16" t="s">
        <v>27</v>
      </c>
      <c r="K764" s="16" t="s">
        <v>3645</v>
      </c>
      <c r="L764" s="16" t="s">
        <v>35</v>
      </c>
      <c r="M764" s="17">
        <v>2709.42</v>
      </c>
      <c r="N764" s="23">
        <v>1.29</v>
      </c>
      <c r="O764" s="16" t="s">
        <v>67</v>
      </c>
      <c r="P764" s="16" t="s">
        <v>63</v>
      </c>
      <c r="Q764" s="16" t="s">
        <v>389</v>
      </c>
      <c r="R764" s="16" t="s">
        <v>3647</v>
      </c>
      <c r="S764" s="12" t="s">
        <v>3622</v>
      </c>
      <c r="T764" s="13">
        <v>45986</v>
      </c>
      <c r="U764" s="19"/>
      <c r="V764" s="53">
        <f>M764-Z764-AB764-AD764-AF764-AH764-AJ764-AL764-AN764-AP764-AR764-AT764-AV764-AX764-AZ764-BB764-BD764-BF764-BH764-U764</f>
        <v>-0.27999999999974534</v>
      </c>
      <c r="W764" s="22" t="s">
        <v>3656</v>
      </c>
      <c r="X764" s="16" t="s">
        <v>29</v>
      </c>
      <c r="Y764" s="9"/>
      <c r="Z764" s="19">
        <f>1371.2+1338.5</f>
        <v>2709.7</v>
      </c>
      <c r="AA764" s="252">
        <v>45980</v>
      </c>
    </row>
    <row r="765" spans="1:29" s="28" customFormat="1" ht="20.25" customHeight="1">
      <c r="A765" s="11">
        <v>45961</v>
      </c>
      <c r="B765" s="16" t="s">
        <v>3631</v>
      </c>
      <c r="C765" s="16" t="s">
        <v>382</v>
      </c>
      <c r="D765" s="16" t="s">
        <v>212</v>
      </c>
      <c r="E765" s="16" t="s">
        <v>25</v>
      </c>
      <c r="F765" s="16" t="s">
        <v>3640</v>
      </c>
      <c r="G765" s="16" t="s">
        <v>2455</v>
      </c>
      <c r="H765" s="16" t="s">
        <v>31</v>
      </c>
      <c r="I765" s="16"/>
      <c r="J765" s="16" t="s">
        <v>27</v>
      </c>
      <c r="K765" s="16" t="s">
        <v>384</v>
      </c>
      <c r="L765" s="16" t="s">
        <v>35</v>
      </c>
      <c r="M765" s="17">
        <v>204</v>
      </c>
      <c r="N765" s="23">
        <v>1.29</v>
      </c>
      <c r="O765" s="16" t="s">
        <v>67</v>
      </c>
      <c r="P765" s="16" t="s">
        <v>63</v>
      </c>
      <c r="Q765" s="16" t="s">
        <v>2463</v>
      </c>
      <c r="R765" s="16" t="s">
        <v>2464</v>
      </c>
      <c r="S765" s="12" t="s">
        <v>3622</v>
      </c>
      <c r="T765" s="13">
        <v>45986</v>
      </c>
      <c r="U765" s="19"/>
      <c r="V765" s="53">
        <f>M765-Z765-AB765-AD765-AF765-AH765-AJ765-AL765-AN765-AP765-AR765-AT765-AV765-AX765-AZ765-BB765-BD765-BF765-BH765-U765</f>
        <v>-9.9999999999994316E-2</v>
      </c>
      <c r="W765" s="22" t="s">
        <v>3735</v>
      </c>
      <c r="X765" s="16" t="s">
        <v>29</v>
      </c>
      <c r="Y765" s="9"/>
      <c r="Z765" s="19">
        <v>204.1</v>
      </c>
      <c r="AA765" s="252">
        <v>45980</v>
      </c>
    </row>
    <row r="766" spans="1:29" s="28" customFormat="1" ht="20.25" customHeight="1">
      <c r="A766" s="11">
        <v>45961</v>
      </c>
      <c r="B766" s="16" t="s">
        <v>3632</v>
      </c>
      <c r="C766" s="16" t="s">
        <v>298</v>
      </c>
      <c r="D766" s="16" t="s">
        <v>212</v>
      </c>
      <c r="E766" s="16" t="s">
        <v>25</v>
      </c>
      <c r="F766" s="16" t="s">
        <v>3641</v>
      </c>
      <c r="G766" s="16" t="s">
        <v>71</v>
      </c>
      <c r="H766" s="16" t="s">
        <v>31</v>
      </c>
      <c r="I766" s="16"/>
      <c r="J766" s="16" t="s">
        <v>27</v>
      </c>
      <c r="K766" s="16" t="s">
        <v>1012</v>
      </c>
      <c r="L766" s="16" t="s">
        <v>35</v>
      </c>
      <c r="M766" s="17">
        <v>7000</v>
      </c>
      <c r="N766" s="23">
        <v>1.29</v>
      </c>
      <c r="O766" s="16" t="s">
        <v>67</v>
      </c>
      <c r="P766" s="16" t="s">
        <v>63</v>
      </c>
      <c r="Q766" s="16" t="s">
        <v>29</v>
      </c>
      <c r="R766" s="16" t="s">
        <v>29</v>
      </c>
      <c r="S766" s="12" t="s">
        <v>3650</v>
      </c>
      <c r="T766" s="13">
        <v>45986</v>
      </c>
      <c r="U766" s="19"/>
      <c r="V766" s="53">
        <f>M766-Z766-AB766-AD766-AF766-AH766-AJ766-AL766-AN766-AP766-AR766-AT766-AV766-AX766-AZ766-BB766-BD766-BF766-BH766-U766</f>
        <v>-2.3000000000001819</v>
      </c>
      <c r="W766" s="22" t="s">
        <v>3657</v>
      </c>
      <c r="X766" s="16" t="s">
        <v>29</v>
      </c>
      <c r="Y766" s="9"/>
      <c r="Z766" s="19">
        <f>565.4+2887.9+3549</f>
        <v>7002.3</v>
      </c>
      <c r="AA766" s="252">
        <v>45978</v>
      </c>
    </row>
    <row r="767" spans="1:29" s="28" customFormat="1" ht="20.25" customHeight="1">
      <c r="A767" s="11">
        <v>45961</v>
      </c>
      <c r="B767" s="16" t="s">
        <v>3632</v>
      </c>
      <c r="C767" s="16" t="s">
        <v>298</v>
      </c>
      <c r="D767" s="19" t="s">
        <v>212</v>
      </c>
      <c r="E767" s="16" t="s">
        <v>25</v>
      </c>
      <c r="F767" s="16" t="s">
        <v>3641</v>
      </c>
      <c r="G767" s="16" t="s">
        <v>71</v>
      </c>
      <c r="H767" s="16" t="s">
        <v>31</v>
      </c>
      <c r="I767" s="1"/>
      <c r="J767" s="1" t="s">
        <v>27</v>
      </c>
      <c r="K767" s="16" t="s">
        <v>1012</v>
      </c>
      <c r="L767" s="1" t="s">
        <v>35</v>
      </c>
      <c r="M767" s="17">
        <v>8660</v>
      </c>
      <c r="N767" s="23">
        <v>1.29</v>
      </c>
      <c r="O767" s="16" t="s">
        <v>67</v>
      </c>
      <c r="P767" s="16" t="s">
        <v>63</v>
      </c>
      <c r="Q767" s="16" t="s">
        <v>29</v>
      </c>
      <c r="R767" s="16" t="s">
        <v>29</v>
      </c>
      <c r="S767" s="12" t="s">
        <v>3651</v>
      </c>
      <c r="T767" s="13">
        <v>46011</v>
      </c>
      <c r="U767" s="19"/>
      <c r="V767" s="53">
        <f>M767-Z767-AB767-AD767-AF767-AH767-AJ767-AL767-AN767-AP767-AR767-AT767-AV767-AX767-AZ767-BB767-BD767-BF767-BH767-U767</f>
        <v>-0.80000000000109139</v>
      </c>
      <c r="W767" s="22" t="s">
        <v>3658</v>
      </c>
      <c r="X767" s="16" t="s">
        <v>29</v>
      </c>
      <c r="Y767" s="9"/>
      <c r="Z767" s="19">
        <f>25.1+427.9+15</f>
        <v>468</v>
      </c>
      <c r="AA767" s="252">
        <v>45978</v>
      </c>
      <c r="AB767" s="19">
        <f>2195.6+4571+1426.2</f>
        <v>8192.8000000000011</v>
      </c>
      <c r="AC767" s="252">
        <v>46006</v>
      </c>
    </row>
    <row r="768" spans="1:29" s="36" customFormat="1" ht="20.25" customHeight="1">
      <c r="A768" s="7">
        <v>45961</v>
      </c>
      <c r="B768" s="19" t="s">
        <v>3633</v>
      </c>
      <c r="C768" s="19" t="s">
        <v>400</v>
      </c>
      <c r="D768" s="19" t="s">
        <v>212</v>
      </c>
      <c r="E768" s="19" t="s">
        <v>25</v>
      </c>
      <c r="F768" s="19" t="s">
        <v>3642</v>
      </c>
      <c r="G768" s="19" t="s">
        <v>71</v>
      </c>
      <c r="H768" s="19" t="s">
        <v>26</v>
      </c>
      <c r="I768" s="19"/>
      <c r="J768" s="19" t="s">
        <v>27</v>
      </c>
      <c r="K768" s="19" t="s">
        <v>3646</v>
      </c>
      <c r="L768" s="19" t="s">
        <v>35</v>
      </c>
      <c r="M768" s="20">
        <v>1358.27</v>
      </c>
      <c r="N768" s="25">
        <v>1.29</v>
      </c>
      <c r="O768" s="19" t="s">
        <v>67</v>
      </c>
      <c r="P768" s="19" t="s">
        <v>63</v>
      </c>
      <c r="Q768" s="19" t="s">
        <v>725</v>
      </c>
      <c r="R768" s="19" t="s">
        <v>3648</v>
      </c>
      <c r="S768" s="45" t="s">
        <v>3622</v>
      </c>
      <c r="T768" s="8">
        <v>45992</v>
      </c>
      <c r="U768" s="19"/>
      <c r="V768" s="55">
        <f>M768-Z768-AB768-AD768-AF768-AH768-AJ768-AL768-AN768-AP768-AR768-AT768-AV768-AX768-AZ768-BB768-BD768-BF768-BH768-U768</f>
        <v>-0.23000000000001819</v>
      </c>
      <c r="W768" s="15" t="s">
        <v>3659</v>
      </c>
      <c r="X768" s="19" t="s">
        <v>29</v>
      </c>
      <c r="Y768" s="10"/>
      <c r="Z768" s="19">
        <f>702+656.5</f>
        <v>1358.5</v>
      </c>
      <c r="AA768" s="123">
        <v>45980</v>
      </c>
    </row>
    <row r="769" spans="1:27" s="36" customFormat="1" ht="20.25" customHeight="1">
      <c r="A769" s="7">
        <v>45961</v>
      </c>
      <c r="B769" s="19" t="s">
        <v>3633</v>
      </c>
      <c r="C769" s="19" t="s">
        <v>400</v>
      </c>
      <c r="D769" s="19" t="s">
        <v>212</v>
      </c>
      <c r="E769" s="19" t="s">
        <v>25</v>
      </c>
      <c r="F769" s="19" t="s">
        <v>3642</v>
      </c>
      <c r="G769" s="19" t="s">
        <v>71</v>
      </c>
      <c r="H769" s="19" t="s">
        <v>26</v>
      </c>
      <c r="I769" s="19"/>
      <c r="J769" s="19" t="s">
        <v>27</v>
      </c>
      <c r="K769" s="19" t="s">
        <v>465</v>
      </c>
      <c r="L769" s="19" t="s">
        <v>35</v>
      </c>
      <c r="M769" s="20">
        <v>161.27000000000001</v>
      </c>
      <c r="N769" s="25">
        <v>1.29</v>
      </c>
      <c r="O769" s="19" t="s">
        <v>67</v>
      </c>
      <c r="P769" s="19" t="s">
        <v>63</v>
      </c>
      <c r="Q769" s="19" t="s">
        <v>725</v>
      </c>
      <c r="R769" s="19" t="s">
        <v>3649</v>
      </c>
      <c r="S769" s="45" t="s">
        <v>3622</v>
      </c>
      <c r="T769" s="8">
        <v>45981</v>
      </c>
      <c r="U769" s="19"/>
      <c r="V769" s="55">
        <f>M769-Z769-AB769-AD769-AF769-AH769-AJ769-AL769-AN769-AP769-AR769-AT769-AV769-AX769-AZ769-BB769-BD769-BF769-BH769-U769</f>
        <v>-1.3299999999999841</v>
      </c>
      <c r="W769" s="15" t="s">
        <v>3660</v>
      </c>
      <c r="X769" s="19" t="s">
        <v>29</v>
      </c>
      <c r="Y769" s="10"/>
      <c r="Z769" s="19">
        <v>162.6</v>
      </c>
      <c r="AA769" s="123">
        <v>45980</v>
      </c>
    </row>
    <row r="770" spans="1:27" s="36" customFormat="1" ht="20.25" customHeight="1">
      <c r="A770" s="7">
        <v>45961</v>
      </c>
      <c r="B770" s="19" t="s">
        <v>3633</v>
      </c>
      <c r="C770" s="19" t="s">
        <v>400</v>
      </c>
      <c r="D770" s="19" t="s">
        <v>212</v>
      </c>
      <c r="E770" s="19" t="s">
        <v>25</v>
      </c>
      <c r="F770" s="19" t="s">
        <v>3642</v>
      </c>
      <c r="G770" s="19" t="s">
        <v>71</v>
      </c>
      <c r="H770" s="19" t="s">
        <v>26</v>
      </c>
      <c r="I770" s="19"/>
      <c r="J770" s="19" t="s">
        <v>27</v>
      </c>
      <c r="K770" s="19" t="s">
        <v>1476</v>
      </c>
      <c r="L770" s="19" t="s">
        <v>35</v>
      </c>
      <c r="M770" s="20">
        <v>167.37</v>
      </c>
      <c r="N770" s="25">
        <v>1.29</v>
      </c>
      <c r="O770" s="19" t="s">
        <v>1063</v>
      </c>
      <c r="P770" s="19" t="s">
        <v>63</v>
      </c>
      <c r="Q770" s="19" t="s">
        <v>725</v>
      </c>
      <c r="R770" s="19" t="s">
        <v>1425</v>
      </c>
      <c r="S770" s="45" t="s">
        <v>3622</v>
      </c>
      <c r="T770" s="8">
        <v>45981</v>
      </c>
      <c r="U770" s="19"/>
      <c r="V770" s="55">
        <f>M770-Z770-AB770-AD770-AF770-AH770-AJ770-AL770-AN770-AP770-AR770-AT770-AV770-AX770-AZ770-BB770-BD770-BF770-BH770-U770</f>
        <v>-3.0300000000000011</v>
      </c>
      <c r="W770" s="15" t="s">
        <v>3661</v>
      </c>
      <c r="X770" s="19" t="s">
        <v>29</v>
      </c>
      <c r="Y770" s="10"/>
      <c r="Z770" s="19">
        <v>170.4</v>
      </c>
      <c r="AA770" s="123">
        <v>45980</v>
      </c>
    </row>
    <row r="771" spans="1:27" s="36" customFormat="1" ht="20.25" customHeight="1">
      <c r="A771" s="7">
        <v>45961</v>
      </c>
      <c r="B771" s="19" t="s">
        <v>3634</v>
      </c>
      <c r="C771" s="19" t="s">
        <v>304</v>
      </c>
      <c r="D771" s="19" t="s">
        <v>212</v>
      </c>
      <c r="E771" s="19" t="s">
        <v>25</v>
      </c>
      <c r="F771" s="19" t="s">
        <v>3643</v>
      </c>
      <c r="G771" s="19" t="s">
        <v>71</v>
      </c>
      <c r="H771" s="19" t="s">
        <v>31</v>
      </c>
      <c r="I771" s="270"/>
      <c r="J771" s="270" t="s">
        <v>27</v>
      </c>
      <c r="K771" s="19" t="s">
        <v>239</v>
      </c>
      <c r="L771" s="270" t="s">
        <v>35</v>
      </c>
      <c r="M771" s="20">
        <v>4185</v>
      </c>
      <c r="N771" s="25">
        <v>1.29</v>
      </c>
      <c r="O771" s="19" t="s">
        <v>1063</v>
      </c>
      <c r="P771" s="19" t="s">
        <v>63</v>
      </c>
      <c r="Q771" s="19" t="s">
        <v>29</v>
      </c>
      <c r="R771" s="19" t="s">
        <v>1200</v>
      </c>
      <c r="S771" s="45" t="s">
        <v>3622</v>
      </c>
      <c r="T771" s="8">
        <v>45975</v>
      </c>
      <c r="U771" s="19"/>
      <c r="V771" s="55">
        <f>M771-Z771-AB771-AD771-AF771-AH771-AJ771-AL771-AN771-AP771-AR771-AT771-AV771-AX771-AZ771-BB771-BD771-BF771-BH771-U771</f>
        <v>-1.8000000000001819</v>
      </c>
      <c r="W771" s="15" t="s">
        <v>3662</v>
      </c>
      <c r="X771" s="19" t="s">
        <v>29</v>
      </c>
      <c r="Y771" s="10"/>
      <c r="Z771" s="19">
        <v>4186.8</v>
      </c>
      <c r="AA771" s="123">
        <v>45972</v>
      </c>
    </row>
    <row r="772" spans="1:27" s="28" customFormat="1" ht="20.25" customHeight="1">
      <c r="A772" s="11">
        <v>45961</v>
      </c>
      <c r="B772" s="16" t="s">
        <v>3635</v>
      </c>
      <c r="C772" s="16" t="s">
        <v>228</v>
      </c>
      <c r="D772" s="16" t="s">
        <v>212</v>
      </c>
      <c r="E772" s="16" t="s">
        <v>25</v>
      </c>
      <c r="F772" s="16" t="s">
        <v>3644</v>
      </c>
      <c r="G772" s="16" t="s">
        <v>71</v>
      </c>
      <c r="H772" s="16" t="s">
        <v>31</v>
      </c>
      <c r="I772" s="16"/>
      <c r="J772" s="16" t="s">
        <v>27</v>
      </c>
      <c r="K772" s="16" t="s">
        <v>255</v>
      </c>
      <c r="L772" s="16" t="s">
        <v>35</v>
      </c>
      <c r="M772" s="17">
        <v>804.58</v>
      </c>
      <c r="N772" s="23">
        <v>1.29</v>
      </c>
      <c r="O772" s="16" t="s">
        <v>67</v>
      </c>
      <c r="P772" s="16" t="s">
        <v>63</v>
      </c>
      <c r="Q772" s="16" t="s">
        <v>263</v>
      </c>
      <c r="R772" s="16" t="s">
        <v>1130</v>
      </c>
      <c r="S772" s="12" t="s">
        <v>3622</v>
      </c>
      <c r="T772" s="13">
        <v>45975</v>
      </c>
      <c r="U772" s="19"/>
      <c r="V772" s="53">
        <f>M772-Z772-AB772-AD772-AF772-AH772-AJ772-AL772-AN772-AP772-AR772-AT772-AV772-AX772-AZ772-BB772-BD772-BF772-BH772-U772</f>
        <v>-1.6200000000000045</v>
      </c>
      <c r="W772" s="22" t="s">
        <v>3663</v>
      </c>
      <c r="X772" s="16" t="s">
        <v>29</v>
      </c>
      <c r="Y772" s="9"/>
      <c r="Z772" s="19">
        <v>806.2</v>
      </c>
      <c r="AA772" s="252">
        <v>45974</v>
      </c>
    </row>
    <row r="773" spans="1:27" s="28" customFormat="1" ht="20.25" customHeight="1">
      <c r="A773" s="11">
        <v>45964</v>
      </c>
      <c r="B773" s="16" t="s">
        <v>3671</v>
      </c>
      <c r="C773" s="16" t="s">
        <v>267</v>
      </c>
      <c r="D773" s="16" t="s">
        <v>212</v>
      </c>
      <c r="E773" s="16" t="s">
        <v>34</v>
      </c>
      <c r="F773" s="16" t="s">
        <v>3674</v>
      </c>
      <c r="G773" s="16" t="s">
        <v>71</v>
      </c>
      <c r="H773" s="16" t="s">
        <v>26</v>
      </c>
      <c r="I773" s="1"/>
      <c r="J773" s="1" t="s">
        <v>27</v>
      </c>
      <c r="K773" s="16" t="s">
        <v>218</v>
      </c>
      <c r="L773" s="1" t="s">
        <v>35</v>
      </c>
      <c r="M773" s="17">
        <v>25</v>
      </c>
      <c r="N773" s="6">
        <v>1.29</v>
      </c>
      <c r="O773" s="1" t="s">
        <v>1063</v>
      </c>
      <c r="P773" s="1" t="s">
        <v>63</v>
      </c>
      <c r="Q773" s="1" t="s">
        <v>29</v>
      </c>
      <c r="R773" s="1" t="s">
        <v>3332</v>
      </c>
      <c r="S773" s="121" t="s">
        <v>3488</v>
      </c>
      <c r="T773" s="13">
        <v>45978</v>
      </c>
      <c r="U773" s="19"/>
      <c r="V773" s="53">
        <f>M773-Z773-AB773-AD773-AF773-AH773-AJ773-AL773-AN773-AP773-AR773-AT773-AV773-AX773-AZ773-BB773-BD773-BF773-BH773-U773</f>
        <v>-3.3000000000000007</v>
      </c>
      <c r="W773" s="22" t="s">
        <v>3677</v>
      </c>
      <c r="X773" s="16" t="s">
        <v>29</v>
      </c>
      <c r="Y773" s="9"/>
      <c r="Z773" s="19">
        <v>28.3</v>
      </c>
      <c r="AA773" s="252">
        <v>45981</v>
      </c>
    </row>
    <row r="774" spans="1:27" s="28" customFormat="1" ht="20.25" customHeight="1">
      <c r="A774" s="11">
        <v>45964</v>
      </c>
      <c r="B774" s="16" t="s">
        <v>3672</v>
      </c>
      <c r="C774" s="16" t="s">
        <v>304</v>
      </c>
      <c r="D774" s="16" t="s">
        <v>212</v>
      </c>
      <c r="E774" s="16" t="s">
        <v>34</v>
      </c>
      <c r="F774" s="16" t="s">
        <v>3675</v>
      </c>
      <c r="G774" s="16" t="s">
        <v>71</v>
      </c>
      <c r="H774" s="16" t="s">
        <v>31</v>
      </c>
      <c r="I774" s="1"/>
      <c r="J774" s="1" t="s">
        <v>27</v>
      </c>
      <c r="K774" s="16" t="s">
        <v>2976</v>
      </c>
      <c r="L774" s="1" t="s">
        <v>35</v>
      </c>
      <c r="M774" s="17">
        <v>50</v>
      </c>
      <c r="N774" s="6">
        <v>1.29</v>
      </c>
      <c r="O774" s="1" t="s">
        <v>67</v>
      </c>
      <c r="P774" s="1" t="s">
        <v>63</v>
      </c>
      <c r="Q774" s="1" t="s">
        <v>29</v>
      </c>
      <c r="R774" s="1" t="s">
        <v>2987</v>
      </c>
      <c r="S774" s="121" t="s">
        <v>3488</v>
      </c>
      <c r="T774" s="13">
        <v>45978</v>
      </c>
      <c r="U774" s="19"/>
      <c r="V774" s="53">
        <f>M774-Z774-AB774-AD774-AF774-AH774-AJ774-AL774-AN774-AP774-AR774-AT774-AV774-AX774-AZ774-BB774-BD774-BF774-BH774-U774</f>
        <v>-1.2999999999999972</v>
      </c>
      <c r="W774" s="22" t="s">
        <v>3678</v>
      </c>
      <c r="X774" s="16" t="s">
        <v>29</v>
      </c>
      <c r="Y774" s="9"/>
      <c r="Z774" s="19">
        <v>51.3</v>
      </c>
      <c r="AA774" s="252">
        <v>45972</v>
      </c>
    </row>
    <row r="775" spans="1:27" s="28" customFormat="1" ht="20.25" customHeight="1">
      <c r="A775" s="11">
        <v>45964</v>
      </c>
      <c r="B775" s="16" t="s">
        <v>3673</v>
      </c>
      <c r="C775" s="16" t="s">
        <v>304</v>
      </c>
      <c r="D775" s="16" t="s">
        <v>212</v>
      </c>
      <c r="E775" s="16" t="s">
        <v>34</v>
      </c>
      <c r="F775" s="16" t="s">
        <v>3676</v>
      </c>
      <c r="G775" s="16" t="s">
        <v>71</v>
      </c>
      <c r="H775" s="16" t="s">
        <v>31</v>
      </c>
      <c r="I775" s="1"/>
      <c r="J775" s="1" t="s">
        <v>27</v>
      </c>
      <c r="K775" s="16" t="s">
        <v>3111</v>
      </c>
      <c r="L775" s="1" t="s">
        <v>35</v>
      </c>
      <c r="M775" s="17">
        <v>50</v>
      </c>
      <c r="N775" s="6">
        <v>1.29</v>
      </c>
      <c r="O775" s="1" t="s">
        <v>67</v>
      </c>
      <c r="P775" s="1" t="s">
        <v>63</v>
      </c>
      <c r="Q775" s="1" t="s">
        <v>29</v>
      </c>
      <c r="R775" s="1" t="s">
        <v>29</v>
      </c>
      <c r="S775" s="121" t="s">
        <v>3488</v>
      </c>
      <c r="T775" s="13">
        <v>45978</v>
      </c>
      <c r="U775" s="301"/>
      <c r="V775" s="53">
        <f>M775-Z775-AB775-AD775-AF775-AH775-AJ775-AL775-AN775-AP775-AR775-AT775-AV775-AX775-AZ775-BB775-BD775-BF775-BH775-U775</f>
        <v>-5.7000000000000028</v>
      </c>
      <c r="W775" s="22" t="s">
        <v>3679</v>
      </c>
      <c r="X775" s="16" t="s">
        <v>29</v>
      </c>
      <c r="Y775" s="9"/>
      <c r="Z775" s="301">
        <v>55.7</v>
      </c>
      <c r="AA775" s="252">
        <v>45972</v>
      </c>
    </row>
    <row r="776" spans="1:27" s="28" customFormat="1" ht="20.25" customHeight="1">
      <c r="A776" s="11">
        <v>45964</v>
      </c>
      <c r="B776" s="16" t="s">
        <v>3680</v>
      </c>
      <c r="C776" s="16" t="s">
        <v>228</v>
      </c>
      <c r="D776" s="16" t="s">
        <v>212</v>
      </c>
      <c r="E776" s="16" t="s">
        <v>25</v>
      </c>
      <c r="F776" s="16" t="s">
        <v>3682</v>
      </c>
      <c r="G776" s="16" t="s">
        <v>71</v>
      </c>
      <c r="H776" s="16" t="s">
        <v>31</v>
      </c>
      <c r="I776" s="16"/>
      <c r="J776" s="16" t="s">
        <v>27</v>
      </c>
      <c r="K776" s="16" t="s">
        <v>3684</v>
      </c>
      <c r="L776" s="16" t="s">
        <v>35</v>
      </c>
      <c r="M776" s="17">
        <v>2275.19</v>
      </c>
      <c r="N776" s="23">
        <v>1.29</v>
      </c>
      <c r="O776" s="16" t="s">
        <v>67</v>
      </c>
      <c r="P776" s="16" t="s">
        <v>63</v>
      </c>
      <c r="Q776" s="16" t="s">
        <v>362</v>
      </c>
      <c r="R776" s="16" t="s">
        <v>3686</v>
      </c>
      <c r="S776" s="12" t="s">
        <v>3687</v>
      </c>
      <c r="T776" s="13">
        <v>45981</v>
      </c>
      <c r="U776" s="19"/>
      <c r="V776" s="53">
        <f>M776-Z776-AB776-AD776-AF776-AH776-AJ776-AL776-AN776-AP776-AR776-AT776-AV776-AX776-AZ776-BB776-BD776-BF776-BH776-U776</f>
        <v>-2.4099999999998545</v>
      </c>
      <c r="W776" s="22" t="s">
        <v>3688</v>
      </c>
      <c r="X776" s="16" t="s">
        <v>29</v>
      </c>
      <c r="Y776" s="9"/>
      <c r="Z776" s="19">
        <f>641+818.1+818.5</f>
        <v>2277.6</v>
      </c>
      <c r="AA776" s="252">
        <v>45974</v>
      </c>
    </row>
    <row r="777" spans="1:27" s="282" customFormat="1" ht="20.25" customHeight="1">
      <c r="A777" s="272">
        <v>45964</v>
      </c>
      <c r="B777" s="273" t="s">
        <v>3681</v>
      </c>
      <c r="C777" s="273" t="s">
        <v>298</v>
      </c>
      <c r="D777" s="273" t="s">
        <v>212</v>
      </c>
      <c r="E777" s="273" t="s">
        <v>25</v>
      </c>
      <c r="F777" s="273" t="s">
        <v>3683</v>
      </c>
      <c r="G777" s="273" t="s">
        <v>71</v>
      </c>
      <c r="H777" s="273" t="s">
        <v>31</v>
      </c>
      <c r="I777" s="273"/>
      <c r="J777" s="273" t="s">
        <v>27</v>
      </c>
      <c r="K777" s="273" t="s">
        <v>3685</v>
      </c>
      <c r="L777" s="273" t="s">
        <v>35</v>
      </c>
      <c r="M777" s="274"/>
      <c r="N777" s="275">
        <v>1.29</v>
      </c>
      <c r="O777" s="273" t="s">
        <v>67</v>
      </c>
      <c r="P777" s="273" t="s">
        <v>63</v>
      </c>
      <c r="Q777" s="273" t="s">
        <v>29</v>
      </c>
      <c r="R777" s="273" t="s">
        <v>2720</v>
      </c>
      <c r="S777" s="276" t="s">
        <v>3687</v>
      </c>
      <c r="T777" s="277"/>
      <c r="U777" s="278"/>
      <c r="V777" s="279">
        <f>M777-Z777-AB777-AD777-AF777-AH777-AJ777-AL777-AN777-AP777-AR777-AT777-AV777-AX777-AZ777-BB777-BD777-BF777-BH777-U777</f>
        <v>0</v>
      </c>
      <c r="W777" s="280" t="s">
        <v>3689</v>
      </c>
      <c r="X777" s="273" t="s">
        <v>29</v>
      </c>
      <c r="Y777" s="322"/>
      <c r="Z777" s="322"/>
    </row>
    <row r="778" spans="1:27" s="28" customFormat="1" ht="20.25" customHeight="1">
      <c r="A778" s="11">
        <v>45965</v>
      </c>
      <c r="B778" s="16" t="s">
        <v>3690</v>
      </c>
      <c r="C778" s="16" t="s">
        <v>304</v>
      </c>
      <c r="D778" s="16" t="s">
        <v>212</v>
      </c>
      <c r="E778" s="16" t="s">
        <v>25</v>
      </c>
      <c r="F778" s="16" t="s">
        <v>3691</v>
      </c>
      <c r="G778" s="16" t="s">
        <v>71</v>
      </c>
      <c r="H778" s="16" t="s">
        <v>31</v>
      </c>
      <c r="I778" s="1"/>
      <c r="J778" s="1" t="s">
        <v>27</v>
      </c>
      <c r="K778" s="16" t="s">
        <v>292</v>
      </c>
      <c r="L778" s="1" t="s">
        <v>35</v>
      </c>
      <c r="M778" s="17">
        <v>25</v>
      </c>
      <c r="N778" s="6">
        <v>1.29</v>
      </c>
      <c r="O778" s="1" t="s">
        <v>1063</v>
      </c>
      <c r="P778" s="1" t="s">
        <v>63</v>
      </c>
      <c r="Q778" s="1" t="s">
        <v>29</v>
      </c>
      <c r="R778" s="1" t="s">
        <v>2866</v>
      </c>
      <c r="S778" s="121" t="s">
        <v>3471</v>
      </c>
      <c r="T778" s="13">
        <v>45979</v>
      </c>
      <c r="U778" s="19"/>
      <c r="V778" s="53">
        <f>M778-Z778-AB778-AD778-AF778-AH778-AJ778-AL778-AN778-AP778-AR778-AT778-AV778-AX778-AZ778-BB778-BD778-BF778-BH778-U778</f>
        <v>-0.39999999999999858</v>
      </c>
      <c r="W778" s="22" t="s">
        <v>3692</v>
      </c>
      <c r="X778" s="16"/>
      <c r="Y778" s="9"/>
      <c r="Z778" s="19">
        <v>25.4</v>
      </c>
      <c r="AA778" s="252">
        <v>45972</v>
      </c>
    </row>
    <row r="779" spans="1:27" s="28" customFormat="1" ht="20.25" customHeight="1">
      <c r="A779" s="11">
        <v>45966</v>
      </c>
      <c r="B779" s="16" t="s">
        <v>3705</v>
      </c>
      <c r="C779" s="16" t="s">
        <v>290</v>
      </c>
      <c r="D779" s="16" t="s">
        <v>212</v>
      </c>
      <c r="E779" s="16" t="s">
        <v>25</v>
      </c>
      <c r="F779" s="16" t="s">
        <v>3709</v>
      </c>
      <c r="G779" s="16" t="s">
        <v>71</v>
      </c>
      <c r="H779" s="16" t="s">
        <v>31</v>
      </c>
      <c r="I779" s="16"/>
      <c r="J779" s="16" t="s">
        <v>27</v>
      </c>
      <c r="K779" s="16" t="s">
        <v>218</v>
      </c>
      <c r="L779" s="16" t="s">
        <v>35</v>
      </c>
      <c r="M779" s="17">
        <v>512</v>
      </c>
      <c r="N779" s="23">
        <v>1.29</v>
      </c>
      <c r="O779" s="16" t="s">
        <v>1063</v>
      </c>
      <c r="P779" s="16" t="s">
        <v>63</v>
      </c>
      <c r="Q779" s="16" t="s">
        <v>3714</v>
      </c>
      <c r="R779" s="16" t="s">
        <v>3715</v>
      </c>
      <c r="S779" s="12" t="s">
        <v>3717</v>
      </c>
      <c r="T779" s="13">
        <v>45987</v>
      </c>
      <c r="U779" s="19"/>
      <c r="V779" s="53">
        <f>M779-Z779-AB779-AD779-AF779-AH779-AJ779-AL779-AN779-AP779-AR779-AT779-AV779-AX779-AZ779-BB779-BD779-BF779-BH779-U779</f>
        <v>-2.5</v>
      </c>
      <c r="W779" s="22" t="s">
        <v>3718</v>
      </c>
      <c r="X779" s="16" t="s">
        <v>29</v>
      </c>
      <c r="Y779" s="9"/>
      <c r="Z779" s="19">
        <v>514.5</v>
      </c>
      <c r="AA779" s="252">
        <v>45975</v>
      </c>
    </row>
    <row r="780" spans="1:27" s="28" customFormat="1" ht="20.25" customHeight="1">
      <c r="A780" s="11">
        <v>45966</v>
      </c>
      <c r="B780" s="16" t="s">
        <v>3706</v>
      </c>
      <c r="C780" s="16" t="s">
        <v>290</v>
      </c>
      <c r="D780" s="16" t="s">
        <v>212</v>
      </c>
      <c r="E780" s="16" t="s">
        <v>25</v>
      </c>
      <c r="F780" s="16" t="s">
        <v>3710</v>
      </c>
      <c r="G780" s="16" t="s">
        <v>71</v>
      </c>
      <c r="H780" s="16" t="s">
        <v>31</v>
      </c>
      <c r="I780" s="16"/>
      <c r="J780" s="16" t="s">
        <v>27</v>
      </c>
      <c r="K780" s="16" t="s">
        <v>239</v>
      </c>
      <c r="L780" s="16" t="s">
        <v>35</v>
      </c>
      <c r="M780" s="17">
        <v>9665</v>
      </c>
      <c r="N780" s="23">
        <v>1.29</v>
      </c>
      <c r="O780" s="16" t="s">
        <v>1063</v>
      </c>
      <c r="P780" s="16" t="s">
        <v>63</v>
      </c>
      <c r="Q780" s="16" t="s">
        <v>3716</v>
      </c>
      <c r="R780" s="16" t="s">
        <v>29</v>
      </c>
      <c r="S780" s="12" t="s">
        <v>3717</v>
      </c>
      <c r="T780" s="13">
        <v>45987</v>
      </c>
      <c r="U780" s="19"/>
      <c r="V780" s="53">
        <f>M780-Z780-AB780-AD780-AF780-AH780-AJ780-AL780-AN780-AP780-AR780-AT780-AV780-AX780-AZ780-BB780-BD780-BF780-BH780-U780</f>
        <v>0</v>
      </c>
      <c r="W780" s="22" t="s">
        <v>3719</v>
      </c>
      <c r="X780" s="16" t="s">
        <v>29</v>
      </c>
      <c r="Y780" s="9"/>
      <c r="Z780" s="19">
        <f>3373.6+3885.5+2405.9</f>
        <v>9665</v>
      </c>
      <c r="AA780" s="252">
        <v>45975</v>
      </c>
    </row>
    <row r="781" spans="1:27" s="36" customFormat="1" ht="20.25" customHeight="1">
      <c r="A781" s="7">
        <v>45966</v>
      </c>
      <c r="B781" s="19" t="s">
        <v>3707</v>
      </c>
      <c r="C781" s="19" t="s">
        <v>400</v>
      </c>
      <c r="D781" s="19" t="s">
        <v>212</v>
      </c>
      <c r="E781" s="19" t="s">
        <v>25</v>
      </c>
      <c r="F781" s="19" t="s">
        <v>3711</v>
      </c>
      <c r="G781" s="19" t="s">
        <v>71</v>
      </c>
      <c r="H781" s="19" t="s">
        <v>31</v>
      </c>
      <c r="I781" s="63"/>
      <c r="J781" s="63" t="s">
        <v>27</v>
      </c>
      <c r="K781" s="19" t="s">
        <v>2972</v>
      </c>
      <c r="L781" s="63" t="s">
        <v>35</v>
      </c>
      <c r="M781" s="20">
        <v>29.69</v>
      </c>
      <c r="N781" s="25">
        <v>1.29</v>
      </c>
      <c r="O781" s="19" t="s">
        <v>67</v>
      </c>
      <c r="P781" s="19" t="s">
        <v>63</v>
      </c>
      <c r="Q781" s="19" t="s">
        <v>474</v>
      </c>
      <c r="R781" s="19" t="s">
        <v>1387</v>
      </c>
      <c r="S781" s="45" t="s">
        <v>3717</v>
      </c>
      <c r="T781" s="8">
        <v>45981</v>
      </c>
      <c r="U781" s="19"/>
      <c r="V781" s="55">
        <f>M781-Z781-AB781-AD781-AF781-AH781-AJ781-AL781-AN781-AP781-AR781-AT781-AV781-AX781-AZ781-BB781-BD781-BF781-BH781-U781</f>
        <v>-5.41</v>
      </c>
      <c r="W781" s="15" t="s">
        <v>3720</v>
      </c>
      <c r="X781" s="19" t="s">
        <v>29</v>
      </c>
      <c r="Y781" s="10"/>
      <c r="Z781" s="19">
        <v>35.1</v>
      </c>
      <c r="AA781" s="123">
        <v>45967</v>
      </c>
    </row>
    <row r="782" spans="1:27" s="36" customFormat="1" ht="20.25" customHeight="1">
      <c r="A782" s="7">
        <v>45966</v>
      </c>
      <c r="B782" s="19" t="s">
        <v>3708</v>
      </c>
      <c r="C782" s="19" t="s">
        <v>400</v>
      </c>
      <c r="D782" s="19" t="s">
        <v>212</v>
      </c>
      <c r="E782" s="19" t="s">
        <v>25</v>
      </c>
      <c r="F782" s="19" t="s">
        <v>3712</v>
      </c>
      <c r="G782" s="19" t="s">
        <v>71</v>
      </c>
      <c r="H782" s="19" t="s">
        <v>31</v>
      </c>
      <c r="I782" s="19"/>
      <c r="J782" s="19" t="s">
        <v>27</v>
      </c>
      <c r="K782" s="19" t="s">
        <v>3713</v>
      </c>
      <c r="L782" s="19" t="s">
        <v>35</v>
      </c>
      <c r="M782" s="20">
        <v>1065.18</v>
      </c>
      <c r="N782" s="25">
        <v>1.29</v>
      </c>
      <c r="O782" s="19" t="s">
        <v>67</v>
      </c>
      <c r="P782" s="19" t="s">
        <v>63</v>
      </c>
      <c r="Q782" s="19" t="s">
        <v>389</v>
      </c>
      <c r="R782" s="19" t="s">
        <v>3647</v>
      </c>
      <c r="S782" s="45" t="s">
        <v>3717</v>
      </c>
      <c r="T782" s="8">
        <v>45981</v>
      </c>
      <c r="U782" s="19"/>
      <c r="V782" s="55">
        <f>M782-Z782-AB782-AD782-AF782-AH782-AJ782-AL782-AN782-AP782-AR782-AT782-AV782-AX782-AZ782-BB782-BD782-BF782-BH782-U782</f>
        <v>-3.5199999999999818</v>
      </c>
      <c r="W782" s="15" t="s">
        <v>3721</v>
      </c>
      <c r="X782" s="19" t="s">
        <v>29</v>
      </c>
      <c r="Y782" s="10"/>
      <c r="Z782" s="19">
        <v>1068.7</v>
      </c>
      <c r="AA782" s="123">
        <v>45980</v>
      </c>
    </row>
    <row r="783" spans="1:27" s="28" customFormat="1" ht="20.25" customHeight="1">
      <c r="A783" s="11">
        <v>45968</v>
      </c>
      <c r="B783" s="16" t="s">
        <v>3736</v>
      </c>
      <c r="C783" s="16" t="s">
        <v>267</v>
      </c>
      <c r="D783" s="16" t="s">
        <v>212</v>
      </c>
      <c r="E783" s="16" t="s">
        <v>25</v>
      </c>
      <c r="F783" s="16" t="s">
        <v>3739</v>
      </c>
      <c r="G783" s="16" t="s">
        <v>71</v>
      </c>
      <c r="H783" s="16" t="s">
        <v>31</v>
      </c>
      <c r="I783" s="1"/>
      <c r="J783" s="1" t="s">
        <v>27</v>
      </c>
      <c r="K783" s="16" t="s">
        <v>351</v>
      </c>
      <c r="L783" s="1" t="s">
        <v>35</v>
      </c>
      <c r="M783" s="17">
        <v>125</v>
      </c>
      <c r="N783" s="6">
        <v>1.29</v>
      </c>
      <c r="O783" s="1" t="s">
        <v>67</v>
      </c>
      <c r="P783" s="1" t="s">
        <v>63</v>
      </c>
      <c r="Q783" s="1" t="s">
        <v>29</v>
      </c>
      <c r="R783" s="1" t="s">
        <v>1256</v>
      </c>
      <c r="S783" s="121" t="s">
        <v>3622</v>
      </c>
      <c r="T783" s="13">
        <v>45975</v>
      </c>
      <c r="U783" s="19"/>
      <c r="V783" s="53">
        <f>M783-Z783-AB783-AD783-AF783-AH783-AJ783-AL783-AN783-AP783-AR783-AT783-AV783-AX783-AZ783-BB783-BD783-BF783-BH783-U783</f>
        <v>-1.0999999999999943</v>
      </c>
      <c r="W783" s="22" t="s">
        <v>3744</v>
      </c>
      <c r="X783" s="16" t="s">
        <v>29</v>
      </c>
      <c r="Y783" s="9"/>
      <c r="Z783" s="19">
        <v>126.1</v>
      </c>
      <c r="AA783" s="252">
        <v>45981</v>
      </c>
    </row>
    <row r="784" spans="1:27" s="28" customFormat="1" ht="20.25" customHeight="1">
      <c r="A784" s="11">
        <v>45968</v>
      </c>
      <c r="B784" s="16" t="s">
        <v>3737</v>
      </c>
      <c r="C784" s="16" t="s">
        <v>267</v>
      </c>
      <c r="D784" s="19" t="s">
        <v>212</v>
      </c>
      <c r="E784" s="16" t="s">
        <v>25</v>
      </c>
      <c r="F784" s="16" t="s">
        <v>3740</v>
      </c>
      <c r="G784" s="16" t="s">
        <v>71</v>
      </c>
      <c r="H784" s="16" t="s">
        <v>26</v>
      </c>
      <c r="I784" s="16"/>
      <c r="J784" s="16" t="s">
        <v>27</v>
      </c>
      <c r="K784" s="19" t="s">
        <v>3551</v>
      </c>
      <c r="L784" s="16" t="s">
        <v>35</v>
      </c>
      <c r="M784" s="17">
        <v>50</v>
      </c>
      <c r="N784" s="23">
        <v>1.29</v>
      </c>
      <c r="O784" s="16" t="s">
        <v>67</v>
      </c>
      <c r="P784" s="16" t="s">
        <v>63</v>
      </c>
      <c r="Q784" s="16" t="s">
        <v>29</v>
      </c>
      <c r="R784" s="16" t="s">
        <v>2921</v>
      </c>
      <c r="S784" s="12" t="s">
        <v>3622</v>
      </c>
      <c r="T784" s="13">
        <v>45975</v>
      </c>
      <c r="U784" s="19"/>
      <c r="V784" s="53">
        <f>M784-Z784-AB784-AD784-AF784-AH784-AJ784-AL784-AN784-AP784-AR784-AT784-AV784-AX784-AZ784-BB784-BD784-BF784-BH784-U784</f>
        <v>-0.10000000000000142</v>
      </c>
      <c r="W784" s="22" t="s">
        <v>3745</v>
      </c>
      <c r="X784" s="16" t="s">
        <v>29</v>
      </c>
      <c r="Y784" s="9"/>
      <c r="Z784" s="19">
        <v>50.1</v>
      </c>
      <c r="AA784" s="252">
        <v>45995</v>
      </c>
    </row>
    <row r="785" spans="1:27" s="28" customFormat="1" ht="20.25" customHeight="1">
      <c r="A785" s="11">
        <v>45968</v>
      </c>
      <c r="B785" s="16" t="s">
        <v>3738</v>
      </c>
      <c r="C785" s="16" t="s">
        <v>304</v>
      </c>
      <c r="D785" s="16" t="s">
        <v>212</v>
      </c>
      <c r="E785" s="16" t="s">
        <v>25</v>
      </c>
      <c r="F785" s="16" t="s">
        <v>3741</v>
      </c>
      <c r="G785" s="16" t="s">
        <v>71</v>
      </c>
      <c r="H785" s="16" t="s">
        <v>31</v>
      </c>
      <c r="I785" s="1"/>
      <c r="J785" s="1" t="s">
        <v>27</v>
      </c>
      <c r="K785" s="16" t="s">
        <v>250</v>
      </c>
      <c r="L785" s="1" t="s">
        <v>35</v>
      </c>
      <c r="M785" s="17">
        <v>309.10000000000002</v>
      </c>
      <c r="N785" s="6">
        <v>1.29</v>
      </c>
      <c r="O785" s="1" t="s">
        <v>67</v>
      </c>
      <c r="P785" s="1" t="s">
        <v>63</v>
      </c>
      <c r="Q785" s="1" t="s">
        <v>29</v>
      </c>
      <c r="R785" s="1" t="s">
        <v>3742</v>
      </c>
      <c r="S785" s="121" t="s">
        <v>3743</v>
      </c>
      <c r="T785" s="13">
        <v>45989</v>
      </c>
      <c r="U785" s="19"/>
      <c r="V785" s="53">
        <f>M785-Z785-AB785-AD785-AF785-AH785-AJ785-AL785-AN785-AP785-AR785-AT785-AV785-AX785-AZ785-BB785-BD785-BF785-BH785-U785</f>
        <v>-1.6999999999999886</v>
      </c>
      <c r="W785" s="22" t="s">
        <v>3746</v>
      </c>
      <c r="X785" s="16" t="s">
        <v>29</v>
      </c>
      <c r="Y785" s="9"/>
      <c r="Z785" s="19">
        <v>310.8</v>
      </c>
      <c r="AA785" s="252">
        <v>45972</v>
      </c>
    </row>
    <row r="786" spans="1:27" s="28" customFormat="1" ht="20.25" customHeight="1">
      <c r="A786" s="11">
        <v>45971</v>
      </c>
      <c r="B786" s="16" t="s">
        <v>3753</v>
      </c>
      <c r="C786" s="16" t="s">
        <v>304</v>
      </c>
      <c r="D786" s="19" t="s">
        <v>212</v>
      </c>
      <c r="E786" s="16" t="s">
        <v>34</v>
      </c>
      <c r="F786" s="16" t="s">
        <v>3758</v>
      </c>
      <c r="G786" s="16" t="s">
        <v>71</v>
      </c>
      <c r="H786" s="16" t="s">
        <v>31</v>
      </c>
      <c r="I786" s="16"/>
      <c r="J786" s="16" t="s">
        <v>27</v>
      </c>
      <c r="K786" s="16" t="s">
        <v>306</v>
      </c>
      <c r="L786" s="16" t="s">
        <v>35</v>
      </c>
      <c r="M786" s="17">
        <v>25</v>
      </c>
      <c r="N786" s="23">
        <v>1.29</v>
      </c>
      <c r="O786" s="16" t="s">
        <v>67</v>
      </c>
      <c r="P786" s="16" t="s">
        <v>63</v>
      </c>
      <c r="Q786" s="16" t="s">
        <v>29</v>
      </c>
      <c r="R786" s="16" t="s">
        <v>2863</v>
      </c>
      <c r="S786" s="12" t="s">
        <v>3488</v>
      </c>
      <c r="T786" s="13">
        <v>45978</v>
      </c>
      <c r="U786" s="19"/>
      <c r="V786" s="53">
        <f>M786-Z786-AB786-AD786-AF786-AH786-AJ786-AL786-AN786-AP786-AR786-AT786-AV786-AX786-AZ786-BB786-BD786-BF786-BH786-U786</f>
        <v>-4.1999999999999993</v>
      </c>
      <c r="W786" s="22" t="s">
        <v>3763</v>
      </c>
      <c r="X786" s="16" t="s">
        <v>29</v>
      </c>
      <c r="Y786" s="9"/>
      <c r="Z786" s="19">
        <v>29.2</v>
      </c>
      <c r="AA786" s="252">
        <v>45986</v>
      </c>
    </row>
    <row r="787" spans="1:27" s="28" customFormat="1" ht="20.25" customHeight="1">
      <c r="A787" s="11">
        <v>45971</v>
      </c>
      <c r="B787" s="16" t="s">
        <v>3754</v>
      </c>
      <c r="C787" s="16" t="s">
        <v>304</v>
      </c>
      <c r="D787" s="16" t="s">
        <v>212</v>
      </c>
      <c r="E787" s="16" t="s">
        <v>34</v>
      </c>
      <c r="F787" s="16" t="s">
        <v>3759</v>
      </c>
      <c r="G787" s="16" t="s">
        <v>71</v>
      </c>
      <c r="H787" s="16" t="s">
        <v>31</v>
      </c>
      <c r="I787" s="16"/>
      <c r="J787" s="16" t="s">
        <v>27</v>
      </c>
      <c r="K787" s="16" t="s">
        <v>465</v>
      </c>
      <c r="L787" s="16" t="s">
        <v>35</v>
      </c>
      <c r="M787" s="17">
        <v>100</v>
      </c>
      <c r="N787" s="23">
        <v>1.29</v>
      </c>
      <c r="O787" s="16" t="s">
        <v>1063</v>
      </c>
      <c r="P787" s="16" t="s">
        <v>29</v>
      </c>
      <c r="Q787" s="16" t="s">
        <v>29</v>
      </c>
      <c r="R787" s="16" t="s">
        <v>2863</v>
      </c>
      <c r="S787" s="12" t="s">
        <v>3488</v>
      </c>
      <c r="T787" s="13">
        <v>45978</v>
      </c>
      <c r="U787" s="19"/>
      <c r="V787" s="53">
        <f>M787-Z787-AB787-AD787-AF787-AH787-AJ787-AL787-AN787-AP787-AR787-AT787-AV787-AX787-AZ787-BB787-BD787-BF787-BH787-U787</f>
        <v>-1.7999999999999972</v>
      </c>
      <c r="W787" s="22" t="s">
        <v>3764</v>
      </c>
      <c r="X787" s="16" t="s">
        <v>29</v>
      </c>
      <c r="Y787" s="9"/>
      <c r="Z787" s="19">
        <v>101.8</v>
      </c>
      <c r="AA787" s="252">
        <v>45975</v>
      </c>
    </row>
    <row r="788" spans="1:27" s="28" customFormat="1" ht="20.25" customHeight="1">
      <c r="A788" s="11">
        <v>45971</v>
      </c>
      <c r="B788" s="16" t="s">
        <v>3755</v>
      </c>
      <c r="C788" s="16" t="s">
        <v>304</v>
      </c>
      <c r="D788" s="19" t="s">
        <v>212</v>
      </c>
      <c r="E788" s="16" t="s">
        <v>34</v>
      </c>
      <c r="F788" s="16" t="s">
        <v>3760</v>
      </c>
      <c r="G788" s="16" t="s">
        <v>71</v>
      </c>
      <c r="H788" s="16" t="s">
        <v>31</v>
      </c>
      <c r="I788" s="16"/>
      <c r="J788" s="16" t="s">
        <v>27</v>
      </c>
      <c r="K788" s="16" t="s">
        <v>306</v>
      </c>
      <c r="L788" s="16" t="s">
        <v>35</v>
      </c>
      <c r="M788" s="17">
        <v>25</v>
      </c>
      <c r="N788" s="23">
        <v>1.29</v>
      </c>
      <c r="O788" s="16" t="s">
        <v>67</v>
      </c>
      <c r="P788" s="16" t="s">
        <v>63</v>
      </c>
      <c r="Q788" s="16" t="s">
        <v>29</v>
      </c>
      <c r="R788" s="16" t="s">
        <v>2863</v>
      </c>
      <c r="S788" s="12" t="s">
        <v>3488</v>
      </c>
      <c r="T788" s="13">
        <v>45978</v>
      </c>
      <c r="U788" s="19"/>
      <c r="V788" s="53">
        <f>M788-Z788-AB788-AD788-AF788-AH788-AJ788-AL788-AN788-AP788-AR788-AT788-AV788-AX788-AZ788-BB788-BD788-BF788-BH788-U788</f>
        <v>0</v>
      </c>
      <c r="W788" s="22" t="s">
        <v>3765</v>
      </c>
      <c r="X788" s="16" t="s">
        <v>29</v>
      </c>
      <c r="Y788" s="9"/>
      <c r="Z788" s="19">
        <v>25</v>
      </c>
      <c r="AA788" s="252">
        <v>45986</v>
      </c>
    </row>
    <row r="789" spans="1:27" s="28" customFormat="1" ht="20.25" customHeight="1">
      <c r="A789" s="11">
        <v>45971</v>
      </c>
      <c r="B789" s="16" t="s">
        <v>3756</v>
      </c>
      <c r="C789" s="16" t="s">
        <v>304</v>
      </c>
      <c r="D789" s="16" t="s">
        <v>212</v>
      </c>
      <c r="E789" s="16" t="s">
        <v>34</v>
      </c>
      <c r="F789" s="16" t="s">
        <v>3761</v>
      </c>
      <c r="G789" s="16" t="s">
        <v>71</v>
      </c>
      <c r="H789" s="16" t="s">
        <v>31</v>
      </c>
      <c r="I789" s="16"/>
      <c r="J789" s="16" t="s">
        <v>27</v>
      </c>
      <c r="K789" s="16" t="s">
        <v>465</v>
      </c>
      <c r="L789" s="16" t="s">
        <v>35</v>
      </c>
      <c r="M789" s="17">
        <v>25</v>
      </c>
      <c r="N789" s="23">
        <v>1.29</v>
      </c>
      <c r="O789" s="16" t="s">
        <v>1063</v>
      </c>
      <c r="P789" s="16" t="s">
        <v>63</v>
      </c>
      <c r="Q789" s="16" t="s">
        <v>29</v>
      </c>
      <c r="R789" s="16" t="s">
        <v>2863</v>
      </c>
      <c r="S789" s="12" t="s">
        <v>3488</v>
      </c>
      <c r="T789" s="13">
        <v>45978</v>
      </c>
      <c r="U789" s="19"/>
      <c r="V789" s="53">
        <f>M789-Z789-AB789-AD789-AF789-AH789-AJ789-AL789-AN789-AP789-AR789-AT789-AV789-AX789-AZ789-BB789-BD789-BF789-BH789-U789</f>
        <v>-1.3000000000000007</v>
      </c>
      <c r="W789" s="22" t="s">
        <v>3766</v>
      </c>
      <c r="X789" s="16" t="s">
        <v>29</v>
      </c>
      <c r="Y789" s="9"/>
      <c r="Z789" s="19">
        <v>26.3</v>
      </c>
      <c r="AA789" s="252">
        <v>45975</v>
      </c>
    </row>
    <row r="790" spans="1:27" s="28" customFormat="1" ht="20.25" customHeight="1">
      <c r="A790" s="11">
        <v>45971</v>
      </c>
      <c r="B790" s="16" t="s">
        <v>3757</v>
      </c>
      <c r="C790" s="16" t="s">
        <v>304</v>
      </c>
      <c r="D790" s="19" t="s">
        <v>212</v>
      </c>
      <c r="E790" s="16" t="s">
        <v>34</v>
      </c>
      <c r="F790" s="16" t="s">
        <v>3762</v>
      </c>
      <c r="G790" s="16" t="s">
        <v>71</v>
      </c>
      <c r="H790" s="16" t="s">
        <v>31</v>
      </c>
      <c r="I790" s="16"/>
      <c r="J790" s="16" t="s">
        <v>27</v>
      </c>
      <c r="K790" s="16" t="s">
        <v>1996</v>
      </c>
      <c r="L790" s="16" t="s">
        <v>35</v>
      </c>
      <c r="M790" s="17">
        <v>25</v>
      </c>
      <c r="N790" s="23">
        <v>1.29</v>
      </c>
      <c r="O790" s="16" t="s">
        <v>67</v>
      </c>
      <c r="P790" s="16" t="s">
        <v>63</v>
      </c>
      <c r="Q790" s="16" t="s">
        <v>29</v>
      </c>
      <c r="R790" s="16" t="s">
        <v>1580</v>
      </c>
      <c r="S790" s="12" t="s">
        <v>3687</v>
      </c>
      <c r="T790" s="13">
        <v>45985</v>
      </c>
      <c r="U790" s="19"/>
      <c r="V790" s="53">
        <f>M790-Z790-AB790-AD790-AF790-AH790-AJ790-AL790-AN790-AP790-AR790-AT790-AV790-AX790-AZ790-BB790-BD790-BF790-BH790-U790</f>
        <v>-5.1000000000000014</v>
      </c>
      <c r="W790" s="22" t="s">
        <v>3767</v>
      </c>
      <c r="X790" s="16" t="s">
        <v>29</v>
      </c>
      <c r="Y790" s="9"/>
      <c r="Z790" s="19">
        <f>21.2+8.9</f>
        <v>30.1</v>
      </c>
      <c r="AA790" s="252">
        <v>45986</v>
      </c>
    </row>
    <row r="791" spans="1:27" s="28" customFormat="1" ht="20.25" customHeight="1">
      <c r="A791" s="11">
        <v>45973</v>
      </c>
      <c r="B791" s="16" t="s">
        <v>3783</v>
      </c>
      <c r="C791" s="16" t="s">
        <v>304</v>
      </c>
      <c r="D791" s="19" t="s">
        <v>212</v>
      </c>
      <c r="E791" s="16" t="s">
        <v>34</v>
      </c>
      <c r="F791" s="16" t="s">
        <v>3787</v>
      </c>
      <c r="G791" s="16" t="s">
        <v>71</v>
      </c>
      <c r="H791" s="16" t="s">
        <v>31</v>
      </c>
      <c r="I791" s="16"/>
      <c r="J791" s="16" t="s">
        <v>27</v>
      </c>
      <c r="K791" s="16" t="s">
        <v>2976</v>
      </c>
      <c r="L791" s="16" t="s">
        <v>35</v>
      </c>
      <c r="M791" s="17">
        <v>50</v>
      </c>
      <c r="N791" s="23">
        <v>1.29</v>
      </c>
      <c r="O791" s="16" t="s">
        <v>67</v>
      </c>
      <c r="P791" s="16" t="s">
        <v>63</v>
      </c>
      <c r="Q791" s="16" t="s">
        <v>29</v>
      </c>
      <c r="R791" s="16" t="s">
        <v>2716</v>
      </c>
      <c r="S791" s="12" t="s">
        <v>3717</v>
      </c>
      <c r="T791" s="13">
        <v>45987</v>
      </c>
      <c r="U791" s="19"/>
      <c r="V791" s="53">
        <f>M791-Z791-AB791-AD791-AF791-AH791-AJ791-AL791-AN791-AP791-AR791-AT791-AV791-AX791-AZ791-BB791-BD791-BF791-BH791-U791</f>
        <v>-3.8999999999999986</v>
      </c>
      <c r="W791" s="22" t="s">
        <v>3792</v>
      </c>
      <c r="X791" s="16"/>
      <c r="Y791" s="9"/>
      <c r="Z791" s="19">
        <v>53.9</v>
      </c>
      <c r="AA791" s="252">
        <v>45986</v>
      </c>
    </row>
    <row r="792" spans="1:27" s="282" customFormat="1" ht="20.25" customHeight="1">
      <c r="A792" s="272">
        <v>45973</v>
      </c>
      <c r="B792" s="273" t="s">
        <v>3784</v>
      </c>
      <c r="C792" s="273" t="s">
        <v>382</v>
      </c>
      <c r="D792" s="273" t="s">
        <v>212</v>
      </c>
      <c r="E792" s="273" t="s">
        <v>34</v>
      </c>
      <c r="F792" s="273" t="s">
        <v>3788</v>
      </c>
      <c r="G792" s="273" t="s">
        <v>71</v>
      </c>
      <c r="H792" s="273" t="s">
        <v>31</v>
      </c>
      <c r="I792" s="273"/>
      <c r="J792" s="273" t="s">
        <v>27</v>
      </c>
      <c r="K792" s="273" t="s">
        <v>223</v>
      </c>
      <c r="L792" s="273" t="s">
        <v>35</v>
      </c>
      <c r="M792" s="274">
        <v>27</v>
      </c>
      <c r="N792" s="275">
        <v>1.29</v>
      </c>
      <c r="O792" s="273" t="s">
        <v>67</v>
      </c>
      <c r="P792" s="273" t="s">
        <v>63</v>
      </c>
      <c r="Q792" s="273" t="s">
        <v>402</v>
      </c>
      <c r="R792" s="273" t="s">
        <v>2231</v>
      </c>
      <c r="S792" s="276" t="s">
        <v>3717</v>
      </c>
      <c r="T792" s="277">
        <v>45987</v>
      </c>
      <c r="U792" s="278"/>
      <c r="V792" s="279">
        <f>M792-Z792-AB792-AD792-AF792-AH792-AJ792-AL792-AN792-AP792-AR792-AT792-AV792-AX792-AZ792-BB792-BD792-BF792-BH792-U792</f>
        <v>27</v>
      </c>
      <c r="W792" s="280" t="s">
        <v>3793</v>
      </c>
      <c r="X792" s="273"/>
      <c r="Y792" s="322"/>
      <c r="Z792" s="322"/>
    </row>
    <row r="793" spans="1:27" s="28" customFormat="1" ht="20.25" customHeight="1">
      <c r="A793" s="11">
        <v>45973</v>
      </c>
      <c r="B793" s="16" t="s">
        <v>3785</v>
      </c>
      <c r="C793" s="16" t="s">
        <v>228</v>
      </c>
      <c r="D793" s="16" t="s">
        <v>212</v>
      </c>
      <c r="E793" s="16" t="s">
        <v>34</v>
      </c>
      <c r="F793" s="16" t="s">
        <v>3789</v>
      </c>
      <c r="G793" s="16" t="s">
        <v>71</v>
      </c>
      <c r="H793" s="16" t="s">
        <v>31</v>
      </c>
      <c r="I793" s="16"/>
      <c r="J793" s="16" t="s">
        <v>27</v>
      </c>
      <c r="K793" s="16" t="s">
        <v>683</v>
      </c>
      <c r="L793" s="16" t="s">
        <v>35</v>
      </c>
      <c r="M793" s="17">
        <v>502.23</v>
      </c>
      <c r="N793" s="23">
        <v>1.29</v>
      </c>
      <c r="O793" s="16" t="s">
        <v>1063</v>
      </c>
      <c r="P793" s="16" t="s">
        <v>63</v>
      </c>
      <c r="Q793" s="16" t="s">
        <v>474</v>
      </c>
      <c r="R793" s="16" t="s">
        <v>1369</v>
      </c>
      <c r="S793" s="12" t="s">
        <v>3717</v>
      </c>
      <c r="T793" s="13">
        <v>45987</v>
      </c>
      <c r="U793" s="19"/>
      <c r="V793" s="53">
        <f>M793-Z793-AB793-AD793-AF793-AH793-AJ793-AL793-AN793-AP793-AR793-AT793-AV793-AX793-AZ793-BB793-BD793-BF793-BH793-U793</f>
        <v>-6.9999999999993179E-2</v>
      </c>
      <c r="W793" s="22" t="s">
        <v>3794</v>
      </c>
      <c r="X793" s="16"/>
      <c r="Y793" s="9"/>
      <c r="Z793" s="19">
        <v>502.3</v>
      </c>
      <c r="AA793" s="252">
        <v>45985</v>
      </c>
    </row>
    <row r="794" spans="1:27" s="28" customFormat="1" ht="20.25" customHeight="1">
      <c r="A794" s="11">
        <v>45973</v>
      </c>
      <c r="B794" s="16" t="s">
        <v>3785</v>
      </c>
      <c r="C794" s="16" t="s">
        <v>228</v>
      </c>
      <c r="D794" s="16" t="s">
        <v>212</v>
      </c>
      <c r="E794" s="16" t="s">
        <v>34</v>
      </c>
      <c r="F794" s="16" t="s">
        <v>3789</v>
      </c>
      <c r="G794" s="16" t="s">
        <v>71</v>
      </c>
      <c r="H794" s="16" t="s">
        <v>31</v>
      </c>
      <c r="I794" s="16"/>
      <c r="J794" s="16" t="s">
        <v>27</v>
      </c>
      <c r="K794" s="16" t="s">
        <v>214</v>
      </c>
      <c r="L794" s="16" t="s">
        <v>35</v>
      </c>
      <c r="M794" s="17">
        <v>530.20000000000005</v>
      </c>
      <c r="N794" s="23">
        <v>1.29</v>
      </c>
      <c r="O794" s="16" t="s">
        <v>1063</v>
      </c>
      <c r="P794" s="16" t="s">
        <v>63</v>
      </c>
      <c r="Q794" s="16" t="s">
        <v>474</v>
      </c>
      <c r="R794" s="16" t="s">
        <v>1351</v>
      </c>
      <c r="S794" s="12" t="s">
        <v>3717</v>
      </c>
      <c r="T794" s="13">
        <v>45987</v>
      </c>
      <c r="U794" s="19"/>
      <c r="V794" s="55">
        <f>M794-Z794-AB794-AD794-AF794-AH794-AJ794-AL794-AN794-AP794-AR794-AT794-AV794-AX794-AZ794-BB794-BD794-BF794-BH794-U794</f>
        <v>-0.69999999999993179</v>
      </c>
      <c r="W794" s="22" t="s">
        <v>3795</v>
      </c>
      <c r="X794" s="16"/>
      <c r="Y794" s="9"/>
      <c r="Z794" s="19">
        <f>405+125.9</f>
        <v>530.9</v>
      </c>
      <c r="AA794" s="252">
        <v>45985</v>
      </c>
    </row>
    <row r="795" spans="1:27" s="28" customFormat="1" ht="20.25" customHeight="1">
      <c r="A795" s="11">
        <v>45973</v>
      </c>
      <c r="B795" s="16" t="s">
        <v>3786</v>
      </c>
      <c r="C795" s="16" t="s">
        <v>382</v>
      </c>
      <c r="D795" s="16" t="s">
        <v>212</v>
      </c>
      <c r="E795" s="16" t="s">
        <v>34</v>
      </c>
      <c r="F795" s="16" t="s">
        <v>3788</v>
      </c>
      <c r="G795" s="16" t="s">
        <v>71</v>
      </c>
      <c r="H795" s="16" t="s">
        <v>31</v>
      </c>
      <c r="I795" s="16"/>
      <c r="J795" s="16" t="s">
        <v>27</v>
      </c>
      <c r="K795" s="16" t="s">
        <v>1717</v>
      </c>
      <c r="L795" s="16" t="s">
        <v>35</v>
      </c>
      <c r="M795" s="17">
        <v>27</v>
      </c>
      <c r="N795" s="23">
        <v>1.29</v>
      </c>
      <c r="O795" s="16" t="s">
        <v>67</v>
      </c>
      <c r="P795" s="16" t="s">
        <v>63</v>
      </c>
      <c r="Q795" s="16" t="s">
        <v>402</v>
      </c>
      <c r="R795" s="16" t="s">
        <v>2231</v>
      </c>
      <c r="S795" s="12" t="s">
        <v>3717</v>
      </c>
      <c r="T795" s="13">
        <v>45987</v>
      </c>
      <c r="U795" s="19"/>
      <c r="V795" s="53">
        <f>M795-Z795-AB795-AD795-AF795-AH795-AJ795-AL795-AN795-AP795-AR795-AT795-AV795-AX795-AZ795-BB795-BD795-BF795-BH795-U795</f>
        <v>-1.3000000000000007</v>
      </c>
      <c r="W795" s="22" t="s">
        <v>3796</v>
      </c>
      <c r="X795" s="16"/>
      <c r="Y795" s="9"/>
      <c r="Z795" s="19">
        <v>28.3</v>
      </c>
      <c r="AA795" s="252">
        <v>45980</v>
      </c>
    </row>
    <row r="796" spans="1:27" s="28" customFormat="1" ht="20.25" customHeight="1">
      <c r="A796" s="11">
        <v>45973</v>
      </c>
      <c r="B796" s="16" t="s">
        <v>3786</v>
      </c>
      <c r="C796" s="16" t="s">
        <v>382</v>
      </c>
      <c r="D796" s="16" t="s">
        <v>212</v>
      </c>
      <c r="E796" s="16" t="s">
        <v>34</v>
      </c>
      <c r="F796" s="16" t="s">
        <v>3788</v>
      </c>
      <c r="G796" s="16" t="s">
        <v>71</v>
      </c>
      <c r="H796" s="16" t="s">
        <v>31</v>
      </c>
      <c r="I796" s="16"/>
      <c r="J796" s="16" t="s">
        <v>27</v>
      </c>
      <c r="K796" s="16" t="s">
        <v>1070</v>
      </c>
      <c r="L796" s="16" t="s">
        <v>35</v>
      </c>
      <c r="M796" s="17">
        <v>1033</v>
      </c>
      <c r="N796" s="23">
        <v>1.29</v>
      </c>
      <c r="O796" s="16" t="s">
        <v>67</v>
      </c>
      <c r="P796" s="16" t="s">
        <v>63</v>
      </c>
      <c r="Q796" s="16" t="s">
        <v>3790</v>
      </c>
      <c r="R796" s="16" t="s">
        <v>3791</v>
      </c>
      <c r="S796" s="12" t="s">
        <v>3717</v>
      </c>
      <c r="T796" s="13">
        <v>45987</v>
      </c>
      <c r="U796" s="19"/>
      <c r="V796" s="53">
        <f>M796-Z796-AB796-AD796-AF796-AH796-AJ796-AL796-AN796-AP796-AR796-AT796-AV796-AX796-AZ796-BB796-BD796-BF796-BH796-U796</f>
        <v>-1.4000000000000909</v>
      </c>
      <c r="W796" s="22" t="s">
        <v>3797</v>
      </c>
      <c r="X796" s="16"/>
      <c r="Y796" s="9"/>
      <c r="Z796" s="19">
        <v>1034.4000000000001</v>
      </c>
      <c r="AA796" s="252">
        <v>45980</v>
      </c>
    </row>
    <row r="797" spans="1:27" s="28" customFormat="1" ht="20.25" customHeight="1">
      <c r="A797" s="11">
        <v>45974</v>
      </c>
      <c r="B797" s="16" t="s">
        <v>3806</v>
      </c>
      <c r="C797" s="16" t="s">
        <v>315</v>
      </c>
      <c r="D797" s="19" t="s">
        <v>212</v>
      </c>
      <c r="E797" s="16" t="s">
        <v>25</v>
      </c>
      <c r="F797" s="16" t="s">
        <v>3807</v>
      </c>
      <c r="G797" s="16" t="s">
        <v>71</v>
      </c>
      <c r="H797" s="16" t="s">
        <v>31</v>
      </c>
      <c r="I797" s="1"/>
      <c r="J797" s="1" t="s">
        <v>27</v>
      </c>
      <c r="K797" s="16" t="s">
        <v>913</v>
      </c>
      <c r="L797" s="1" t="s">
        <v>35</v>
      </c>
      <c r="M797" s="17">
        <v>1458</v>
      </c>
      <c r="N797" s="6">
        <v>1.29</v>
      </c>
      <c r="O797" s="1" t="s">
        <v>1063</v>
      </c>
      <c r="P797" s="1" t="s">
        <v>63</v>
      </c>
      <c r="Q797" s="1" t="s">
        <v>29</v>
      </c>
      <c r="R797" s="1" t="s">
        <v>3808</v>
      </c>
      <c r="S797" s="12" t="s">
        <v>3809</v>
      </c>
      <c r="T797" s="13">
        <v>45995</v>
      </c>
      <c r="U797" s="19"/>
      <c r="V797" s="53">
        <f>M797-Z797-AB797-AD797-AF797-AH797-AJ797-AL797-AN797-AP797-AR797-AT797-AV797-AX797-AZ797-BB797-BD797-BF797-BH797-U797</f>
        <v>-0.59999999999990905</v>
      </c>
      <c r="W797" s="22" t="s">
        <v>3810</v>
      </c>
      <c r="X797" s="16" t="s">
        <v>29</v>
      </c>
      <c r="Y797" s="9"/>
      <c r="Z797" s="19">
        <f>570.7+887.9</f>
        <v>1458.6</v>
      </c>
      <c r="AA797" s="252">
        <v>46001</v>
      </c>
    </row>
    <row r="798" spans="1:27" s="28" customFormat="1" ht="20.25" customHeight="1">
      <c r="A798" s="11">
        <v>45975</v>
      </c>
      <c r="B798" s="16" t="s">
        <v>3811</v>
      </c>
      <c r="C798" s="16" t="s">
        <v>267</v>
      </c>
      <c r="D798" s="19" t="s">
        <v>212</v>
      </c>
      <c r="E798" s="16" t="s">
        <v>34</v>
      </c>
      <c r="F798" s="16" t="s">
        <v>3813</v>
      </c>
      <c r="G798" s="16" t="s">
        <v>71</v>
      </c>
      <c r="H798" s="16" t="s">
        <v>31</v>
      </c>
      <c r="I798" s="16"/>
      <c r="J798" s="16" t="s">
        <v>27</v>
      </c>
      <c r="K798" s="16" t="s">
        <v>3330</v>
      </c>
      <c r="L798" s="16" t="s">
        <v>35</v>
      </c>
      <c r="M798" s="17">
        <v>375</v>
      </c>
      <c r="N798" s="23">
        <v>1.29</v>
      </c>
      <c r="O798" s="16" t="s">
        <v>67</v>
      </c>
      <c r="P798" s="16" t="s">
        <v>63</v>
      </c>
      <c r="Q798" s="16" t="s">
        <v>29</v>
      </c>
      <c r="R798" s="16" t="s">
        <v>2987</v>
      </c>
      <c r="S798" s="12" t="s">
        <v>3743</v>
      </c>
      <c r="T798" s="13">
        <v>45989</v>
      </c>
      <c r="U798" s="19"/>
      <c r="V798" s="53">
        <f>M798-Z798-AB798-AD798-AF798-AH798-AJ798-AL798-AN798-AP798-AR798-AT798-AV798-AX798-AZ798-BB798-BD798-BF798-BH798-U798</f>
        <v>-3.1000000000000227</v>
      </c>
      <c r="W798" s="22" t="s">
        <v>3815</v>
      </c>
      <c r="X798" s="16"/>
      <c r="Y798" s="9"/>
      <c r="Z798" s="19">
        <v>378.1</v>
      </c>
      <c r="AA798" s="252">
        <v>45988</v>
      </c>
    </row>
    <row r="799" spans="1:27" s="28" customFormat="1" ht="20.25" customHeight="1">
      <c r="A799" s="11">
        <v>45975</v>
      </c>
      <c r="B799" s="16" t="s">
        <v>3812</v>
      </c>
      <c r="C799" s="16" t="s">
        <v>304</v>
      </c>
      <c r="D799" s="19" t="s">
        <v>212</v>
      </c>
      <c r="E799" s="16" t="s">
        <v>34</v>
      </c>
      <c r="F799" s="16" t="s">
        <v>3814</v>
      </c>
      <c r="G799" s="16" t="s">
        <v>71</v>
      </c>
      <c r="H799" s="16" t="s">
        <v>26</v>
      </c>
      <c r="I799" s="1"/>
      <c r="J799" s="1" t="s">
        <v>27</v>
      </c>
      <c r="K799" s="16" t="s">
        <v>2620</v>
      </c>
      <c r="L799" s="1" t="s">
        <v>35</v>
      </c>
      <c r="M799" s="17">
        <v>25</v>
      </c>
      <c r="N799" s="23">
        <v>1.29</v>
      </c>
      <c r="O799" s="1" t="s">
        <v>67</v>
      </c>
      <c r="P799" s="1" t="s">
        <v>63</v>
      </c>
      <c r="Q799" s="1" t="s">
        <v>29</v>
      </c>
      <c r="R799" s="1" t="s">
        <v>1235</v>
      </c>
      <c r="S799" s="121" t="s">
        <v>3743</v>
      </c>
      <c r="T799" s="13">
        <v>45989</v>
      </c>
      <c r="U799" s="19"/>
      <c r="V799" s="53">
        <f>M799-Z799-AB799-AD799-AF799-AH799-AJ799-AL799-AN799-AP799-AR799-AT799-AV799-AX799-AZ799-BB799-BD799-BF799-BH799-U799</f>
        <v>-9.6000000000000014</v>
      </c>
      <c r="W799" s="22" t="s">
        <v>3816</v>
      </c>
      <c r="X799" s="16"/>
      <c r="Y799" s="9"/>
      <c r="Z799" s="19">
        <v>34.6</v>
      </c>
      <c r="AA799" s="252">
        <v>45993</v>
      </c>
    </row>
    <row r="800" spans="1:27" s="28" customFormat="1" ht="20.25" customHeight="1">
      <c r="A800" s="11">
        <v>45978</v>
      </c>
      <c r="B800" s="16" t="s">
        <v>3819</v>
      </c>
      <c r="C800" s="16" t="s">
        <v>535</v>
      </c>
      <c r="D800" s="19" t="s">
        <v>212</v>
      </c>
      <c r="E800" s="16" t="s">
        <v>34</v>
      </c>
      <c r="F800" s="16" t="s">
        <v>3821</v>
      </c>
      <c r="G800" s="16" t="s">
        <v>71</v>
      </c>
      <c r="H800" s="16" t="s">
        <v>26</v>
      </c>
      <c r="I800" s="1"/>
      <c r="J800" s="1" t="s">
        <v>27</v>
      </c>
      <c r="K800" s="16" t="s">
        <v>1346</v>
      </c>
      <c r="L800" s="1" t="s">
        <v>35</v>
      </c>
      <c r="M800" s="17">
        <v>81</v>
      </c>
      <c r="N800" s="23">
        <v>1.27</v>
      </c>
      <c r="O800" s="1" t="s">
        <v>67</v>
      </c>
      <c r="P800" s="1" t="s">
        <v>63</v>
      </c>
      <c r="Q800" s="1" t="s">
        <v>3824</v>
      </c>
      <c r="R800" s="1" t="s">
        <v>3825</v>
      </c>
      <c r="S800" s="121" t="s">
        <v>3743</v>
      </c>
      <c r="T800" s="13">
        <v>45989</v>
      </c>
      <c r="U800" s="19"/>
      <c r="V800" s="53">
        <f>M800-Z800-AB800-AD800-AF800-AH800-AJ800-AL800-AN800-AP800-AR800-AT800-AV800-AX800-AZ800-BB800-BD800-BF800-BH800-U800</f>
        <v>-6.5999999999999943</v>
      </c>
      <c r="W800" s="22" t="s">
        <v>3826</v>
      </c>
      <c r="X800" s="16"/>
      <c r="Y800" s="9"/>
      <c r="Z800" s="19">
        <v>87.6</v>
      </c>
      <c r="AA800" s="252">
        <v>45993</v>
      </c>
    </row>
    <row r="801" spans="1:29" s="28" customFormat="1" ht="20.25" customHeight="1">
      <c r="A801" s="11">
        <v>45978</v>
      </c>
      <c r="B801" s="16" t="s">
        <v>3820</v>
      </c>
      <c r="C801" s="16" t="s">
        <v>304</v>
      </c>
      <c r="D801" s="19" t="s">
        <v>212</v>
      </c>
      <c r="E801" s="16" t="s">
        <v>34</v>
      </c>
      <c r="F801" s="16" t="s">
        <v>3822</v>
      </c>
      <c r="G801" s="16" t="s">
        <v>71</v>
      </c>
      <c r="H801" s="16" t="s">
        <v>31</v>
      </c>
      <c r="I801" s="16"/>
      <c r="J801" s="16" t="s">
        <v>27</v>
      </c>
      <c r="K801" s="16" t="s">
        <v>3823</v>
      </c>
      <c r="L801" s="16" t="s">
        <v>35</v>
      </c>
      <c r="M801" s="17">
        <v>50</v>
      </c>
      <c r="N801" s="23">
        <v>1.29</v>
      </c>
      <c r="O801" s="16" t="s">
        <v>67</v>
      </c>
      <c r="P801" s="16" t="s">
        <v>63</v>
      </c>
      <c r="Q801" s="16" t="s">
        <v>29</v>
      </c>
      <c r="R801" s="16" t="s">
        <v>2987</v>
      </c>
      <c r="S801" s="12" t="s">
        <v>3768</v>
      </c>
      <c r="T801" s="13">
        <v>45992</v>
      </c>
      <c r="U801" s="19"/>
      <c r="V801" s="53">
        <f>M801-Z801-AB801-AD801-AF801-AH801-AJ801-AL801-AN801-AP801-AR801-AT801-AV801-AX801-AZ801-BB801-BD801-BF801-BH801-U801</f>
        <v>-0.89999999999999858</v>
      </c>
      <c r="W801" s="22" t="s">
        <v>3827</v>
      </c>
      <c r="X801" s="16"/>
      <c r="Y801" s="9"/>
      <c r="Z801" s="19">
        <v>50.9</v>
      </c>
      <c r="AA801" s="252">
        <v>45986</v>
      </c>
    </row>
    <row r="802" spans="1:29" s="28" customFormat="1" ht="20.25" customHeight="1">
      <c r="A802" s="11">
        <v>45979</v>
      </c>
      <c r="B802" s="16" t="s">
        <v>3842</v>
      </c>
      <c r="C802" s="16" t="s">
        <v>267</v>
      </c>
      <c r="D802" s="16" t="s">
        <v>212</v>
      </c>
      <c r="E802" s="16" t="s">
        <v>25</v>
      </c>
      <c r="F802" s="16" t="s">
        <v>3844</v>
      </c>
      <c r="G802" s="16" t="s">
        <v>71</v>
      </c>
      <c r="H802" s="16" t="s">
        <v>26</v>
      </c>
      <c r="I802" s="1"/>
      <c r="J802" s="1" t="s">
        <v>27</v>
      </c>
      <c r="K802" s="16" t="s">
        <v>351</v>
      </c>
      <c r="L802" s="1" t="s">
        <v>35</v>
      </c>
      <c r="M802" s="17">
        <v>370</v>
      </c>
      <c r="N802" s="6">
        <v>1.29</v>
      </c>
      <c r="O802" s="1" t="s">
        <v>67</v>
      </c>
      <c r="P802" s="1" t="s">
        <v>63</v>
      </c>
      <c r="Q802" s="1" t="s">
        <v>29</v>
      </c>
      <c r="R802" s="1" t="s">
        <v>29</v>
      </c>
      <c r="S802" s="121" t="s">
        <v>3569</v>
      </c>
      <c r="T802" s="13">
        <v>45981</v>
      </c>
      <c r="U802" s="19"/>
      <c r="V802" s="53">
        <f>M802-Z802-AB802-AD802-AF802-AH802-AJ802-AL802-AN802-AP802-AR802-AT802-AV802-AX802-AZ802-BB802-BD802-BF802-BH802-U802</f>
        <v>-1.5</v>
      </c>
      <c r="W802" s="22" t="s">
        <v>3848</v>
      </c>
      <c r="X802" s="16" t="s">
        <v>29</v>
      </c>
      <c r="Y802" s="9"/>
      <c r="Z802" s="19">
        <v>371.5</v>
      </c>
      <c r="AA802" s="252">
        <v>45981</v>
      </c>
    </row>
    <row r="803" spans="1:29" s="28" customFormat="1" ht="20.25" customHeight="1">
      <c r="A803" s="11">
        <v>45979</v>
      </c>
      <c r="B803" s="16" t="s">
        <v>3843</v>
      </c>
      <c r="C803" s="16" t="s">
        <v>400</v>
      </c>
      <c r="D803" s="16" t="s">
        <v>212</v>
      </c>
      <c r="E803" s="16" t="s">
        <v>25</v>
      </c>
      <c r="F803" s="16" t="s">
        <v>3845</v>
      </c>
      <c r="G803" s="16" t="s">
        <v>71</v>
      </c>
      <c r="H803" s="16" t="s">
        <v>31</v>
      </c>
      <c r="I803" s="16"/>
      <c r="J803" s="16" t="s">
        <v>27</v>
      </c>
      <c r="K803" s="16" t="s">
        <v>1116</v>
      </c>
      <c r="L803" s="16" t="s">
        <v>35</v>
      </c>
      <c r="M803" s="17">
        <v>17.34</v>
      </c>
      <c r="N803" s="23">
        <v>1.29</v>
      </c>
      <c r="O803" s="16" t="s">
        <v>67</v>
      </c>
      <c r="P803" s="16" t="s">
        <v>63</v>
      </c>
      <c r="Q803" s="16" t="s">
        <v>2767</v>
      </c>
      <c r="R803" s="16" t="s">
        <v>1222</v>
      </c>
      <c r="S803" s="12" t="s">
        <v>3846</v>
      </c>
      <c r="T803" s="13">
        <v>45993</v>
      </c>
      <c r="U803" s="19"/>
      <c r="V803" s="53">
        <f>M803-Z803-AB803-AD803-AF803-AH803-AJ803-AL803-AN803-AP803-AR803-AT803-AV803-AX803-AZ803-BB803-BD803-BF803-BH803-U803</f>
        <v>-1.7600000000000016</v>
      </c>
      <c r="W803" s="22" t="s">
        <v>3849</v>
      </c>
      <c r="X803" s="16" t="s">
        <v>29</v>
      </c>
      <c r="Y803" s="9"/>
      <c r="Z803" s="19">
        <v>19.100000000000001</v>
      </c>
      <c r="AA803" s="252">
        <v>45982</v>
      </c>
    </row>
    <row r="804" spans="1:29" s="28" customFormat="1" ht="20.25" customHeight="1">
      <c r="A804" s="11">
        <v>45981</v>
      </c>
      <c r="B804" s="16" t="s">
        <v>3870</v>
      </c>
      <c r="C804" s="16" t="s">
        <v>304</v>
      </c>
      <c r="D804" s="19" t="s">
        <v>212</v>
      </c>
      <c r="E804" s="16" t="s">
        <v>34</v>
      </c>
      <c r="F804" s="16" t="s">
        <v>3876</v>
      </c>
      <c r="G804" s="16" t="s">
        <v>71</v>
      </c>
      <c r="H804" s="16" t="s">
        <v>31</v>
      </c>
      <c r="I804" s="1"/>
      <c r="J804" s="1" t="s">
        <v>27</v>
      </c>
      <c r="K804" s="16" t="s">
        <v>1796</v>
      </c>
      <c r="L804" s="1" t="s">
        <v>35</v>
      </c>
      <c r="M804" s="17">
        <v>25</v>
      </c>
      <c r="N804" s="23">
        <v>1.29</v>
      </c>
      <c r="O804" s="1" t="s">
        <v>67</v>
      </c>
      <c r="P804" s="1" t="s">
        <v>63</v>
      </c>
      <c r="Q804" s="1" t="s">
        <v>29</v>
      </c>
      <c r="R804" s="1" t="s">
        <v>29</v>
      </c>
      <c r="S804" s="121" t="s">
        <v>3809</v>
      </c>
      <c r="T804" s="13">
        <v>45995</v>
      </c>
      <c r="U804" s="19"/>
      <c r="V804" s="53">
        <f>M804-Z804-AB804-AD804-AF804-AH804-AJ804-AL804-AN804-AP804-AR804-AT804-AV804-AX804-AZ804-BB804-BD804-BF804-BH804-U804</f>
        <v>-3.1999999999999993</v>
      </c>
      <c r="W804" s="22" t="s">
        <v>3884</v>
      </c>
      <c r="X804" s="16"/>
      <c r="Y804" s="9"/>
      <c r="Z804" s="19">
        <v>28.2</v>
      </c>
      <c r="AA804" s="252">
        <v>45993</v>
      </c>
    </row>
    <row r="805" spans="1:29" s="28" customFormat="1" ht="20.25" customHeight="1">
      <c r="A805" s="11">
        <v>45981</v>
      </c>
      <c r="B805" s="16" t="s">
        <v>3871</v>
      </c>
      <c r="C805" s="16" t="s">
        <v>304</v>
      </c>
      <c r="D805" s="19" t="s">
        <v>212</v>
      </c>
      <c r="E805" s="16" t="s">
        <v>34</v>
      </c>
      <c r="F805" s="16" t="s">
        <v>3877</v>
      </c>
      <c r="G805" s="16" t="s">
        <v>71</v>
      </c>
      <c r="H805" s="16" t="s">
        <v>31</v>
      </c>
      <c r="I805" s="1"/>
      <c r="J805" s="1" t="s">
        <v>27</v>
      </c>
      <c r="K805" s="16" t="s">
        <v>372</v>
      </c>
      <c r="L805" s="1" t="s">
        <v>35</v>
      </c>
      <c r="M805" s="17">
        <v>25</v>
      </c>
      <c r="N805" s="23">
        <v>1.29</v>
      </c>
      <c r="O805" s="1" t="s">
        <v>67</v>
      </c>
      <c r="P805" s="1" t="s">
        <v>63</v>
      </c>
      <c r="Q805" s="1" t="s">
        <v>29</v>
      </c>
      <c r="R805" s="1" t="s">
        <v>2863</v>
      </c>
      <c r="S805" s="121" t="s">
        <v>3809</v>
      </c>
      <c r="T805" s="13">
        <v>45995</v>
      </c>
      <c r="U805" s="19"/>
      <c r="V805" s="53">
        <f>M805-Z805-AB805-AD805-AF805-AH805-AJ805-AL805-AN805-AP805-AR805-AT805-AV805-AX805-AZ805-BB805-BD805-BF805-BH805-U805</f>
        <v>-1.3000000000000007</v>
      </c>
      <c r="W805" s="22" t="s">
        <v>3885</v>
      </c>
      <c r="X805" s="16"/>
      <c r="Y805" s="9"/>
      <c r="Z805" s="19">
        <v>26.3</v>
      </c>
      <c r="AA805" s="252">
        <v>45993</v>
      </c>
    </row>
    <row r="806" spans="1:29" s="282" customFormat="1" ht="20.25" customHeight="1">
      <c r="A806" s="272">
        <v>45981</v>
      </c>
      <c r="B806" s="273" t="s">
        <v>3872</v>
      </c>
      <c r="C806" s="273" t="s">
        <v>304</v>
      </c>
      <c r="D806" s="273" t="s">
        <v>212</v>
      </c>
      <c r="E806" s="273" t="s">
        <v>34</v>
      </c>
      <c r="F806" s="273" t="s">
        <v>3878</v>
      </c>
      <c r="G806" s="273" t="s">
        <v>71</v>
      </c>
      <c r="H806" s="273" t="s">
        <v>31</v>
      </c>
      <c r="I806" s="1"/>
      <c r="J806" s="1" t="s">
        <v>27</v>
      </c>
      <c r="K806" s="273" t="s">
        <v>1476</v>
      </c>
      <c r="L806" s="273" t="s">
        <v>35</v>
      </c>
      <c r="M806" s="274">
        <v>50</v>
      </c>
      <c r="N806" s="6">
        <v>1.29</v>
      </c>
      <c r="O806" s="273" t="s">
        <v>1063</v>
      </c>
      <c r="P806" s="273" t="s">
        <v>63</v>
      </c>
      <c r="Q806" s="273" t="s">
        <v>29</v>
      </c>
      <c r="R806" s="273" t="s">
        <v>1200</v>
      </c>
      <c r="S806" s="276" t="s">
        <v>3809</v>
      </c>
      <c r="T806" s="277">
        <v>45995</v>
      </c>
      <c r="U806" s="278"/>
      <c r="V806" s="279">
        <f>M806-Z806-AB806-AD806-AF806-AH806-AJ806-AL806-AN806-AP806-AR806-AT806-AV806-AX806-AZ806-BB806-BD806-BF806-BH806-U806</f>
        <v>50</v>
      </c>
      <c r="W806" s="280" t="s">
        <v>3886</v>
      </c>
      <c r="X806" s="273"/>
      <c r="Y806" s="322"/>
      <c r="Z806" s="322"/>
    </row>
    <row r="807" spans="1:29" s="28" customFormat="1" ht="20.25" customHeight="1">
      <c r="A807" s="11">
        <v>45981</v>
      </c>
      <c r="B807" s="16" t="s">
        <v>3873</v>
      </c>
      <c r="C807" s="16" t="s">
        <v>304</v>
      </c>
      <c r="D807" s="19" t="s">
        <v>212</v>
      </c>
      <c r="E807" s="16" t="s">
        <v>34</v>
      </c>
      <c r="F807" s="16" t="s">
        <v>3879</v>
      </c>
      <c r="G807" s="16" t="s">
        <v>71</v>
      </c>
      <c r="H807" s="16" t="s">
        <v>31</v>
      </c>
      <c r="I807" s="1"/>
      <c r="J807" s="1" t="s">
        <v>27</v>
      </c>
      <c r="K807" s="16" t="s">
        <v>2355</v>
      </c>
      <c r="L807" s="1" t="s">
        <v>35</v>
      </c>
      <c r="M807" s="17">
        <v>25</v>
      </c>
      <c r="N807" s="23">
        <v>1.29</v>
      </c>
      <c r="O807" s="1" t="s">
        <v>67</v>
      </c>
      <c r="P807" s="1" t="s">
        <v>63</v>
      </c>
      <c r="Q807" s="1" t="s">
        <v>29</v>
      </c>
      <c r="R807" s="1" t="s">
        <v>2866</v>
      </c>
      <c r="S807" s="121" t="s">
        <v>3809</v>
      </c>
      <c r="T807" s="13">
        <v>45995</v>
      </c>
      <c r="U807" s="19"/>
      <c r="V807" s="53">
        <f>M807-Z807-AB807-AD807-AF807-AH807-AJ807-AL807-AN807-AP807-AR807-AT807-AV807-AX807-AZ807-BB807-BD807-BF807-BH807-U807</f>
        <v>-3.3000000000000007</v>
      </c>
      <c r="W807" s="22" t="s">
        <v>3887</v>
      </c>
      <c r="X807" s="16"/>
      <c r="Y807" s="9"/>
      <c r="Z807" s="19">
        <v>28.3</v>
      </c>
      <c r="AA807" s="252">
        <v>45993</v>
      </c>
    </row>
    <row r="808" spans="1:29" s="28" customFormat="1" ht="20.25" customHeight="1">
      <c r="A808" s="11">
        <v>45981</v>
      </c>
      <c r="B808" s="16" t="s">
        <v>3874</v>
      </c>
      <c r="C808" s="16" t="s">
        <v>304</v>
      </c>
      <c r="D808" s="19" t="s">
        <v>212</v>
      </c>
      <c r="E808" s="16" t="s">
        <v>34</v>
      </c>
      <c r="F808" s="16" t="s">
        <v>3880</v>
      </c>
      <c r="G808" s="16" t="s">
        <v>71</v>
      </c>
      <c r="H808" s="16" t="s">
        <v>31</v>
      </c>
      <c r="I808" s="1"/>
      <c r="J808" s="1" t="s">
        <v>27</v>
      </c>
      <c r="K808" s="16" t="s">
        <v>3296</v>
      </c>
      <c r="L808" s="1" t="s">
        <v>35</v>
      </c>
      <c r="M808" s="17">
        <v>25</v>
      </c>
      <c r="N808" s="23">
        <v>1.29</v>
      </c>
      <c r="O808" s="1" t="s">
        <v>67</v>
      </c>
      <c r="P808" s="1" t="s">
        <v>63</v>
      </c>
      <c r="Q808" s="1" t="s">
        <v>29</v>
      </c>
      <c r="R808" s="1" t="s">
        <v>3883</v>
      </c>
      <c r="S808" s="121" t="s">
        <v>3809</v>
      </c>
      <c r="T808" s="13">
        <v>45995</v>
      </c>
      <c r="U808" s="19"/>
      <c r="V808" s="53">
        <f>M808-Z808-AB808-AD808-AF808-AH808-AJ808-AL808-AN808-AP808-AR808-AT808-AV808-AX808-AZ808-BB808-BD808-BF808-BH808-U808</f>
        <v>-2.8999999999999986</v>
      </c>
      <c r="W808" s="22" t="s">
        <v>3888</v>
      </c>
      <c r="X808" s="16"/>
      <c r="Y808" s="9"/>
      <c r="Z808" s="19">
        <v>27.9</v>
      </c>
      <c r="AA808" s="252">
        <v>45993</v>
      </c>
    </row>
    <row r="809" spans="1:29" s="28" customFormat="1" ht="20.25" customHeight="1">
      <c r="A809" s="11">
        <v>45981</v>
      </c>
      <c r="B809" s="16" t="s">
        <v>3875</v>
      </c>
      <c r="C809" s="16" t="s">
        <v>304</v>
      </c>
      <c r="D809" s="19" t="s">
        <v>212</v>
      </c>
      <c r="E809" s="16" t="s">
        <v>34</v>
      </c>
      <c r="F809" s="16" t="s">
        <v>3881</v>
      </c>
      <c r="G809" s="16" t="s">
        <v>71</v>
      </c>
      <c r="H809" s="16" t="s">
        <v>31</v>
      </c>
      <c r="I809" s="1"/>
      <c r="J809" s="1" t="s">
        <v>27</v>
      </c>
      <c r="K809" s="16" t="s">
        <v>3882</v>
      </c>
      <c r="L809" s="1" t="s">
        <v>35</v>
      </c>
      <c r="M809" s="17">
        <v>25</v>
      </c>
      <c r="N809" s="23">
        <v>1.29</v>
      </c>
      <c r="O809" s="1" t="s">
        <v>67</v>
      </c>
      <c r="P809" s="1" t="s">
        <v>63</v>
      </c>
      <c r="Q809" s="1" t="s">
        <v>29</v>
      </c>
      <c r="R809" s="1" t="s">
        <v>2863</v>
      </c>
      <c r="S809" s="121" t="s">
        <v>3809</v>
      </c>
      <c r="T809" s="13">
        <v>45995</v>
      </c>
      <c r="U809" s="19"/>
      <c r="V809" s="53">
        <f>M809-Z809-AB809-AD809-AF809-AH809-AJ809-AL809-AN809-AP809-AR809-AT809-AV809-AX809-AZ809-BB809-BD809-BF809-BH809-U809</f>
        <v>-1.5</v>
      </c>
      <c r="W809" s="22" t="s">
        <v>3889</v>
      </c>
      <c r="X809" s="16"/>
      <c r="Y809" s="9"/>
      <c r="Z809" s="19">
        <v>26.5</v>
      </c>
      <c r="AA809" s="252">
        <v>45993</v>
      </c>
    </row>
    <row r="810" spans="1:29" s="28" customFormat="1" ht="20.25" customHeight="1">
      <c r="A810" s="11">
        <v>45981</v>
      </c>
      <c r="B810" s="16" t="s">
        <v>3890</v>
      </c>
      <c r="C810" s="16" t="s">
        <v>290</v>
      </c>
      <c r="D810" s="19" t="s">
        <v>212</v>
      </c>
      <c r="E810" s="16" t="s">
        <v>25</v>
      </c>
      <c r="F810" s="16" t="s">
        <v>3892</v>
      </c>
      <c r="G810" s="16" t="s">
        <v>71</v>
      </c>
      <c r="H810" s="16" t="s">
        <v>31</v>
      </c>
      <c r="I810" s="16"/>
      <c r="J810" s="16" t="s">
        <v>27</v>
      </c>
      <c r="K810" s="16" t="s">
        <v>1328</v>
      </c>
      <c r="L810" s="16" t="s">
        <v>35</v>
      </c>
      <c r="M810" s="17">
        <v>6122</v>
      </c>
      <c r="N810" s="23">
        <v>1.29</v>
      </c>
      <c r="O810" s="16" t="s">
        <v>67</v>
      </c>
      <c r="P810" s="16" t="s">
        <v>63</v>
      </c>
      <c r="Q810" s="16" t="s">
        <v>29</v>
      </c>
      <c r="R810" s="16" t="s">
        <v>3894</v>
      </c>
      <c r="S810" s="12" t="s">
        <v>3717</v>
      </c>
      <c r="T810" s="13">
        <v>45987</v>
      </c>
      <c r="U810" s="19"/>
      <c r="V810" s="53">
        <f>M810-Z810-AB810-AD810-AF810-AH810-AJ810-AL810-AN810-AP810-AR810-AT810-AV810-AX810-AZ810-BB810-BD810-BF810-BH810-U810</f>
        <v>-7.0999999999994543</v>
      </c>
      <c r="W810" s="22" t="s">
        <v>3896</v>
      </c>
      <c r="X810" s="16" t="s">
        <v>29</v>
      </c>
      <c r="Y810" s="9"/>
      <c r="Z810" s="19">
        <f>801.1+2080.9+2898.2+348.9</f>
        <v>6129.0999999999995</v>
      </c>
      <c r="AA810" s="252">
        <v>45988</v>
      </c>
    </row>
    <row r="811" spans="1:29" s="28" customFormat="1" ht="20.25" customHeight="1">
      <c r="A811" s="11">
        <v>45981</v>
      </c>
      <c r="B811" s="16" t="s">
        <v>3891</v>
      </c>
      <c r="C811" s="16" t="s">
        <v>400</v>
      </c>
      <c r="D811" s="19" t="s">
        <v>212</v>
      </c>
      <c r="E811" s="16" t="s">
        <v>25</v>
      </c>
      <c r="F811" s="16" t="s">
        <v>3893</v>
      </c>
      <c r="G811" s="16" t="s">
        <v>71</v>
      </c>
      <c r="H811" s="16" t="s">
        <v>26</v>
      </c>
      <c r="I811" s="16"/>
      <c r="J811" s="16" t="s">
        <v>27</v>
      </c>
      <c r="K811" s="16" t="s">
        <v>1337</v>
      </c>
      <c r="L811" s="16" t="s">
        <v>35</v>
      </c>
      <c r="M811" s="17">
        <v>59.73</v>
      </c>
      <c r="N811" s="23">
        <v>1.29</v>
      </c>
      <c r="O811" s="16" t="s">
        <v>67</v>
      </c>
      <c r="P811" s="16" t="s">
        <v>63</v>
      </c>
      <c r="Q811" s="16" t="s">
        <v>3557</v>
      </c>
      <c r="R811" s="16" t="s">
        <v>3649</v>
      </c>
      <c r="S811" s="12" t="s">
        <v>3809</v>
      </c>
      <c r="T811" s="13">
        <v>45995</v>
      </c>
      <c r="U811" s="19"/>
      <c r="V811" s="53">
        <f>M811-Z811-AB811-AD811-AF811-AH811-AJ811-AL811-AN811-AP811-AR811-AT811-AV811-AX811-AZ811-BB811-BD811-BF811-BH811-U811</f>
        <v>-0.87000000000000455</v>
      </c>
      <c r="W811" s="22" t="s">
        <v>3897</v>
      </c>
      <c r="X811" s="16" t="s">
        <v>29</v>
      </c>
      <c r="Y811" s="9"/>
      <c r="Z811" s="19">
        <v>60.6</v>
      </c>
      <c r="AA811" s="252">
        <v>45994</v>
      </c>
    </row>
    <row r="812" spans="1:29" s="28" customFormat="1" ht="20.25" customHeight="1">
      <c r="A812" s="11">
        <v>45982</v>
      </c>
      <c r="B812" s="16" t="s">
        <v>3898</v>
      </c>
      <c r="C812" s="16" t="s">
        <v>304</v>
      </c>
      <c r="D812" s="19" t="s">
        <v>212</v>
      </c>
      <c r="E812" s="16" t="s">
        <v>34</v>
      </c>
      <c r="F812" s="16" t="s">
        <v>3901</v>
      </c>
      <c r="G812" s="16" t="s">
        <v>71</v>
      </c>
      <c r="H812" s="16" t="s">
        <v>31</v>
      </c>
      <c r="I812" s="1"/>
      <c r="J812" s="1" t="s">
        <v>27</v>
      </c>
      <c r="K812" s="16" t="s">
        <v>292</v>
      </c>
      <c r="L812" s="1" t="s">
        <v>35</v>
      </c>
      <c r="M812" s="17">
        <v>25</v>
      </c>
      <c r="N812" s="23">
        <v>1.29</v>
      </c>
      <c r="O812" s="1" t="s">
        <v>67</v>
      </c>
      <c r="P812" s="1" t="s">
        <v>63</v>
      </c>
      <c r="Q812" s="1" t="s">
        <v>29</v>
      </c>
      <c r="R812" s="1" t="s">
        <v>3904</v>
      </c>
      <c r="S812" s="121" t="s">
        <v>3907</v>
      </c>
      <c r="T812" s="13">
        <v>45996</v>
      </c>
      <c r="U812" s="19"/>
      <c r="V812" s="53">
        <f>M812-Z812-AB812-AD812-AF812-AH812-AJ812-AL812-AN812-AP812-AR812-AT812-AV812-AX812-AZ812-BB812-BD812-BF812-BH812-U812</f>
        <v>-3.5</v>
      </c>
      <c r="W812" s="22" t="s">
        <v>3908</v>
      </c>
      <c r="X812" s="16" t="s">
        <v>29</v>
      </c>
      <c r="Y812" s="9"/>
      <c r="Z812" s="19">
        <v>28.5</v>
      </c>
      <c r="AA812" s="252">
        <v>45993</v>
      </c>
    </row>
    <row r="813" spans="1:29" s="28" customFormat="1" ht="20.25" customHeight="1">
      <c r="A813" s="11">
        <v>45982</v>
      </c>
      <c r="B813" s="16" t="s">
        <v>3899</v>
      </c>
      <c r="C813" s="16" t="s">
        <v>304</v>
      </c>
      <c r="D813" s="19" t="s">
        <v>212</v>
      </c>
      <c r="E813" s="16" t="s">
        <v>34</v>
      </c>
      <c r="F813" s="16" t="s">
        <v>3902</v>
      </c>
      <c r="G813" s="16" t="s">
        <v>71</v>
      </c>
      <c r="H813" s="16" t="s">
        <v>31</v>
      </c>
      <c r="I813" s="1"/>
      <c r="J813" s="1" t="s">
        <v>27</v>
      </c>
      <c r="K813" s="16" t="s">
        <v>1796</v>
      </c>
      <c r="L813" s="1" t="s">
        <v>35</v>
      </c>
      <c r="M813" s="17">
        <v>25</v>
      </c>
      <c r="N813" s="23">
        <v>1.29</v>
      </c>
      <c r="O813" s="1" t="s">
        <v>67</v>
      </c>
      <c r="P813" s="1" t="s">
        <v>63</v>
      </c>
      <c r="Q813" s="1" t="s">
        <v>29</v>
      </c>
      <c r="R813" s="1" t="s">
        <v>3113</v>
      </c>
      <c r="S813" s="121" t="s">
        <v>3907</v>
      </c>
      <c r="T813" s="13">
        <v>45996</v>
      </c>
      <c r="U813" s="19"/>
      <c r="V813" s="53">
        <f>M813-Z813-AB813-AD813-AF813-AH813-AJ813-AL813-AN813-AP813-AR813-AT813-AV813-AX813-AZ813-BB813-BD813-BF813-BH813-U813</f>
        <v>-2.1999999999999993</v>
      </c>
      <c r="W813" s="22" t="s">
        <v>3909</v>
      </c>
      <c r="X813" s="16" t="s">
        <v>29</v>
      </c>
      <c r="Y813" s="9"/>
      <c r="Z813" s="19">
        <v>27.2</v>
      </c>
      <c r="AA813" s="252">
        <v>45993</v>
      </c>
    </row>
    <row r="814" spans="1:29" s="282" customFormat="1" ht="20.25" customHeight="1">
      <c r="A814" s="272">
        <v>45982</v>
      </c>
      <c r="B814" s="273" t="s">
        <v>3900</v>
      </c>
      <c r="C814" s="273" t="s">
        <v>304</v>
      </c>
      <c r="D814" s="273" t="s">
        <v>212</v>
      </c>
      <c r="E814" s="273" t="s">
        <v>34</v>
      </c>
      <c r="F814" s="273" t="s">
        <v>3903</v>
      </c>
      <c r="G814" s="273" t="s">
        <v>71</v>
      </c>
      <c r="H814" s="273" t="s">
        <v>31</v>
      </c>
      <c r="I814" s="1"/>
      <c r="J814" s="1" t="s">
        <v>27</v>
      </c>
      <c r="K814" s="273" t="s">
        <v>598</v>
      </c>
      <c r="L814" s="273" t="s">
        <v>35</v>
      </c>
      <c r="M814" s="274">
        <v>50</v>
      </c>
      <c r="N814" s="6">
        <v>1.29</v>
      </c>
      <c r="O814" s="273" t="s">
        <v>67</v>
      </c>
      <c r="P814" s="273" t="s">
        <v>63</v>
      </c>
      <c r="Q814" s="273" t="s">
        <v>29</v>
      </c>
      <c r="R814" s="273" t="s">
        <v>3905</v>
      </c>
      <c r="S814" s="276" t="s">
        <v>3907</v>
      </c>
      <c r="T814" s="277">
        <v>45996</v>
      </c>
      <c r="U814" s="278"/>
      <c r="V814" s="279">
        <f>M814-Z814-AB814-AD814-AF814-AH814-AJ814-AL814-AN814-AP814-AR814-AT814-AV814-AX814-AZ814-BB814-BD814-BF814-BH814-U814</f>
        <v>50</v>
      </c>
      <c r="W814" s="280" t="s">
        <v>3910</v>
      </c>
      <c r="X814" s="273" t="s">
        <v>29</v>
      </c>
      <c r="Y814" s="322"/>
      <c r="Z814" s="322"/>
    </row>
    <row r="815" spans="1:29" s="28" customFormat="1" ht="20.25" customHeight="1">
      <c r="A815" s="11">
        <v>45985</v>
      </c>
      <c r="B815" s="16" t="s">
        <v>3926</v>
      </c>
      <c r="C815" s="16" t="s">
        <v>382</v>
      </c>
      <c r="D815" s="19" t="s">
        <v>212</v>
      </c>
      <c r="E815" s="16" t="s">
        <v>25</v>
      </c>
      <c r="F815" s="16" t="s">
        <v>3927</v>
      </c>
      <c r="G815" s="16" t="s">
        <v>71</v>
      </c>
      <c r="H815" s="16" t="s">
        <v>31</v>
      </c>
      <c r="I815" s="1"/>
      <c r="J815" s="1" t="s">
        <v>27</v>
      </c>
      <c r="K815" s="16" t="s">
        <v>913</v>
      </c>
      <c r="L815" s="1" t="s">
        <v>35</v>
      </c>
      <c r="M815" s="17">
        <v>11506.45</v>
      </c>
      <c r="N815" s="6">
        <v>1.29</v>
      </c>
      <c r="O815" s="1" t="s">
        <v>1063</v>
      </c>
      <c r="P815" s="1" t="s">
        <v>63</v>
      </c>
      <c r="Q815" s="1" t="s">
        <v>3928</v>
      </c>
      <c r="R815" s="1" t="s">
        <v>3929</v>
      </c>
      <c r="S815" s="12" t="s">
        <v>3931</v>
      </c>
      <c r="T815" s="13">
        <v>45996</v>
      </c>
      <c r="U815" s="19"/>
      <c r="V815" s="53">
        <f>M815-Z815-AB815-AD815-AF815-AH815-AJ815-AL815-AN815-AP815-AR815-AT815-AV815-AX815-AZ815-BB815-BD815-BF815-BH815-U815</f>
        <v>-3.75</v>
      </c>
      <c r="W815" s="22" t="s">
        <v>3932</v>
      </c>
      <c r="X815" s="16" t="s">
        <v>29</v>
      </c>
      <c r="Y815" s="9"/>
      <c r="Z815" s="19">
        <f>3174.7+4212.4+555.9+3274.5+292.7</f>
        <v>11510.2</v>
      </c>
      <c r="AA815" s="252">
        <v>45996</v>
      </c>
    </row>
    <row r="816" spans="1:29" s="28" customFormat="1" ht="20.25" customHeight="1">
      <c r="A816" s="11">
        <v>45985</v>
      </c>
      <c r="B816" s="16" t="s">
        <v>3926</v>
      </c>
      <c r="C816" s="16" t="s">
        <v>382</v>
      </c>
      <c r="D816" s="19" t="s">
        <v>212</v>
      </c>
      <c r="E816" s="16" t="s">
        <v>25</v>
      </c>
      <c r="F816" s="16" t="s">
        <v>3927</v>
      </c>
      <c r="G816" s="16" t="s">
        <v>71</v>
      </c>
      <c r="H816" s="16" t="s">
        <v>31</v>
      </c>
      <c r="I816" s="1"/>
      <c r="J816" s="1" t="s">
        <v>27</v>
      </c>
      <c r="K816" s="16" t="s">
        <v>372</v>
      </c>
      <c r="L816" s="1" t="s">
        <v>35</v>
      </c>
      <c r="M816" s="17">
        <v>6091.65</v>
      </c>
      <c r="N816" s="6">
        <v>1.29</v>
      </c>
      <c r="O816" s="1" t="s">
        <v>67</v>
      </c>
      <c r="P816" s="1" t="s">
        <v>63</v>
      </c>
      <c r="Q816" s="1" t="s">
        <v>3928</v>
      </c>
      <c r="R816" s="1" t="s">
        <v>3930</v>
      </c>
      <c r="S816" s="12" t="s">
        <v>3931</v>
      </c>
      <c r="T816" s="13">
        <v>46006</v>
      </c>
      <c r="U816" s="19"/>
      <c r="V816" s="53">
        <f>M816-Z816-AB816-AD816-AF816-AH816-AJ816-AL816-AN816-AP816-AR816-AT816-AV816-AX816-AZ816-BB816-BD816-BF816-BH816-U816</f>
        <v>-2.1500000000005457</v>
      </c>
      <c r="W816" s="22" t="s">
        <v>3933</v>
      </c>
      <c r="X816" s="16" t="s">
        <v>29</v>
      </c>
      <c r="Y816" s="9"/>
      <c r="Z816" s="19">
        <v>1413.2</v>
      </c>
      <c r="AA816" s="252">
        <v>45996</v>
      </c>
      <c r="AB816" s="19">
        <f>451.8+4228.8</f>
        <v>4680.6000000000004</v>
      </c>
      <c r="AC816" s="252">
        <v>46009</v>
      </c>
    </row>
    <row r="817" spans="1:29" s="28" customFormat="1" ht="20.25" customHeight="1">
      <c r="A817" s="11">
        <v>45986</v>
      </c>
      <c r="B817" s="16" t="s">
        <v>3934</v>
      </c>
      <c r="C817" s="16" t="s">
        <v>1568</v>
      </c>
      <c r="D817" s="16" t="s">
        <v>212</v>
      </c>
      <c r="E817" s="16" t="s">
        <v>25</v>
      </c>
      <c r="F817" s="16" t="s">
        <v>3935</v>
      </c>
      <c r="G817" s="16" t="s">
        <v>71</v>
      </c>
      <c r="H817" s="16" t="s">
        <v>31</v>
      </c>
      <c r="I817" s="1"/>
      <c r="J817" s="1" t="s">
        <v>27</v>
      </c>
      <c r="K817" s="16" t="s">
        <v>250</v>
      </c>
      <c r="L817" s="1" t="s">
        <v>35</v>
      </c>
      <c r="M817" s="17">
        <v>326</v>
      </c>
      <c r="N817" s="6">
        <v>1.29</v>
      </c>
      <c r="O817" s="1" t="s">
        <v>67</v>
      </c>
      <c r="P817" s="1" t="s">
        <v>63</v>
      </c>
      <c r="Q817" s="1" t="s">
        <v>29</v>
      </c>
      <c r="R817" s="1" t="s">
        <v>3936</v>
      </c>
      <c r="S817" s="12" t="s">
        <v>1802</v>
      </c>
      <c r="T817" s="13">
        <v>46007</v>
      </c>
      <c r="U817" s="19"/>
      <c r="V817" s="53">
        <f>M817-Z817-AB817-AD817-AF817-AH817-AJ817-AL817-AN817-AP817-AR817-AT817-AV817-AX817-AZ817-BB817-BD817-BF817-BH817-U817</f>
        <v>-1.1999999999999886</v>
      </c>
      <c r="W817" s="22" t="s">
        <v>3939</v>
      </c>
      <c r="X817" s="16"/>
      <c r="Y817" s="9"/>
      <c r="Z817" s="19">
        <v>327.2</v>
      </c>
      <c r="AA817" s="252">
        <v>45996</v>
      </c>
    </row>
    <row r="818" spans="1:29" s="28" customFormat="1" ht="20.25" customHeight="1">
      <c r="A818" s="11">
        <v>45986</v>
      </c>
      <c r="B818" s="16" t="s">
        <v>3934</v>
      </c>
      <c r="C818" s="16" t="s">
        <v>1568</v>
      </c>
      <c r="D818" s="16" t="s">
        <v>212</v>
      </c>
      <c r="E818" s="16" t="s">
        <v>25</v>
      </c>
      <c r="F818" s="16" t="s">
        <v>3935</v>
      </c>
      <c r="G818" s="16" t="s">
        <v>71</v>
      </c>
      <c r="H818" s="16" t="s">
        <v>26</v>
      </c>
      <c r="I818" s="16"/>
      <c r="J818" s="16" t="s">
        <v>27</v>
      </c>
      <c r="K818" s="16" t="s">
        <v>1470</v>
      </c>
      <c r="L818" s="16" t="s">
        <v>35</v>
      </c>
      <c r="M818" s="17">
        <v>4369</v>
      </c>
      <c r="N818" s="23">
        <v>1.29</v>
      </c>
      <c r="O818" s="16" t="s">
        <v>67</v>
      </c>
      <c r="P818" s="16" t="s">
        <v>63</v>
      </c>
      <c r="Q818" s="16" t="s">
        <v>29</v>
      </c>
      <c r="R818" s="16" t="s">
        <v>3937</v>
      </c>
      <c r="S818" s="12" t="s">
        <v>1802</v>
      </c>
      <c r="T818" s="13">
        <v>46007</v>
      </c>
      <c r="U818" s="19"/>
      <c r="V818" s="53">
        <f>M818-Z818-AB818-AD818-AF818-AH818-AJ818-AL818-AN818-AP818-AR818-AT818-AV818-AX818-AZ818-BB818-BD818-BF818-BH818-U818</f>
        <v>-0.6999999999998181</v>
      </c>
      <c r="W818" s="22" t="s">
        <v>3945</v>
      </c>
      <c r="X818" s="16"/>
      <c r="Y818" s="9"/>
      <c r="Z818" s="19">
        <v>1429.6</v>
      </c>
      <c r="AA818" s="252">
        <v>45996</v>
      </c>
      <c r="AB818" s="19">
        <v>2940.1</v>
      </c>
      <c r="AC818" s="252">
        <v>46000</v>
      </c>
    </row>
    <row r="819" spans="1:29" s="28" customFormat="1" ht="20.25" customHeight="1">
      <c r="A819" s="11">
        <v>45986</v>
      </c>
      <c r="B819" s="16" t="s">
        <v>3934</v>
      </c>
      <c r="C819" s="16" t="s">
        <v>1568</v>
      </c>
      <c r="D819" s="16" t="s">
        <v>212</v>
      </c>
      <c r="E819" s="16" t="s">
        <v>25</v>
      </c>
      <c r="F819" s="16" t="s">
        <v>3935</v>
      </c>
      <c r="G819" s="16" t="s">
        <v>71</v>
      </c>
      <c r="H819" s="16" t="s">
        <v>26</v>
      </c>
      <c r="I819" s="1"/>
      <c r="J819" s="1" t="s">
        <v>27</v>
      </c>
      <c r="K819" s="16" t="s">
        <v>1476</v>
      </c>
      <c r="L819" s="1" t="s">
        <v>35</v>
      </c>
      <c r="M819" s="17">
        <v>2888</v>
      </c>
      <c r="N819" s="6">
        <v>1.29</v>
      </c>
      <c r="O819" s="1" t="s">
        <v>1063</v>
      </c>
      <c r="P819" s="1" t="s">
        <v>63</v>
      </c>
      <c r="Q819" s="1" t="s">
        <v>29</v>
      </c>
      <c r="R819" s="1" t="s">
        <v>3938</v>
      </c>
      <c r="S819" s="12" t="s">
        <v>1802</v>
      </c>
      <c r="T819" s="13">
        <v>46007</v>
      </c>
      <c r="U819" s="19"/>
      <c r="V819" s="53">
        <f>M819-Z819-AB819-AD819-AF819-AH819-AJ819-AL819-AN819-AP819-AR819-AT819-AV819-AX819-AZ819-BB819-BD819-BF819-BH819-U819</f>
        <v>-1.5</v>
      </c>
      <c r="W819" s="22" t="s">
        <v>3940</v>
      </c>
      <c r="X819" s="16"/>
      <c r="Y819" s="9"/>
      <c r="Z819" s="19">
        <f>504.4+912.1+1473</f>
        <v>2889.5</v>
      </c>
      <c r="AA819" s="252">
        <v>45996</v>
      </c>
    </row>
    <row r="820" spans="1:29" s="28" customFormat="1" ht="20.25" customHeight="1">
      <c r="A820" s="11">
        <v>45986</v>
      </c>
      <c r="B820" s="16" t="s">
        <v>3934</v>
      </c>
      <c r="C820" s="16" t="s">
        <v>1568</v>
      </c>
      <c r="D820" s="16" t="s">
        <v>212</v>
      </c>
      <c r="E820" s="16" t="s">
        <v>25</v>
      </c>
      <c r="F820" s="16" t="s">
        <v>3935</v>
      </c>
      <c r="G820" s="16" t="s">
        <v>71</v>
      </c>
      <c r="H820" s="16" t="s">
        <v>31</v>
      </c>
      <c r="I820" s="16"/>
      <c r="J820" s="16" t="s">
        <v>27</v>
      </c>
      <c r="K820" s="16" t="s">
        <v>3646</v>
      </c>
      <c r="L820" s="16" t="s">
        <v>35</v>
      </c>
      <c r="M820" s="17">
        <v>1716</v>
      </c>
      <c r="N820" s="23">
        <v>1.29</v>
      </c>
      <c r="O820" s="16" t="s">
        <v>67</v>
      </c>
      <c r="P820" s="16" t="s">
        <v>63</v>
      </c>
      <c r="Q820" s="16" t="s">
        <v>29</v>
      </c>
      <c r="R820" s="16" t="s">
        <v>2497</v>
      </c>
      <c r="S820" s="12" t="s">
        <v>1802</v>
      </c>
      <c r="T820" s="13">
        <v>46007</v>
      </c>
      <c r="U820" s="19"/>
      <c r="V820" s="53">
        <f>M820-Z820-AB820-AD820-AF820-AH820-AJ820-AL820-AN820-AP820-AR820-AT820-AV820-AX820-AZ820-BB820-BD820-BF820-BH820-U820</f>
        <v>-0.39999999999986358</v>
      </c>
      <c r="W820" s="22" t="s">
        <v>3941</v>
      </c>
      <c r="X820" s="16"/>
      <c r="Y820" s="9"/>
      <c r="Z820" s="19">
        <v>497.6</v>
      </c>
      <c r="AA820" s="252">
        <v>45996</v>
      </c>
      <c r="AB820" s="19">
        <v>1218.8</v>
      </c>
      <c r="AC820" s="252">
        <v>46000</v>
      </c>
    </row>
    <row r="821" spans="1:29" s="28" customFormat="1" ht="20.25" customHeight="1">
      <c r="A821" s="11">
        <v>45987</v>
      </c>
      <c r="B821" s="16" t="s">
        <v>3946</v>
      </c>
      <c r="C821" s="16" t="s">
        <v>400</v>
      </c>
      <c r="D821" s="16" t="s">
        <v>212</v>
      </c>
      <c r="E821" s="16" t="s">
        <v>25</v>
      </c>
      <c r="F821" s="16" t="s">
        <v>3950</v>
      </c>
      <c r="G821" s="16" t="s">
        <v>71</v>
      </c>
      <c r="H821" s="16" t="s">
        <v>31</v>
      </c>
      <c r="I821" s="16"/>
      <c r="J821" s="16" t="s">
        <v>27</v>
      </c>
      <c r="K821" s="16" t="s">
        <v>3882</v>
      </c>
      <c r="L821" s="16" t="s">
        <v>35</v>
      </c>
      <c r="M821" s="17">
        <v>656.07</v>
      </c>
      <c r="N821" s="23">
        <v>1.29</v>
      </c>
      <c r="O821" s="16" t="s">
        <v>67</v>
      </c>
      <c r="P821" s="16" t="s">
        <v>63</v>
      </c>
      <c r="Q821" s="16" t="s">
        <v>1562</v>
      </c>
      <c r="R821" s="16" t="s">
        <v>3954</v>
      </c>
      <c r="S821" s="12" t="s">
        <v>3957</v>
      </c>
      <c r="T821" s="13">
        <v>46008</v>
      </c>
      <c r="U821" s="19"/>
      <c r="V821" s="53">
        <f>M821-Z821-AB821-AD821-AF821-AH821-AJ821-AL821-AN821-AP821-AR821-AT821-AV821-AX821-AZ821-BB821-BD821-BF821-BH821-U821</f>
        <v>-6.0299999999999727</v>
      </c>
      <c r="W821" s="22" t="s">
        <v>3958</v>
      </c>
      <c r="X821" s="16" t="s">
        <v>29</v>
      </c>
      <c r="Y821" s="9"/>
      <c r="Z821" s="19">
        <v>662.1</v>
      </c>
      <c r="AA821" s="252">
        <v>45994</v>
      </c>
    </row>
    <row r="822" spans="1:29" s="36" customFormat="1" ht="20.25" customHeight="1">
      <c r="A822" s="7">
        <v>45987</v>
      </c>
      <c r="B822" s="19" t="s">
        <v>3947</v>
      </c>
      <c r="C822" s="19" t="s">
        <v>304</v>
      </c>
      <c r="D822" s="19" t="s">
        <v>212</v>
      </c>
      <c r="E822" s="19" t="s">
        <v>25</v>
      </c>
      <c r="F822" s="19" t="s">
        <v>3951</v>
      </c>
      <c r="G822" s="19" t="s">
        <v>71</v>
      </c>
      <c r="H822" s="19" t="s">
        <v>31</v>
      </c>
      <c r="I822" s="19"/>
      <c r="J822" s="19" t="s">
        <v>27</v>
      </c>
      <c r="K822" s="19" t="s">
        <v>598</v>
      </c>
      <c r="L822" s="19" t="s">
        <v>35</v>
      </c>
      <c r="M822" s="20">
        <v>900</v>
      </c>
      <c r="N822" s="25">
        <v>1.29</v>
      </c>
      <c r="O822" s="19" t="s">
        <v>67</v>
      </c>
      <c r="P822" s="19" t="s">
        <v>63</v>
      </c>
      <c r="Q822" s="19" t="s">
        <v>29</v>
      </c>
      <c r="R822" s="19" t="s">
        <v>3955</v>
      </c>
      <c r="S822" s="45" t="s">
        <v>3957</v>
      </c>
      <c r="T822" s="8">
        <v>46008</v>
      </c>
      <c r="U822" s="19"/>
      <c r="V822" s="55">
        <f>M822-Z822-AB822-AD822-AF822-AH822-AJ822-AL822-AN822-AP822-AR822-AT822-AV822-AX822-AZ822-BB822-BD822-BF822-BH822-U822</f>
        <v>-0.40000000000009095</v>
      </c>
      <c r="W822" s="15" t="s">
        <v>3959</v>
      </c>
      <c r="X822" s="19" t="s">
        <v>29</v>
      </c>
      <c r="Y822" s="10"/>
      <c r="Z822" s="19">
        <f>751.7+42.5+106.2</f>
        <v>900.40000000000009</v>
      </c>
      <c r="AA822" s="123">
        <v>46008</v>
      </c>
    </row>
    <row r="823" spans="1:29" s="28" customFormat="1" ht="20.25" customHeight="1">
      <c r="A823" s="11">
        <v>45987</v>
      </c>
      <c r="B823" s="16" t="s">
        <v>3948</v>
      </c>
      <c r="C823" s="16" t="s">
        <v>304</v>
      </c>
      <c r="D823" s="16" t="s">
        <v>212</v>
      </c>
      <c r="E823" s="16" t="s">
        <v>25</v>
      </c>
      <c r="F823" s="16" t="s">
        <v>3952</v>
      </c>
      <c r="G823" s="16" t="s">
        <v>71</v>
      </c>
      <c r="H823" s="16" t="s">
        <v>31</v>
      </c>
      <c r="I823" s="16"/>
      <c r="J823" s="16" t="s">
        <v>27</v>
      </c>
      <c r="K823" s="16" t="s">
        <v>1470</v>
      </c>
      <c r="L823" s="16" t="s">
        <v>35</v>
      </c>
      <c r="M823" s="17">
        <v>2780</v>
      </c>
      <c r="N823" s="23">
        <v>1.29</v>
      </c>
      <c r="O823" s="16" t="s">
        <v>67</v>
      </c>
      <c r="P823" s="16" t="s">
        <v>63</v>
      </c>
      <c r="Q823" s="16" t="s">
        <v>29</v>
      </c>
      <c r="R823" s="16" t="s">
        <v>3955</v>
      </c>
      <c r="S823" s="12" t="s">
        <v>3957</v>
      </c>
      <c r="T823" s="13">
        <v>46008</v>
      </c>
      <c r="U823" s="19"/>
      <c r="V823" s="53">
        <f>M823-Z823-AB823-AD823-AF823-AH823-AJ823-AL823-AN823-AP823-AR823-AT823-AV823-AX823-AZ823-BB823-BD823-BF823-BH823-U823</f>
        <v>-4.3000000000001819</v>
      </c>
      <c r="W823" s="22" t="s">
        <v>3960</v>
      </c>
      <c r="X823" s="16" t="s">
        <v>29</v>
      </c>
      <c r="Y823" s="9"/>
      <c r="Z823" s="19">
        <v>2784.3</v>
      </c>
      <c r="AA823" s="252">
        <v>46002</v>
      </c>
    </row>
    <row r="824" spans="1:29" s="36" customFormat="1" ht="20.25" customHeight="1">
      <c r="A824" s="7">
        <v>45987</v>
      </c>
      <c r="B824" s="19" t="s">
        <v>3949</v>
      </c>
      <c r="C824" s="19" t="s">
        <v>304</v>
      </c>
      <c r="D824" s="19" t="s">
        <v>212</v>
      </c>
      <c r="E824" s="19" t="s">
        <v>25</v>
      </c>
      <c r="F824" s="19" t="s">
        <v>3953</v>
      </c>
      <c r="G824" s="19" t="s">
        <v>71</v>
      </c>
      <c r="H824" s="19" t="s">
        <v>31</v>
      </c>
      <c r="I824" s="19"/>
      <c r="J824" s="19" t="s">
        <v>27</v>
      </c>
      <c r="K824" s="19" t="s">
        <v>351</v>
      </c>
      <c r="L824" s="19" t="s">
        <v>35</v>
      </c>
      <c r="M824" s="20">
        <v>1285</v>
      </c>
      <c r="N824" s="25">
        <v>1.29</v>
      </c>
      <c r="O824" s="19" t="s">
        <v>67</v>
      </c>
      <c r="P824" s="19" t="s">
        <v>63</v>
      </c>
      <c r="Q824" s="19" t="s">
        <v>29</v>
      </c>
      <c r="R824" s="19" t="s">
        <v>3956</v>
      </c>
      <c r="S824" s="45" t="s">
        <v>3957</v>
      </c>
      <c r="T824" s="8">
        <v>46008</v>
      </c>
      <c r="U824" s="19"/>
      <c r="V824" s="55">
        <f>M824-Z824-AB824-AD824-AF824-AH824-AJ824-AL824-AN824-AP824-AR824-AT824-AV824-AX824-AZ824-BB824-BD824-BF824-BH824-U824</f>
        <v>-1</v>
      </c>
      <c r="W824" s="15" t="s">
        <v>3961</v>
      </c>
      <c r="X824" s="19" t="s">
        <v>29</v>
      </c>
      <c r="Y824" s="10"/>
      <c r="Z824" s="19">
        <f>179.7+225.2+881.1</f>
        <v>1286</v>
      </c>
      <c r="AA824" s="123">
        <v>46008</v>
      </c>
    </row>
    <row r="825" spans="1:29" s="28" customFormat="1" ht="20.25" customHeight="1">
      <c r="A825" s="11">
        <v>45988</v>
      </c>
      <c r="B825" s="16" t="s">
        <v>3962</v>
      </c>
      <c r="C825" s="16" t="s">
        <v>304</v>
      </c>
      <c r="D825" s="16" t="s">
        <v>212</v>
      </c>
      <c r="E825" s="16" t="s">
        <v>34</v>
      </c>
      <c r="F825" s="16" t="s">
        <v>3963</v>
      </c>
      <c r="G825" s="16" t="s">
        <v>71</v>
      </c>
      <c r="H825" s="16" t="s">
        <v>31</v>
      </c>
      <c r="I825" s="16"/>
      <c r="J825" s="16" t="s">
        <v>27</v>
      </c>
      <c r="K825" s="16" t="s">
        <v>1458</v>
      </c>
      <c r="L825" s="16" t="s">
        <v>35</v>
      </c>
      <c r="M825" s="17">
        <v>75</v>
      </c>
      <c r="N825" s="23">
        <v>1.29</v>
      </c>
      <c r="O825" s="16" t="s">
        <v>67</v>
      </c>
      <c r="P825" s="16" t="s">
        <v>63</v>
      </c>
      <c r="Q825" s="16" t="s">
        <v>29</v>
      </c>
      <c r="R825" s="16" t="s">
        <v>29</v>
      </c>
      <c r="S825" s="12" t="s">
        <v>3895</v>
      </c>
      <c r="T825" s="13">
        <v>46002</v>
      </c>
      <c r="U825" s="19"/>
      <c r="V825" s="53">
        <f>M825-Z825-AB825-AD825-AF825-AH825-AJ825-AL825-AN825-AP825-AR825-AT825-AV825-AX825-AZ825-BB825-BD825-BF825-BH825-U825</f>
        <v>-4</v>
      </c>
      <c r="W825" s="22" t="s">
        <v>3964</v>
      </c>
      <c r="X825" s="16"/>
      <c r="Y825" s="9"/>
      <c r="Z825" s="19">
        <v>79</v>
      </c>
      <c r="AA825" s="252">
        <v>45993</v>
      </c>
    </row>
    <row r="826" spans="1:29" s="36" customFormat="1" ht="20.25" customHeight="1">
      <c r="A826" s="7">
        <v>45988</v>
      </c>
      <c r="B826" s="19" t="s">
        <v>3965</v>
      </c>
      <c r="C826" s="19" t="s">
        <v>267</v>
      </c>
      <c r="D826" s="19" t="s">
        <v>212</v>
      </c>
      <c r="E826" s="19" t="s">
        <v>25</v>
      </c>
      <c r="F826" s="19" t="s">
        <v>3982</v>
      </c>
      <c r="G826" s="19" t="s">
        <v>71</v>
      </c>
      <c r="H826" s="19" t="s">
        <v>31</v>
      </c>
      <c r="I826" s="19"/>
      <c r="J826" s="19" t="s">
        <v>27</v>
      </c>
      <c r="K826" s="19" t="s">
        <v>613</v>
      </c>
      <c r="L826" s="19" t="s">
        <v>35</v>
      </c>
      <c r="M826" s="20">
        <v>1100</v>
      </c>
      <c r="N826" s="25">
        <v>1.29</v>
      </c>
      <c r="O826" s="19" t="s">
        <v>67</v>
      </c>
      <c r="P826" s="19" t="s">
        <v>63</v>
      </c>
      <c r="Q826" s="19" t="s">
        <v>29</v>
      </c>
      <c r="R826" s="19" t="s">
        <v>3999</v>
      </c>
      <c r="S826" s="45" t="s">
        <v>4016</v>
      </c>
      <c r="T826" s="8">
        <v>46009</v>
      </c>
      <c r="U826" s="19"/>
      <c r="V826" s="55">
        <f>M826-Z826-AB826-AD826-AF826-AH826-AJ826-AL826-AN826-AP826-AR826-AT826-AV826-AX826-AZ826-BB826-BD826-BF826-BH826-U826</f>
        <v>-1</v>
      </c>
      <c r="W826" s="15" t="s">
        <v>4017</v>
      </c>
      <c r="X826" s="19"/>
      <c r="Y826" s="10"/>
      <c r="Z826" s="19">
        <f>109.1+149</f>
        <v>258.10000000000002</v>
      </c>
      <c r="AA826" s="123">
        <v>46001</v>
      </c>
      <c r="AB826" s="19">
        <v>842.9</v>
      </c>
      <c r="AC826" s="123">
        <v>46008</v>
      </c>
    </row>
    <row r="827" spans="1:29" s="28" customFormat="1" ht="20.25" customHeight="1">
      <c r="A827" s="11">
        <v>45988</v>
      </c>
      <c r="B827" s="16" t="s">
        <v>3966</v>
      </c>
      <c r="C827" s="16" t="s">
        <v>267</v>
      </c>
      <c r="D827" s="16" t="s">
        <v>212</v>
      </c>
      <c r="E827" s="16" t="s">
        <v>25</v>
      </c>
      <c r="F827" s="16" t="s">
        <v>3983</v>
      </c>
      <c r="G827" s="16" t="s">
        <v>71</v>
      </c>
      <c r="H827" s="16" t="s">
        <v>26</v>
      </c>
      <c r="I827" s="16"/>
      <c r="J827" s="16" t="s">
        <v>27</v>
      </c>
      <c r="K827" s="16" t="s">
        <v>3778</v>
      </c>
      <c r="L827" s="16" t="s">
        <v>35</v>
      </c>
      <c r="M827" s="17">
        <v>15180</v>
      </c>
      <c r="N827" s="23">
        <v>1.29</v>
      </c>
      <c r="O827" s="16" t="s">
        <v>1063</v>
      </c>
      <c r="P827" s="16" t="s">
        <v>63</v>
      </c>
      <c r="Q827" s="16" t="s">
        <v>29</v>
      </c>
      <c r="R827" s="16" t="s">
        <v>4000</v>
      </c>
      <c r="S827" s="12" t="s">
        <v>4016</v>
      </c>
      <c r="T827" s="13">
        <v>46009</v>
      </c>
      <c r="U827" s="19"/>
      <c r="V827" s="53">
        <f>M827-Z827-AB827-AD827-AF827-AH827-AJ827-AL827-AN827-AP827-AR827-AT827-AV827-AX827-AZ827-BB827-BD827-BF827-BH827-U827</f>
        <v>-0.69999999999890861</v>
      </c>
      <c r="W827" s="22" t="s">
        <v>4018</v>
      </c>
      <c r="X827" s="16"/>
      <c r="Y827" s="9"/>
      <c r="Z827" s="19">
        <f>2733.6+2535.4+262.6</f>
        <v>5531.6</v>
      </c>
      <c r="AA827" s="252">
        <v>46008</v>
      </c>
      <c r="AB827" s="19">
        <f>2566.9+3957.5+2818.9+305.8</f>
        <v>9649.0999999999985</v>
      </c>
      <c r="AC827" s="252">
        <v>46010</v>
      </c>
    </row>
    <row r="828" spans="1:29" s="28" customFormat="1" ht="20.25" customHeight="1">
      <c r="A828" s="11">
        <v>45988</v>
      </c>
      <c r="B828" s="16" t="s">
        <v>3967</v>
      </c>
      <c r="C828" s="16" t="s">
        <v>267</v>
      </c>
      <c r="D828" s="16" t="s">
        <v>212</v>
      </c>
      <c r="E828" s="16" t="s">
        <v>25</v>
      </c>
      <c r="F828" s="16" t="s">
        <v>3984</v>
      </c>
      <c r="G828" s="16" t="s">
        <v>71</v>
      </c>
      <c r="H828" s="16" t="s">
        <v>26</v>
      </c>
      <c r="I828" s="16"/>
      <c r="J828" s="16" t="s">
        <v>27</v>
      </c>
      <c r="K828" s="16" t="s">
        <v>555</v>
      </c>
      <c r="L828" s="16" t="s">
        <v>35</v>
      </c>
      <c r="M828" s="17">
        <v>790</v>
      </c>
      <c r="N828" s="23">
        <v>1.29</v>
      </c>
      <c r="O828" s="16" t="s">
        <v>67</v>
      </c>
      <c r="P828" s="16" t="s">
        <v>63</v>
      </c>
      <c r="Q828" s="16" t="s">
        <v>29</v>
      </c>
      <c r="R828" s="16" t="s">
        <v>4001</v>
      </c>
      <c r="S828" s="12" t="s">
        <v>3895</v>
      </c>
      <c r="T828" s="13">
        <v>46002</v>
      </c>
      <c r="U828" s="19"/>
      <c r="V828" s="53">
        <f>M828-Z828-AB828-AD828-AF828-AH828-AJ828-AL828-AN828-AP828-AR828-AT828-AV828-AX828-AZ828-BB828-BD828-BF828-BH828-U828</f>
        <v>-1.2999999999999545</v>
      </c>
      <c r="W828" s="22" t="s">
        <v>4019</v>
      </c>
      <c r="X828" s="16"/>
      <c r="Y828" s="9"/>
      <c r="Z828" s="19">
        <v>791.3</v>
      </c>
      <c r="AA828" s="252">
        <v>46001</v>
      </c>
    </row>
    <row r="829" spans="1:29" s="28" customFormat="1" ht="20.25" customHeight="1">
      <c r="A829" s="11">
        <v>45988</v>
      </c>
      <c r="B829" s="16" t="s">
        <v>3968</v>
      </c>
      <c r="C829" s="16" t="s">
        <v>267</v>
      </c>
      <c r="D829" s="16" t="s">
        <v>212</v>
      </c>
      <c r="E829" s="16" t="s">
        <v>25</v>
      </c>
      <c r="F829" s="16" t="s">
        <v>3985</v>
      </c>
      <c r="G829" s="16" t="s">
        <v>71</v>
      </c>
      <c r="H829" s="16" t="s">
        <v>26</v>
      </c>
      <c r="I829" s="16"/>
      <c r="J829" s="16" t="s">
        <v>27</v>
      </c>
      <c r="K829" s="16" t="s">
        <v>223</v>
      </c>
      <c r="L829" s="16" t="s">
        <v>35</v>
      </c>
      <c r="M829" s="17">
        <v>2525</v>
      </c>
      <c r="N829" s="23">
        <v>1.29</v>
      </c>
      <c r="O829" s="16" t="s">
        <v>67</v>
      </c>
      <c r="P829" s="16" t="s">
        <v>63</v>
      </c>
      <c r="Q829" s="16" t="s">
        <v>29</v>
      </c>
      <c r="R829" s="16" t="s">
        <v>4002</v>
      </c>
      <c r="S829" s="12" t="s">
        <v>4016</v>
      </c>
      <c r="T829" s="13">
        <v>46009</v>
      </c>
      <c r="U829" s="19"/>
      <c r="V829" s="53">
        <f>M829-Z829-AB829-AD829-AF829-AH829-AJ829-AL829-AN829-AP829-AR829-AT829-AV829-AX829-AZ829-BB829-BD829-BF829-BH829-U829</f>
        <v>-1.7999999999999119</v>
      </c>
      <c r="W829" s="22" t="s">
        <v>4020</v>
      </c>
      <c r="X829" s="16"/>
      <c r="Y829" s="9"/>
      <c r="Z829" s="19">
        <f>1771.6+646</f>
        <v>2417.6</v>
      </c>
      <c r="AA829" s="252">
        <v>46008</v>
      </c>
      <c r="AB829" s="19">
        <v>109.2</v>
      </c>
      <c r="AC829" s="252">
        <v>46010</v>
      </c>
    </row>
    <row r="830" spans="1:29" s="28" customFormat="1" ht="20.25" customHeight="1">
      <c r="A830" s="11">
        <v>45988</v>
      </c>
      <c r="B830" s="16" t="s">
        <v>3969</v>
      </c>
      <c r="C830" s="16" t="s">
        <v>267</v>
      </c>
      <c r="D830" s="16" t="s">
        <v>212</v>
      </c>
      <c r="E830" s="16" t="s">
        <v>25</v>
      </c>
      <c r="F830" s="16" t="s">
        <v>3986</v>
      </c>
      <c r="G830" s="16" t="s">
        <v>71</v>
      </c>
      <c r="H830" s="16" t="s">
        <v>31</v>
      </c>
      <c r="I830" s="16"/>
      <c r="J830" s="16" t="s">
        <v>27</v>
      </c>
      <c r="K830" s="16" t="s">
        <v>223</v>
      </c>
      <c r="L830" s="16" t="s">
        <v>35</v>
      </c>
      <c r="M830" s="17">
        <v>950</v>
      </c>
      <c r="N830" s="23">
        <v>1.29</v>
      </c>
      <c r="O830" s="16" t="s">
        <v>67</v>
      </c>
      <c r="P830" s="16" t="s">
        <v>63</v>
      </c>
      <c r="Q830" s="16" t="s">
        <v>29</v>
      </c>
      <c r="R830" s="16" t="s">
        <v>4003</v>
      </c>
      <c r="S830" s="12" t="s">
        <v>3895</v>
      </c>
      <c r="T830" s="13">
        <v>46002</v>
      </c>
      <c r="U830" s="19"/>
      <c r="V830" s="53">
        <f>M830-Z830-AB830-AD830-AF830-AH830-AJ830-AL830-AN830-AP830-AR830-AT830-AV830-AX830-AZ830-BB830-BD830-BF830-BH830-U830</f>
        <v>-1.5</v>
      </c>
      <c r="W830" s="22" t="s">
        <v>4021</v>
      </c>
      <c r="X830" s="16"/>
      <c r="Y830" s="9"/>
      <c r="Z830" s="19">
        <v>951.5</v>
      </c>
      <c r="AA830" s="252">
        <v>46001</v>
      </c>
    </row>
    <row r="831" spans="1:29" s="28" customFormat="1" ht="20.25" customHeight="1">
      <c r="A831" s="11">
        <v>45988</v>
      </c>
      <c r="B831" s="16" t="s">
        <v>3970</v>
      </c>
      <c r="C831" s="16" t="s">
        <v>267</v>
      </c>
      <c r="D831" s="16" t="s">
        <v>212</v>
      </c>
      <c r="E831" s="16" t="s">
        <v>25</v>
      </c>
      <c r="F831" s="16" t="s">
        <v>3987</v>
      </c>
      <c r="G831" s="16" t="s">
        <v>71</v>
      </c>
      <c r="H831" s="16" t="s">
        <v>31</v>
      </c>
      <c r="I831" s="16"/>
      <c r="J831" s="16" t="s">
        <v>27</v>
      </c>
      <c r="K831" s="16" t="s">
        <v>1458</v>
      </c>
      <c r="L831" s="16" t="s">
        <v>35</v>
      </c>
      <c r="M831" s="17">
        <v>1100</v>
      </c>
      <c r="N831" s="23">
        <v>1.29</v>
      </c>
      <c r="O831" s="16" t="s">
        <v>67</v>
      </c>
      <c r="P831" s="16" t="s">
        <v>63</v>
      </c>
      <c r="Q831" s="16" t="s">
        <v>29</v>
      </c>
      <c r="R831" s="16" t="s">
        <v>4004</v>
      </c>
      <c r="S831" s="12" t="s">
        <v>4016</v>
      </c>
      <c r="T831" s="13">
        <v>46009</v>
      </c>
      <c r="U831" s="19"/>
      <c r="V831" s="53">
        <f>M831-Z831-AB831-AD831-AF831-AH831-AJ831-AL831-AN831-AP831-AR831-AT831-AV831-AX831-AZ831-BB831-BD831-BF831-BH831-U831</f>
        <v>-0.90000000000009095</v>
      </c>
      <c r="W831" s="22" t="s">
        <v>4022</v>
      </c>
      <c r="X831" s="16"/>
      <c r="Y831" s="9"/>
      <c r="Z831" s="19">
        <v>1100.9000000000001</v>
      </c>
      <c r="AA831" s="252">
        <v>46001</v>
      </c>
    </row>
    <row r="832" spans="1:29" s="28" customFormat="1" ht="20.25" customHeight="1">
      <c r="A832" s="11">
        <v>45988</v>
      </c>
      <c r="B832" s="16" t="s">
        <v>3971</v>
      </c>
      <c r="C832" s="16" t="s">
        <v>267</v>
      </c>
      <c r="D832" s="16" t="s">
        <v>212</v>
      </c>
      <c r="E832" s="16" t="s">
        <v>25</v>
      </c>
      <c r="F832" s="16" t="s">
        <v>3988</v>
      </c>
      <c r="G832" s="16" t="s">
        <v>71</v>
      </c>
      <c r="H832" s="16" t="s">
        <v>31</v>
      </c>
      <c r="I832" s="16"/>
      <c r="J832" s="16" t="s">
        <v>27</v>
      </c>
      <c r="K832" s="16" t="s">
        <v>1667</v>
      </c>
      <c r="L832" s="16" t="s">
        <v>35</v>
      </c>
      <c r="M832" s="17">
        <v>1250</v>
      </c>
      <c r="N832" s="23">
        <v>1.29</v>
      </c>
      <c r="O832" s="16" t="s">
        <v>67</v>
      </c>
      <c r="P832" s="16" t="s">
        <v>63</v>
      </c>
      <c r="Q832" s="16" t="s">
        <v>29</v>
      </c>
      <c r="R832" s="16" t="s">
        <v>4005</v>
      </c>
      <c r="S832" s="12" t="s">
        <v>4016</v>
      </c>
      <c r="T832" s="13">
        <v>46009</v>
      </c>
      <c r="U832" s="19"/>
      <c r="V832" s="53">
        <f>M832-Z832-AB832-AD832-AF832-AH832-AJ832-AL832-AN832-AP832-AR832-AT832-AV832-AX832-AZ832-BB832-BD832-BF832-BH832-U832</f>
        <v>-4.7999999999999545</v>
      </c>
      <c r="W832" s="22" t="s">
        <v>4023</v>
      </c>
      <c r="X832" s="16"/>
      <c r="Y832" s="9"/>
      <c r="Z832" s="19">
        <v>1254.8</v>
      </c>
      <c r="AA832" s="252">
        <v>46008</v>
      </c>
    </row>
    <row r="833" spans="1:35" s="28" customFormat="1" ht="20.25" customHeight="1">
      <c r="A833" s="11">
        <v>45988</v>
      </c>
      <c r="B833" s="16" t="s">
        <v>3972</v>
      </c>
      <c r="C833" s="16" t="s">
        <v>267</v>
      </c>
      <c r="D833" s="16" t="s">
        <v>212</v>
      </c>
      <c r="E833" s="16" t="s">
        <v>25</v>
      </c>
      <c r="F833" s="16" t="s">
        <v>3989</v>
      </c>
      <c r="G833" s="16" t="s">
        <v>71</v>
      </c>
      <c r="H833" s="16" t="s">
        <v>31</v>
      </c>
      <c r="I833" s="16"/>
      <c r="J833" s="16" t="s">
        <v>27</v>
      </c>
      <c r="K833" s="16" t="s">
        <v>3823</v>
      </c>
      <c r="L833" s="16" t="s">
        <v>35</v>
      </c>
      <c r="M833" s="17">
        <v>500</v>
      </c>
      <c r="N833" s="23">
        <v>1.29</v>
      </c>
      <c r="O833" s="16" t="s">
        <v>67</v>
      </c>
      <c r="P833" s="16" t="s">
        <v>63</v>
      </c>
      <c r="Q833" s="16" t="s">
        <v>29</v>
      </c>
      <c r="R833" s="16" t="s">
        <v>3333</v>
      </c>
      <c r="S833" s="12" t="s">
        <v>4016</v>
      </c>
      <c r="T833" s="13">
        <v>46009</v>
      </c>
      <c r="U833" s="19"/>
      <c r="V833" s="53">
        <f>M833-Z833-AB833-AD833-AF833-AH833-AJ833-AL833-AN833-AP833-AR833-AT833-AV833-AX833-AZ833-BB833-BD833-BF833-BH833-U833</f>
        <v>-0.30000000000001137</v>
      </c>
      <c r="W833" s="22" t="s">
        <v>4024</v>
      </c>
      <c r="X833" s="16"/>
      <c r="Y833" s="9"/>
      <c r="Z833" s="19">
        <v>500.3</v>
      </c>
      <c r="AA833" s="252">
        <v>46001</v>
      </c>
    </row>
    <row r="834" spans="1:35" s="28" customFormat="1" ht="20.25" customHeight="1">
      <c r="A834" s="11">
        <v>45988</v>
      </c>
      <c r="B834" s="16" t="s">
        <v>3973</v>
      </c>
      <c r="C834" s="16" t="s">
        <v>267</v>
      </c>
      <c r="D834" s="16" t="s">
        <v>212</v>
      </c>
      <c r="E834" s="16" t="s">
        <v>25</v>
      </c>
      <c r="F834" s="16" t="s">
        <v>3990</v>
      </c>
      <c r="G834" s="16" t="s">
        <v>71</v>
      </c>
      <c r="H834" s="16" t="s">
        <v>26</v>
      </c>
      <c r="I834" s="16"/>
      <c r="J834" s="16" t="s">
        <v>27</v>
      </c>
      <c r="K834" s="16" t="s">
        <v>3778</v>
      </c>
      <c r="L834" s="16" t="s">
        <v>35</v>
      </c>
      <c r="M834" s="17">
        <v>1575</v>
      </c>
      <c r="N834" s="23">
        <v>1.29</v>
      </c>
      <c r="O834" s="16" t="s">
        <v>1063</v>
      </c>
      <c r="P834" s="16" t="s">
        <v>63</v>
      </c>
      <c r="Q834" s="16" t="s">
        <v>29</v>
      </c>
      <c r="R834" s="16" t="s">
        <v>2988</v>
      </c>
      <c r="S834" s="12" t="s">
        <v>4016</v>
      </c>
      <c r="T834" s="13">
        <v>46009</v>
      </c>
      <c r="U834" s="19"/>
      <c r="V834" s="53">
        <f>M834-Z834-AB834-AD834-AF834-AH834-AJ834-AL834-AN834-AP834-AR834-AT834-AV834-AX834-AZ834-BB834-BD834-BF834-BH834-U834</f>
        <v>0</v>
      </c>
      <c r="W834" s="22" t="s">
        <v>4025</v>
      </c>
      <c r="X834" s="16"/>
      <c r="Y834" s="9"/>
      <c r="Z834" s="19">
        <f>482.6+528.1+564.3</f>
        <v>1575</v>
      </c>
      <c r="AA834" s="252">
        <v>46008</v>
      </c>
    </row>
    <row r="835" spans="1:35" s="36" customFormat="1" ht="20.25" customHeight="1">
      <c r="A835" s="7">
        <v>45988</v>
      </c>
      <c r="B835" s="19" t="s">
        <v>3974</v>
      </c>
      <c r="C835" s="19" t="s">
        <v>267</v>
      </c>
      <c r="D835" s="19" t="s">
        <v>212</v>
      </c>
      <c r="E835" s="19" t="s">
        <v>25</v>
      </c>
      <c r="F835" s="19" t="s">
        <v>3991</v>
      </c>
      <c r="G835" s="19" t="s">
        <v>71</v>
      </c>
      <c r="H835" s="19" t="s">
        <v>26</v>
      </c>
      <c r="I835" s="1"/>
      <c r="J835" s="1" t="s">
        <v>27</v>
      </c>
      <c r="K835" s="19" t="s">
        <v>273</v>
      </c>
      <c r="L835" s="1" t="s">
        <v>35</v>
      </c>
      <c r="M835" s="20">
        <v>1700</v>
      </c>
      <c r="N835" s="25">
        <v>1.29</v>
      </c>
      <c r="O835" s="1" t="s">
        <v>67</v>
      </c>
      <c r="P835" s="1" t="s">
        <v>63</v>
      </c>
      <c r="Q835" s="1" t="s">
        <v>29</v>
      </c>
      <c r="R835" s="1" t="s">
        <v>4006</v>
      </c>
      <c r="S835" s="121" t="s">
        <v>4016</v>
      </c>
      <c r="T835" s="8">
        <v>46009</v>
      </c>
      <c r="U835" s="19"/>
      <c r="V835" s="55">
        <f>M835-Z835-AB835-AD835-AF835-AH835-AJ835-AL835-AN835-AP835-AR835-AT835-AV835-AX835-AZ835-BB835-BD835-BF835-BH835-U835</f>
        <v>-0.70000000000010232</v>
      </c>
      <c r="W835" s="15" t="s">
        <v>4026</v>
      </c>
      <c r="X835" s="19"/>
      <c r="Y835" s="10" t="s">
        <v>4316</v>
      </c>
      <c r="Z835" s="19">
        <v>523.20000000000005</v>
      </c>
      <c r="AA835" s="123">
        <v>46008</v>
      </c>
      <c r="AB835" s="19">
        <v>911.7</v>
      </c>
      <c r="AC835" s="123">
        <v>46010</v>
      </c>
      <c r="AD835" s="19">
        <v>265.8</v>
      </c>
      <c r="AE835" s="123">
        <v>46027</v>
      </c>
    </row>
    <row r="836" spans="1:35" s="28" customFormat="1" ht="20.25" customHeight="1">
      <c r="A836" s="11">
        <v>45988</v>
      </c>
      <c r="B836" s="16" t="s">
        <v>3975</v>
      </c>
      <c r="C836" s="16" t="s">
        <v>267</v>
      </c>
      <c r="D836" s="16" t="s">
        <v>212</v>
      </c>
      <c r="E836" s="16" t="s">
        <v>25</v>
      </c>
      <c r="F836" s="16" t="s">
        <v>3992</v>
      </c>
      <c r="G836" s="16" t="s">
        <v>71</v>
      </c>
      <c r="H836" s="16" t="s">
        <v>26</v>
      </c>
      <c r="I836" s="16"/>
      <c r="J836" s="16" t="s">
        <v>27</v>
      </c>
      <c r="K836" s="16" t="s">
        <v>760</v>
      </c>
      <c r="L836" s="16" t="s">
        <v>35</v>
      </c>
      <c r="M836" s="17">
        <v>400</v>
      </c>
      <c r="N836" s="23">
        <v>1.29</v>
      </c>
      <c r="O836" s="16" t="s">
        <v>67</v>
      </c>
      <c r="P836" s="16" t="s">
        <v>63</v>
      </c>
      <c r="Q836" s="16" t="s">
        <v>29</v>
      </c>
      <c r="R836" s="16" t="s">
        <v>3056</v>
      </c>
      <c r="S836" s="12" t="s">
        <v>4016</v>
      </c>
      <c r="T836" s="13">
        <v>46009</v>
      </c>
      <c r="U836" s="19"/>
      <c r="V836" s="53">
        <f>M836-Z836-AB836-AD836-AF836-AH836-AJ836-AL836-AN836-AP836-AR836-AT836-AV836-AX836-AZ836-BB836-BD836-BF836-BH836-U836</f>
        <v>-0.39999999999997726</v>
      </c>
      <c r="W836" s="22" t="s">
        <v>4027</v>
      </c>
      <c r="X836" s="16"/>
      <c r="Y836" s="9"/>
      <c r="Z836" s="19">
        <v>400.4</v>
      </c>
      <c r="AA836" s="252">
        <v>46010</v>
      </c>
    </row>
    <row r="837" spans="1:35" s="28" customFormat="1" ht="20.25" customHeight="1">
      <c r="A837" s="11">
        <v>45988</v>
      </c>
      <c r="B837" s="16" t="s">
        <v>3976</v>
      </c>
      <c r="C837" s="16" t="s">
        <v>267</v>
      </c>
      <c r="D837" s="16" t="s">
        <v>212</v>
      </c>
      <c r="E837" s="16" t="s">
        <v>25</v>
      </c>
      <c r="F837" s="16" t="s">
        <v>3993</v>
      </c>
      <c r="G837" s="16" t="s">
        <v>71</v>
      </c>
      <c r="H837" s="16" t="s">
        <v>31</v>
      </c>
      <c r="I837" s="16"/>
      <c r="J837" s="16" t="s">
        <v>27</v>
      </c>
      <c r="K837" s="16" t="s">
        <v>223</v>
      </c>
      <c r="L837" s="16" t="s">
        <v>35</v>
      </c>
      <c r="M837" s="17">
        <v>50</v>
      </c>
      <c r="N837" s="23">
        <v>1.29</v>
      </c>
      <c r="O837" s="16" t="s">
        <v>67</v>
      </c>
      <c r="P837" s="16" t="s">
        <v>63</v>
      </c>
      <c r="Q837" s="16" t="s">
        <v>29</v>
      </c>
      <c r="R837" s="16" t="s">
        <v>1396</v>
      </c>
      <c r="S837" s="12" t="s">
        <v>3895</v>
      </c>
      <c r="T837" s="13">
        <v>46002</v>
      </c>
      <c r="U837" s="19"/>
      <c r="V837" s="53">
        <f>M837-Z837-AB837-AD837-AF837-AH837-AJ837-AL837-AN837-AP837-AR837-AT837-AV837-AX837-AZ837-BB837-BD837-BF837-BH837-U837</f>
        <v>-2</v>
      </c>
      <c r="W837" s="22" t="s">
        <v>4045</v>
      </c>
      <c r="X837" s="16"/>
      <c r="Y837" s="9"/>
      <c r="Z837" s="19">
        <v>52</v>
      </c>
      <c r="AA837" s="252">
        <v>46001</v>
      </c>
    </row>
    <row r="838" spans="1:35" s="28" customFormat="1" ht="20.25" customHeight="1">
      <c r="A838" s="11">
        <v>45988</v>
      </c>
      <c r="B838" s="16" t="s">
        <v>3977</v>
      </c>
      <c r="C838" s="16" t="s">
        <v>382</v>
      </c>
      <c r="D838" s="16" t="s">
        <v>212</v>
      </c>
      <c r="E838" s="16" t="s">
        <v>25</v>
      </c>
      <c r="F838" s="16" t="s">
        <v>3994</v>
      </c>
      <c r="G838" s="16" t="s">
        <v>71</v>
      </c>
      <c r="H838" s="16" t="s">
        <v>31</v>
      </c>
      <c r="I838" s="16"/>
      <c r="J838" s="16" t="s">
        <v>27</v>
      </c>
      <c r="K838" s="16" t="s">
        <v>782</v>
      </c>
      <c r="L838" s="16" t="s">
        <v>35</v>
      </c>
      <c r="M838" s="17">
        <v>725.19</v>
      </c>
      <c r="N838" s="23">
        <v>1.29</v>
      </c>
      <c r="O838" s="16" t="s">
        <v>67</v>
      </c>
      <c r="P838" s="16" t="s">
        <v>63</v>
      </c>
      <c r="Q838" s="16" t="s">
        <v>392</v>
      </c>
      <c r="R838" s="16" t="s">
        <v>2231</v>
      </c>
      <c r="S838" s="12" t="s">
        <v>4016</v>
      </c>
      <c r="T838" s="13">
        <v>46009</v>
      </c>
      <c r="U838" s="19"/>
      <c r="V838" s="53">
        <f>M838-Z838-AB838-AD838-AF838-AH838-AJ838-AL838-AN838-AP838-AR838-AT838-AV838-AX838-AZ838-BB838-BD838-BF838-BH838-U838</f>
        <v>-9.9999999999909051E-3</v>
      </c>
      <c r="W838" s="22" t="s">
        <v>4028</v>
      </c>
      <c r="X838" s="16"/>
      <c r="Y838" s="9"/>
      <c r="Z838" s="19">
        <v>725.2</v>
      </c>
      <c r="AA838" s="252">
        <v>46001</v>
      </c>
    </row>
    <row r="839" spans="1:35" s="28" customFormat="1" ht="20.25" customHeight="1">
      <c r="A839" s="11">
        <v>45988</v>
      </c>
      <c r="B839" s="16" t="s">
        <v>3978</v>
      </c>
      <c r="C839" s="16" t="s">
        <v>382</v>
      </c>
      <c r="D839" s="16" t="s">
        <v>212</v>
      </c>
      <c r="E839" s="16" t="s">
        <v>25</v>
      </c>
      <c r="F839" s="16" t="s">
        <v>3995</v>
      </c>
      <c r="G839" s="16" t="s">
        <v>71</v>
      </c>
      <c r="H839" s="16" t="s">
        <v>31</v>
      </c>
      <c r="I839" s="1"/>
      <c r="J839" s="1" t="s">
        <v>27</v>
      </c>
      <c r="K839" s="16" t="s">
        <v>1116</v>
      </c>
      <c r="L839" s="1" t="s">
        <v>35</v>
      </c>
      <c r="M839" s="17">
        <v>30706.25</v>
      </c>
      <c r="N839" s="23">
        <v>1.29</v>
      </c>
      <c r="O839" s="16" t="s">
        <v>67</v>
      </c>
      <c r="P839" s="16" t="s">
        <v>63</v>
      </c>
      <c r="Q839" s="16" t="s">
        <v>4007</v>
      </c>
      <c r="R839" s="16" t="s">
        <v>4008</v>
      </c>
      <c r="S839" s="12" t="s">
        <v>3906</v>
      </c>
      <c r="T839" s="13">
        <v>46003</v>
      </c>
      <c r="U839" s="19"/>
      <c r="V839" s="53">
        <f>M839-Z839-AB839-AD839-AF839-AH839-AJ839-AL839-AN839-AP839-AR839-AT839-AV839-AX839-AZ839-BB839-BD839-BF839-BH839-U839</f>
        <v>-0.75</v>
      </c>
      <c r="W839" s="22" t="s">
        <v>4029</v>
      </c>
      <c r="X839" s="16"/>
      <c r="Y839" s="9" t="s">
        <v>4641</v>
      </c>
      <c r="Z839" s="19">
        <f>1037.4+3353+2282.1+4490.8</f>
        <v>11163.3</v>
      </c>
      <c r="AA839" s="252">
        <v>45996</v>
      </c>
      <c r="AB839" s="19">
        <f>3988.7+4120.7</f>
        <v>8109.4</v>
      </c>
      <c r="AC839" s="252">
        <v>46001</v>
      </c>
      <c r="AD839" s="19">
        <f>2097.5+3288.6+2475.6</f>
        <v>7861.7000000000007</v>
      </c>
      <c r="AE839" s="252">
        <v>46027</v>
      </c>
      <c r="AF839" s="19">
        <f>815.6+2015.3+741.7</f>
        <v>3572.6000000000004</v>
      </c>
      <c r="AG839" s="252">
        <v>46035</v>
      </c>
    </row>
    <row r="840" spans="1:35" s="28" customFormat="1" ht="20.25" customHeight="1">
      <c r="A840" s="11">
        <v>45988</v>
      </c>
      <c r="B840" s="16" t="s">
        <v>3978</v>
      </c>
      <c r="C840" s="16" t="s">
        <v>382</v>
      </c>
      <c r="D840" s="16" t="s">
        <v>212</v>
      </c>
      <c r="E840" s="16" t="s">
        <v>25</v>
      </c>
      <c r="F840" s="16" t="s">
        <v>3995</v>
      </c>
      <c r="G840" s="16" t="s">
        <v>71</v>
      </c>
      <c r="H840" s="16" t="s">
        <v>31</v>
      </c>
      <c r="I840" s="1"/>
      <c r="J840" s="1" t="s">
        <v>27</v>
      </c>
      <c r="K840" s="16" t="s">
        <v>1012</v>
      </c>
      <c r="L840" s="1" t="s">
        <v>35</v>
      </c>
      <c r="M840" s="17">
        <v>4289.3</v>
      </c>
      <c r="N840" s="6">
        <v>1.29</v>
      </c>
      <c r="O840" s="1" t="s">
        <v>67</v>
      </c>
      <c r="P840" s="1" t="s">
        <v>63</v>
      </c>
      <c r="Q840" s="1" t="s">
        <v>4009</v>
      </c>
      <c r="R840" s="1" t="s">
        <v>4010</v>
      </c>
      <c r="S840" s="12" t="s">
        <v>3957</v>
      </c>
      <c r="T840" s="13">
        <v>46008</v>
      </c>
      <c r="U840" s="19"/>
      <c r="V840" s="53">
        <f>M840-Z840-AB840-AD840-AF840-AH840-AJ840-AL840-AN840-AP840-AR840-AT840-AV840-AX840-AZ840-BB840-BD840-BF840-BH840-U840</f>
        <v>-0.49999999999954525</v>
      </c>
      <c r="W840" s="22" t="s">
        <v>4030</v>
      </c>
      <c r="X840" s="16"/>
      <c r="Y840" s="9"/>
      <c r="Z840" s="19">
        <v>2299.6999999999998</v>
      </c>
      <c r="AA840" s="252">
        <v>46001</v>
      </c>
      <c r="AB840" s="19">
        <f>1294.5+695.6</f>
        <v>1990.1</v>
      </c>
      <c r="AC840" s="252">
        <v>46009</v>
      </c>
    </row>
    <row r="841" spans="1:35" s="28" customFormat="1" ht="20.25" customHeight="1">
      <c r="A841" s="11">
        <v>45988</v>
      </c>
      <c r="B841" s="16" t="s">
        <v>3979</v>
      </c>
      <c r="C841" s="16" t="s">
        <v>382</v>
      </c>
      <c r="D841" s="16" t="s">
        <v>212</v>
      </c>
      <c r="E841" s="16" t="s">
        <v>25</v>
      </c>
      <c r="F841" s="16" t="s">
        <v>3996</v>
      </c>
      <c r="G841" s="16" t="s">
        <v>71</v>
      </c>
      <c r="H841" s="16" t="s">
        <v>31</v>
      </c>
      <c r="I841" s="16"/>
      <c r="J841" s="16" t="s">
        <v>27</v>
      </c>
      <c r="K841" s="16" t="s">
        <v>218</v>
      </c>
      <c r="L841" s="16" t="s">
        <v>35</v>
      </c>
      <c r="M841" s="17">
        <v>72396.03</v>
      </c>
      <c r="N841" s="23">
        <v>1.29</v>
      </c>
      <c r="O841" s="16" t="s">
        <v>67</v>
      </c>
      <c r="P841" s="16" t="s">
        <v>63</v>
      </c>
      <c r="Q841" s="16" t="s">
        <v>1562</v>
      </c>
      <c r="R841" s="16" t="s">
        <v>4011</v>
      </c>
      <c r="S841" s="12" t="s">
        <v>4016</v>
      </c>
      <c r="T841" s="13">
        <v>46009</v>
      </c>
      <c r="U841" s="19"/>
      <c r="V841" s="53">
        <f>M841-Z841-AB841-AD841-AF841-AH841-AJ841-AL841-AN841-AP841-AR841-AT841-AV841-AX841-AZ841-BB841-BD841-BF841-BH841-U841</f>
        <v>-0.16999999999961801</v>
      </c>
      <c r="W841" s="22" t="s">
        <v>4031</v>
      </c>
      <c r="X841" s="16"/>
      <c r="Y841" s="9" t="s">
        <v>4659</v>
      </c>
      <c r="Z841" s="19">
        <f>565.1+1457.4+3618.7</f>
        <v>5641.2</v>
      </c>
      <c r="AA841" s="252">
        <v>46001</v>
      </c>
      <c r="AB841" s="19">
        <f>503.7+1260.2+3424+3609.9</f>
        <v>8797.7999999999993</v>
      </c>
      <c r="AC841" s="252">
        <v>46009</v>
      </c>
      <c r="AD841" s="19">
        <f>1364.3+2245.6+2876+3823.4+2642.5+13.1+1830+3577.4+3749.8+1291.4+2678.3+4373.8+1290.6</f>
        <v>31756.199999999997</v>
      </c>
      <c r="AE841" s="252">
        <v>46013</v>
      </c>
      <c r="AF841" s="19">
        <f>3344.9+4234.6+3546.7+11750.7</f>
        <v>22876.9</v>
      </c>
      <c r="AG841" s="252">
        <v>46027</v>
      </c>
      <c r="AH841" s="19">
        <v>3324.1</v>
      </c>
      <c r="AI841" s="252">
        <v>46029</v>
      </c>
    </row>
    <row r="842" spans="1:35" s="28" customFormat="1" ht="20.25" customHeight="1">
      <c r="A842" s="11">
        <v>45988</v>
      </c>
      <c r="B842" s="16" t="s">
        <v>3979</v>
      </c>
      <c r="C842" s="16" t="s">
        <v>382</v>
      </c>
      <c r="D842" s="16" t="s">
        <v>212</v>
      </c>
      <c r="E842" s="16" t="s">
        <v>25</v>
      </c>
      <c r="F842" s="16" t="s">
        <v>3996</v>
      </c>
      <c r="G842" s="16" t="s">
        <v>71</v>
      </c>
      <c r="H842" s="16" t="s">
        <v>31</v>
      </c>
      <c r="I842" s="1"/>
      <c r="J842" s="1" t="s">
        <v>27</v>
      </c>
      <c r="K842" s="16" t="s">
        <v>598</v>
      </c>
      <c r="L842" s="1" t="s">
        <v>35</v>
      </c>
      <c r="M842" s="17">
        <v>1042.02</v>
      </c>
      <c r="N842" s="6">
        <v>1.29</v>
      </c>
      <c r="O842" s="1" t="s">
        <v>67</v>
      </c>
      <c r="P842" s="1" t="s">
        <v>63</v>
      </c>
      <c r="Q842" s="1" t="s">
        <v>1562</v>
      </c>
      <c r="R842" s="1" t="s">
        <v>4012</v>
      </c>
      <c r="S842" s="12" t="s">
        <v>4016</v>
      </c>
      <c r="T842" s="13">
        <v>46009</v>
      </c>
      <c r="U842" s="19"/>
      <c r="V842" s="53">
        <f>M842-Z842-AB842-AD842-AF842-AH842-AJ842-AL842-AN842-AP842-AR842-AT842-AV842-AX842-AZ842-BB842-BD842-BF842-BH842-U842</f>
        <v>-2.2799999999999727</v>
      </c>
      <c r="W842" s="22" t="s">
        <v>4032</v>
      </c>
      <c r="X842" s="16"/>
      <c r="Y842" s="9"/>
      <c r="Z842" s="19">
        <v>1044.3</v>
      </c>
      <c r="AA842" s="252">
        <v>46009</v>
      </c>
    </row>
    <row r="843" spans="1:35" s="28" customFormat="1" ht="20.25" customHeight="1">
      <c r="A843" s="11">
        <v>45988</v>
      </c>
      <c r="B843" s="16" t="s">
        <v>3980</v>
      </c>
      <c r="C843" s="16" t="s">
        <v>382</v>
      </c>
      <c r="D843" s="16" t="s">
        <v>212</v>
      </c>
      <c r="E843" s="16" t="s">
        <v>25</v>
      </c>
      <c r="F843" s="16" t="s">
        <v>3997</v>
      </c>
      <c r="G843" s="16" t="s">
        <v>71</v>
      </c>
      <c r="H843" s="16" t="s">
        <v>31</v>
      </c>
      <c r="I843" s="16"/>
      <c r="J843" s="16" t="s">
        <v>27</v>
      </c>
      <c r="K843" s="16" t="s">
        <v>218</v>
      </c>
      <c r="L843" s="16" t="s">
        <v>35</v>
      </c>
      <c r="M843" s="17">
        <v>15098.77</v>
      </c>
      <c r="N843" s="23">
        <v>1.29</v>
      </c>
      <c r="O843" s="16" t="s">
        <v>67</v>
      </c>
      <c r="P843" s="16" t="s">
        <v>63</v>
      </c>
      <c r="Q843" s="16" t="s">
        <v>2494</v>
      </c>
      <c r="R843" s="16" t="s">
        <v>4011</v>
      </c>
      <c r="S843" s="12" t="s">
        <v>3895</v>
      </c>
      <c r="T843" s="13">
        <v>46002</v>
      </c>
      <c r="U843" s="19"/>
      <c r="V843" s="53">
        <f>M843-Z843-AB843-AD843-AF843-AH843-AJ843-AL843-AN843-AP843-AR843-AT843-AV843-AX843-AZ843-BB843-BD843-BF843-BH843-U843</f>
        <v>-1.1299999999991996</v>
      </c>
      <c r="W843" s="22" t="s">
        <v>4033</v>
      </c>
      <c r="X843" s="16"/>
      <c r="Y843" s="9"/>
      <c r="Z843" s="19">
        <f>80.5+1681.5+3857.3+3226+136.5</f>
        <v>8981.7999999999993</v>
      </c>
      <c r="AA843" s="252">
        <v>45996</v>
      </c>
      <c r="AB843" s="19">
        <f>1361.3+2000.8+2756</f>
        <v>6118.1</v>
      </c>
      <c r="AC843" s="252">
        <v>46001</v>
      </c>
    </row>
    <row r="844" spans="1:35" s="28" customFormat="1" ht="20.25" customHeight="1">
      <c r="A844" s="11">
        <v>45988</v>
      </c>
      <c r="B844" s="16" t="s">
        <v>3980</v>
      </c>
      <c r="C844" s="16" t="s">
        <v>382</v>
      </c>
      <c r="D844" s="16" t="s">
        <v>212</v>
      </c>
      <c r="E844" s="16" t="s">
        <v>25</v>
      </c>
      <c r="F844" s="16" t="s">
        <v>3997</v>
      </c>
      <c r="G844" s="16" t="s">
        <v>71</v>
      </c>
      <c r="H844" s="16" t="s">
        <v>31</v>
      </c>
      <c r="I844" s="1"/>
      <c r="J844" s="1" t="s">
        <v>27</v>
      </c>
      <c r="K844" s="16" t="s">
        <v>345</v>
      </c>
      <c r="L844" s="1" t="s">
        <v>35</v>
      </c>
      <c r="M844" s="17">
        <v>8795.39</v>
      </c>
      <c r="N844" s="6">
        <v>1.29</v>
      </c>
      <c r="O844" s="1" t="s">
        <v>67</v>
      </c>
      <c r="P844" s="1" t="s">
        <v>63</v>
      </c>
      <c r="Q844" s="1" t="s">
        <v>2494</v>
      </c>
      <c r="R844" s="1" t="s">
        <v>4012</v>
      </c>
      <c r="S844" s="12" t="s">
        <v>3895</v>
      </c>
      <c r="T844" s="13">
        <v>46002</v>
      </c>
      <c r="U844" s="19"/>
      <c r="V844" s="53">
        <f>M844-Z844-AB844-AD844-AF844-AH844-AJ844-AL844-AN844-AP844-AR844-AT844-AV844-AX844-AZ844-BB844-BD844-BF844-BH844-U844</f>
        <v>-3.6100000000005821</v>
      </c>
      <c r="W844" s="22" t="s">
        <v>4034</v>
      </c>
      <c r="X844" s="16"/>
      <c r="Y844" s="9"/>
      <c r="Z844" s="19">
        <f>42.5+5238.7+3517.8</f>
        <v>8799</v>
      </c>
      <c r="AA844" s="252">
        <v>46009</v>
      </c>
    </row>
    <row r="845" spans="1:35" s="28" customFormat="1" ht="20.25" customHeight="1">
      <c r="A845" s="11">
        <v>45988</v>
      </c>
      <c r="B845" s="16" t="s">
        <v>3981</v>
      </c>
      <c r="C845" s="16" t="s">
        <v>1568</v>
      </c>
      <c r="D845" s="16" t="s">
        <v>212</v>
      </c>
      <c r="E845" s="16" t="s">
        <v>25</v>
      </c>
      <c r="F845" s="16" t="s">
        <v>3998</v>
      </c>
      <c r="G845" s="16" t="s">
        <v>71</v>
      </c>
      <c r="H845" s="16" t="s">
        <v>26</v>
      </c>
      <c r="I845" s="1"/>
      <c r="J845" s="1" t="s">
        <v>27</v>
      </c>
      <c r="K845" s="16" t="s">
        <v>218</v>
      </c>
      <c r="L845" s="1" t="s">
        <v>35</v>
      </c>
      <c r="M845" s="17">
        <v>13435</v>
      </c>
      <c r="N845" s="23">
        <v>1.29</v>
      </c>
      <c r="O845" s="16" t="s">
        <v>1063</v>
      </c>
      <c r="P845" s="16" t="s">
        <v>63</v>
      </c>
      <c r="Q845" s="16" t="s">
        <v>29</v>
      </c>
      <c r="R845" s="16" t="s">
        <v>4013</v>
      </c>
      <c r="S845" s="12" t="s">
        <v>4016</v>
      </c>
      <c r="T845" s="13">
        <v>46009</v>
      </c>
      <c r="U845" s="19"/>
      <c r="V845" s="53">
        <f>M845-Z845-AB845-AD845-AF845-AH845-AJ845-AL845-AN845-AP845-AR845-AT845-AV845-AX845-AZ845-BB845-BD845-BF845-BH845-U845</f>
        <v>-3.2999999999992724</v>
      </c>
      <c r="W845" s="22" t="s">
        <v>4035</v>
      </c>
      <c r="X845" s="16"/>
      <c r="Y845" s="9"/>
      <c r="Z845" s="19">
        <v>1101.5</v>
      </c>
      <c r="AA845" s="252">
        <v>45996</v>
      </c>
      <c r="AB845" s="19">
        <v>860</v>
      </c>
      <c r="AC845" s="252">
        <v>46000</v>
      </c>
      <c r="AD845" s="19">
        <v>11476.8</v>
      </c>
      <c r="AE845" s="252">
        <v>46007</v>
      </c>
    </row>
    <row r="846" spans="1:35" s="28" customFormat="1" ht="20.25" customHeight="1">
      <c r="A846" s="11">
        <v>45988</v>
      </c>
      <c r="B846" s="16" t="s">
        <v>3981</v>
      </c>
      <c r="C846" s="16" t="s">
        <v>1568</v>
      </c>
      <c r="D846" s="16" t="s">
        <v>212</v>
      </c>
      <c r="E846" s="16" t="s">
        <v>25</v>
      </c>
      <c r="F846" s="16" t="s">
        <v>3998</v>
      </c>
      <c r="G846" s="16" t="s">
        <v>71</v>
      </c>
      <c r="H846" s="16" t="s">
        <v>31</v>
      </c>
      <c r="I846" s="16"/>
      <c r="J846" s="16" t="s">
        <v>27</v>
      </c>
      <c r="K846" s="16" t="s">
        <v>975</v>
      </c>
      <c r="L846" s="16" t="s">
        <v>35</v>
      </c>
      <c r="M846" s="17">
        <v>776</v>
      </c>
      <c r="N846" s="23">
        <v>1.29</v>
      </c>
      <c r="O846" s="16" t="s">
        <v>67</v>
      </c>
      <c r="P846" s="16" t="s">
        <v>63</v>
      </c>
      <c r="Q846" s="16" t="s">
        <v>29</v>
      </c>
      <c r="R846" s="16" t="s">
        <v>4014</v>
      </c>
      <c r="S846" s="12" t="s">
        <v>4016</v>
      </c>
      <c r="T846" s="13">
        <v>46009</v>
      </c>
      <c r="U846" s="19"/>
      <c r="V846" s="53">
        <f>M846-Z846-AB846-AD846-AF846-AH846-AJ846-AL846-AN846-AP846-AR846-AT846-AV846-AX846-AZ846-BB846-BD846-BF846-BH846-U846</f>
        <v>-4.1000000000000227</v>
      </c>
      <c r="W846" s="22" t="s">
        <v>4036</v>
      </c>
      <c r="X846" s="16"/>
      <c r="Y846" s="9"/>
      <c r="Z846" s="19">
        <v>780.1</v>
      </c>
      <c r="AA846" s="252">
        <v>46000</v>
      </c>
    </row>
    <row r="847" spans="1:35" s="28" customFormat="1" ht="20.25" customHeight="1">
      <c r="A847" s="11">
        <v>45988</v>
      </c>
      <c r="B847" s="16" t="s">
        <v>3981</v>
      </c>
      <c r="C847" s="16" t="s">
        <v>1568</v>
      </c>
      <c r="D847" s="16" t="s">
        <v>212</v>
      </c>
      <c r="E847" s="16" t="s">
        <v>25</v>
      </c>
      <c r="F847" s="16" t="s">
        <v>3998</v>
      </c>
      <c r="G847" s="16" t="s">
        <v>71</v>
      </c>
      <c r="H847" s="16" t="s">
        <v>31</v>
      </c>
      <c r="I847" s="16"/>
      <c r="J847" s="16" t="s">
        <v>27</v>
      </c>
      <c r="K847" s="16" t="s">
        <v>1470</v>
      </c>
      <c r="L847" s="16" t="s">
        <v>35</v>
      </c>
      <c r="M847" s="17">
        <v>4400</v>
      </c>
      <c r="N847" s="23">
        <v>1.29</v>
      </c>
      <c r="O847" s="16" t="s">
        <v>67</v>
      </c>
      <c r="P847" s="16" t="s">
        <v>63</v>
      </c>
      <c r="Q847" s="16" t="s">
        <v>29</v>
      </c>
      <c r="R847" s="16" t="s">
        <v>4015</v>
      </c>
      <c r="S847" s="12" t="s">
        <v>4016</v>
      </c>
      <c r="T847" s="13">
        <v>46009</v>
      </c>
      <c r="U847" s="19"/>
      <c r="V847" s="53">
        <f>M847-Z847-AB847-AD847-AF847-AH847-AJ847-AL847-AN847-AP847-AR847-AT847-AV847-AX847-AZ847-BB847-BD847-BF847-BH847-U847</f>
        <v>-3.6999999999998181</v>
      </c>
      <c r="W847" s="22" t="s">
        <v>4037</v>
      </c>
      <c r="X847" s="16"/>
      <c r="Y847" s="9"/>
      <c r="Z847" s="19">
        <v>2138.1</v>
      </c>
      <c r="AA847" s="252">
        <v>46000</v>
      </c>
      <c r="AB847" s="19">
        <v>2265.6</v>
      </c>
      <c r="AC847" s="252">
        <v>46008</v>
      </c>
    </row>
    <row r="848" spans="1:35" s="28" customFormat="1" ht="20.25" customHeight="1">
      <c r="A848" s="11">
        <v>45988</v>
      </c>
      <c r="B848" s="16" t="s">
        <v>3981</v>
      </c>
      <c r="C848" s="16" t="s">
        <v>1568</v>
      </c>
      <c r="D848" s="16" t="s">
        <v>212</v>
      </c>
      <c r="E848" s="16" t="s">
        <v>25</v>
      </c>
      <c r="F848" s="16" t="s">
        <v>3998</v>
      </c>
      <c r="G848" s="16" t="s">
        <v>71</v>
      </c>
      <c r="H848" s="16" t="s">
        <v>26</v>
      </c>
      <c r="I848" s="16"/>
      <c r="J848" s="16" t="s">
        <v>27</v>
      </c>
      <c r="K848" s="16" t="s">
        <v>218</v>
      </c>
      <c r="L848" s="16" t="s">
        <v>35</v>
      </c>
      <c r="M848" s="17">
        <v>8700</v>
      </c>
      <c r="N848" s="23">
        <v>1.29</v>
      </c>
      <c r="O848" s="16" t="s">
        <v>1063</v>
      </c>
      <c r="P848" s="16" t="s">
        <v>63</v>
      </c>
      <c r="Q848" s="16" t="s">
        <v>29</v>
      </c>
      <c r="R848" s="16" t="s">
        <v>4013</v>
      </c>
      <c r="S848" s="12" t="s">
        <v>4016</v>
      </c>
      <c r="T848" s="13">
        <v>46009</v>
      </c>
      <c r="U848" s="19"/>
      <c r="V848" s="53">
        <f>M848-Z848-AB848-AD848-AF848-AH848-AJ848-AL848-AN848-AP848-AR848-AT848-AV848-AX848-AZ848-BB848-BD848-BF848-BH848-U848</f>
        <v>-0.6999999999998181</v>
      </c>
      <c r="W848" s="22" t="s">
        <v>4038</v>
      </c>
      <c r="X848" s="16"/>
      <c r="Y848" s="9"/>
      <c r="Z848" s="19">
        <v>1366</v>
      </c>
      <c r="AA848" s="252">
        <v>46007</v>
      </c>
      <c r="AB848" s="19">
        <f>3861+3473.7</f>
        <v>7334.7</v>
      </c>
      <c r="AC848" s="252">
        <v>46008</v>
      </c>
    </row>
    <row r="849" spans="1:33" s="28" customFormat="1" ht="20.25" customHeight="1">
      <c r="A849" s="11">
        <v>45989</v>
      </c>
      <c r="B849" s="16" t="s">
        <v>4046</v>
      </c>
      <c r="C849" s="16" t="s">
        <v>267</v>
      </c>
      <c r="D849" s="16" t="s">
        <v>212</v>
      </c>
      <c r="E849" s="16" t="s">
        <v>25</v>
      </c>
      <c r="F849" s="16" t="s">
        <v>4050</v>
      </c>
      <c r="G849" s="16" t="s">
        <v>71</v>
      </c>
      <c r="H849" s="16" t="s">
        <v>31</v>
      </c>
      <c r="I849" s="16"/>
      <c r="J849" s="16" t="s">
        <v>27</v>
      </c>
      <c r="K849" s="19" t="s">
        <v>3551</v>
      </c>
      <c r="L849" s="16" t="s">
        <v>35</v>
      </c>
      <c r="M849" s="17">
        <v>1740</v>
      </c>
      <c r="N849" s="23">
        <v>1.29</v>
      </c>
      <c r="O849" s="16" t="s">
        <v>67</v>
      </c>
      <c r="P849" s="16" t="s">
        <v>29</v>
      </c>
      <c r="Q849" s="16" t="s">
        <v>29</v>
      </c>
      <c r="R849" s="16" t="s">
        <v>1277</v>
      </c>
      <c r="S849" s="12" t="s">
        <v>3651</v>
      </c>
      <c r="T849" s="13">
        <v>46014</v>
      </c>
      <c r="U849" s="19"/>
      <c r="V849" s="53">
        <f>M849-Z849-AB849-AD849-AF849-AH849-AJ849-AL849-AN849-AP849-AR849-AT849-AV849-AX849-AZ849-BB849-BD849-BF849-BH849-U849</f>
        <v>-3</v>
      </c>
      <c r="W849" s="22" t="s">
        <v>4054</v>
      </c>
      <c r="X849" s="16"/>
      <c r="Y849" s="9" t="s">
        <v>4315</v>
      </c>
      <c r="Z849" s="19">
        <v>132.9</v>
      </c>
      <c r="AA849" s="252">
        <v>46001</v>
      </c>
      <c r="AB849" s="19">
        <v>1610.1</v>
      </c>
      <c r="AC849" s="252">
        <v>46029</v>
      </c>
    </row>
    <row r="850" spans="1:33" s="28" customFormat="1" ht="20.25" customHeight="1">
      <c r="A850" s="11">
        <v>45989</v>
      </c>
      <c r="B850" s="16" t="s">
        <v>4047</v>
      </c>
      <c r="C850" s="16" t="s">
        <v>267</v>
      </c>
      <c r="D850" s="16" t="s">
        <v>212</v>
      </c>
      <c r="E850" s="16" t="s">
        <v>25</v>
      </c>
      <c r="F850" s="16" t="s">
        <v>4051</v>
      </c>
      <c r="G850" s="16" t="s">
        <v>71</v>
      </c>
      <c r="H850" s="16" t="s">
        <v>31</v>
      </c>
      <c r="I850" s="16"/>
      <c r="J850" s="16" t="s">
        <v>27</v>
      </c>
      <c r="K850" s="16" t="s">
        <v>4053</v>
      </c>
      <c r="L850" s="16" t="s">
        <v>35</v>
      </c>
      <c r="M850" s="17">
        <v>4575</v>
      </c>
      <c r="N850" s="23">
        <v>1.29</v>
      </c>
      <c r="O850" s="16" t="s">
        <v>67</v>
      </c>
      <c r="P850" s="16" t="s">
        <v>29</v>
      </c>
      <c r="Q850" s="16" t="s">
        <v>29</v>
      </c>
      <c r="R850" s="16" t="s">
        <v>4005</v>
      </c>
      <c r="S850" s="12" t="s">
        <v>3651</v>
      </c>
      <c r="T850" s="13">
        <v>46014</v>
      </c>
      <c r="U850" s="19"/>
      <c r="V850" s="53">
        <f>M850-Z850-AB850-AD850-AF850-AH850-AJ850-AL850-AN850-AP850-AR850-AT850-AV850-AX850-AZ850-BB850-BD850-BF850-BH850-U850</f>
        <v>-1</v>
      </c>
      <c r="W850" s="22" t="s">
        <v>4055</v>
      </c>
      <c r="X850" s="16"/>
      <c r="Y850" s="9"/>
      <c r="Z850" s="19">
        <f>2061.3+2514.7</f>
        <v>4576</v>
      </c>
      <c r="AA850" s="252">
        <v>46008</v>
      </c>
    </row>
    <row r="851" spans="1:33" s="28" customFormat="1" ht="20.25" customHeight="1">
      <c r="A851" s="11">
        <v>45989</v>
      </c>
      <c r="B851" s="16" t="s">
        <v>4048</v>
      </c>
      <c r="C851" s="16" t="s">
        <v>267</v>
      </c>
      <c r="D851" s="16" t="s">
        <v>212</v>
      </c>
      <c r="E851" s="16" t="s">
        <v>25</v>
      </c>
      <c r="F851" s="16" t="s">
        <v>4064</v>
      </c>
      <c r="G851" s="16" t="s">
        <v>71</v>
      </c>
      <c r="H851" s="16" t="s">
        <v>31</v>
      </c>
      <c r="I851" s="16"/>
      <c r="J851" s="16" t="s">
        <v>27</v>
      </c>
      <c r="K851" s="19" t="s">
        <v>3551</v>
      </c>
      <c r="L851" s="16" t="s">
        <v>35</v>
      </c>
      <c r="M851" s="17">
        <v>625</v>
      </c>
      <c r="N851" s="23">
        <v>1.29</v>
      </c>
      <c r="O851" s="16" t="s">
        <v>67</v>
      </c>
      <c r="P851" s="16" t="s">
        <v>29</v>
      </c>
      <c r="Q851" s="16" t="s">
        <v>29</v>
      </c>
      <c r="R851" s="16" t="s">
        <v>1277</v>
      </c>
      <c r="S851" s="12" t="s">
        <v>3651</v>
      </c>
      <c r="T851" s="13">
        <v>46014</v>
      </c>
      <c r="U851" s="19"/>
      <c r="V851" s="53">
        <f>M851-Z851-AB851-AD851-AF851-AH851-AJ851-AL851-AN851-AP851-AR851-AT851-AV851-AX851-AZ851-BB851-BD851-BF851-BH851-U851</f>
        <v>-0.29999999999995453</v>
      </c>
      <c r="W851" s="22" t="s">
        <v>4056</v>
      </c>
      <c r="X851" s="16"/>
      <c r="Y851" s="9"/>
      <c r="Z851" s="19">
        <v>625.29999999999995</v>
      </c>
      <c r="AA851" s="252">
        <v>46001</v>
      </c>
    </row>
    <row r="852" spans="1:33" s="28" customFormat="1" ht="20.25" customHeight="1">
      <c r="A852" s="11">
        <v>45989</v>
      </c>
      <c r="B852" s="16" t="s">
        <v>4049</v>
      </c>
      <c r="C852" s="16" t="s">
        <v>290</v>
      </c>
      <c r="D852" s="16" t="s">
        <v>212</v>
      </c>
      <c r="E852" s="16" t="s">
        <v>25</v>
      </c>
      <c r="F852" s="16" t="s">
        <v>4052</v>
      </c>
      <c r="G852" s="16" t="s">
        <v>71</v>
      </c>
      <c r="H852" s="16" t="s">
        <v>31</v>
      </c>
      <c r="I852" s="1"/>
      <c r="J852" s="1" t="s">
        <v>27</v>
      </c>
      <c r="K852" s="16" t="s">
        <v>214</v>
      </c>
      <c r="L852" s="1" t="s">
        <v>35</v>
      </c>
      <c r="M852" s="17">
        <v>3230</v>
      </c>
      <c r="N852" s="23">
        <v>1.29</v>
      </c>
      <c r="O852" s="16" t="s">
        <v>1063</v>
      </c>
      <c r="P852" s="16" t="s">
        <v>29</v>
      </c>
      <c r="Q852" s="16" t="s">
        <v>29</v>
      </c>
      <c r="R852" s="16" t="s">
        <v>2681</v>
      </c>
      <c r="S852" s="12" t="s">
        <v>3651</v>
      </c>
      <c r="T852" s="13">
        <v>46001</v>
      </c>
      <c r="U852" s="19"/>
      <c r="V852" s="53">
        <f>M852-Z852-AB852-AD852-AF852-AH852-AJ852-AL852-AN852-AP852-AR852-AT852-AV852-AX852-AZ852-BB852-BD852-BF852-BH852-U852</f>
        <v>-1.0999999999999091</v>
      </c>
      <c r="W852" s="22" t="s">
        <v>4057</v>
      </c>
      <c r="X852" s="16"/>
      <c r="Y852" s="9"/>
      <c r="Z852" s="19">
        <v>3231.1</v>
      </c>
      <c r="AA852" s="252">
        <v>46006</v>
      </c>
    </row>
    <row r="853" spans="1:33" s="28" customFormat="1" ht="20.25" customHeight="1">
      <c r="A853" s="11">
        <v>45992</v>
      </c>
      <c r="B853" s="16" t="s">
        <v>4065</v>
      </c>
      <c r="C853" s="16" t="s">
        <v>267</v>
      </c>
      <c r="D853" s="16" t="s">
        <v>212</v>
      </c>
      <c r="E853" s="16" t="s">
        <v>25</v>
      </c>
      <c r="F853" s="16" t="s">
        <v>4072</v>
      </c>
      <c r="G853" s="16" t="s">
        <v>71</v>
      </c>
      <c r="H853" s="16" t="s">
        <v>26</v>
      </c>
      <c r="I853" s="16"/>
      <c r="J853" s="16" t="s">
        <v>27</v>
      </c>
      <c r="K853" s="16" t="s">
        <v>693</v>
      </c>
      <c r="L853" s="16" t="s">
        <v>35</v>
      </c>
      <c r="M853" s="17">
        <v>200</v>
      </c>
      <c r="N853" s="23">
        <v>1.29</v>
      </c>
      <c r="O853" s="16" t="s">
        <v>67</v>
      </c>
      <c r="P853" s="16" t="s">
        <v>63</v>
      </c>
      <c r="Q853" s="16" t="s">
        <v>29</v>
      </c>
      <c r="R853" s="16" t="s">
        <v>1500</v>
      </c>
      <c r="S853" s="12" t="s">
        <v>3931</v>
      </c>
      <c r="T853" s="13">
        <v>46006</v>
      </c>
      <c r="U853" s="19"/>
      <c r="V853" s="53">
        <f>M853-Z853-AB853-AD853-AF853-AH853-AJ853-AL853-AN853-AP853-AR853-AT853-AV853-AX853-AZ853-BB853-BD853-BF853-BH853-U853</f>
        <v>-0.49999999999998579</v>
      </c>
      <c r="W853" s="22" t="s">
        <v>4084</v>
      </c>
      <c r="X853" s="16" t="s">
        <v>29</v>
      </c>
      <c r="Y853" s="9"/>
      <c r="Z853" s="19">
        <v>150.69999999999999</v>
      </c>
      <c r="AA853" s="252">
        <v>46008</v>
      </c>
      <c r="AB853" s="19">
        <v>49.8</v>
      </c>
      <c r="AC853" s="252">
        <v>46010</v>
      </c>
    </row>
    <row r="854" spans="1:33" s="28" customFormat="1" ht="20.25" customHeight="1">
      <c r="A854" s="11">
        <v>45992</v>
      </c>
      <c r="B854" s="16" t="s">
        <v>4066</v>
      </c>
      <c r="C854" s="16" t="s">
        <v>267</v>
      </c>
      <c r="D854" s="16" t="s">
        <v>212</v>
      </c>
      <c r="E854" s="16" t="s">
        <v>25</v>
      </c>
      <c r="F854" s="16" t="s">
        <v>4073</v>
      </c>
      <c r="G854" s="16" t="s">
        <v>71</v>
      </c>
      <c r="H854" s="16" t="s">
        <v>31</v>
      </c>
      <c r="I854" s="16"/>
      <c r="J854" s="16" t="s">
        <v>27</v>
      </c>
      <c r="K854" s="16" t="s">
        <v>537</v>
      </c>
      <c r="L854" s="16" t="s">
        <v>35</v>
      </c>
      <c r="M854" s="17">
        <v>760</v>
      </c>
      <c r="N854" s="23">
        <v>1.29</v>
      </c>
      <c r="O854" s="16" t="s">
        <v>67</v>
      </c>
      <c r="P854" s="16" t="s">
        <v>63</v>
      </c>
      <c r="Q854" s="16" t="s">
        <v>29</v>
      </c>
      <c r="R854" s="16" t="s">
        <v>4079</v>
      </c>
      <c r="S854" s="12" t="s">
        <v>3847</v>
      </c>
      <c r="T854" s="13">
        <v>46000</v>
      </c>
      <c r="U854" s="19"/>
      <c r="V854" s="53">
        <f>M854-Z854-AB854-AD854-AF854-AH854-AJ854-AL854-AN854-AP854-AR854-AT854-AV854-AX854-AZ854-BB854-BD854-BF854-BH854-U854</f>
        <v>-1.8999999999999773</v>
      </c>
      <c r="W854" s="22" t="s">
        <v>4085</v>
      </c>
      <c r="X854" s="16" t="s">
        <v>29</v>
      </c>
      <c r="Y854" s="9"/>
      <c r="Z854" s="19">
        <v>761.9</v>
      </c>
      <c r="AA854" s="252">
        <v>46001</v>
      </c>
    </row>
    <row r="855" spans="1:33" s="28" customFormat="1" ht="20.25" customHeight="1">
      <c r="A855" s="11">
        <v>45992</v>
      </c>
      <c r="B855" s="16" t="s">
        <v>4067</v>
      </c>
      <c r="C855" s="16" t="s">
        <v>400</v>
      </c>
      <c r="D855" s="16" t="s">
        <v>212</v>
      </c>
      <c r="E855" s="16" t="s">
        <v>25</v>
      </c>
      <c r="F855" s="16" t="s">
        <v>4074</v>
      </c>
      <c r="G855" s="16" t="s">
        <v>71</v>
      </c>
      <c r="H855" s="16" t="s">
        <v>26</v>
      </c>
      <c r="I855" s="16"/>
      <c r="J855" s="16" t="s">
        <v>27</v>
      </c>
      <c r="K855" s="16" t="s">
        <v>3778</v>
      </c>
      <c r="L855" s="16" t="s">
        <v>35</v>
      </c>
      <c r="M855" s="17">
        <v>65.78</v>
      </c>
      <c r="N855" s="23">
        <v>1.29</v>
      </c>
      <c r="O855" s="16" t="s">
        <v>1063</v>
      </c>
      <c r="P855" s="16" t="s">
        <v>63</v>
      </c>
      <c r="Q855" s="16" t="s">
        <v>725</v>
      </c>
      <c r="R855" s="16" t="s">
        <v>1565</v>
      </c>
      <c r="S855" s="12" t="s">
        <v>4083</v>
      </c>
      <c r="T855" s="13">
        <v>46010</v>
      </c>
      <c r="U855" s="19"/>
      <c r="V855" s="53">
        <f>M855-Z855-AB855-AD855-AF855-AH855-AJ855-AL855-AN855-AP855-AR855-AT855-AV855-AX855-AZ855-BB855-BD855-BF855-BH855-U855</f>
        <v>-1.7199999999999989</v>
      </c>
      <c r="W855" s="22" t="s">
        <v>4086</v>
      </c>
      <c r="X855" s="16" t="s">
        <v>29</v>
      </c>
      <c r="Y855" s="9"/>
      <c r="Z855" s="19">
        <v>67.5</v>
      </c>
      <c r="AA855" s="252">
        <v>46002</v>
      </c>
    </row>
    <row r="856" spans="1:33" s="28" customFormat="1" ht="20.25" customHeight="1">
      <c r="A856" s="11">
        <v>45992</v>
      </c>
      <c r="B856" s="16" t="s">
        <v>4068</v>
      </c>
      <c r="C856" s="16" t="s">
        <v>228</v>
      </c>
      <c r="D856" s="16" t="s">
        <v>212</v>
      </c>
      <c r="E856" s="16" t="s">
        <v>25</v>
      </c>
      <c r="F856" s="16" t="s">
        <v>4075</v>
      </c>
      <c r="G856" s="16" t="s">
        <v>71</v>
      </c>
      <c r="H856" s="16" t="s">
        <v>31</v>
      </c>
      <c r="I856" s="1"/>
      <c r="J856" s="1" t="s">
        <v>27</v>
      </c>
      <c r="K856" s="16" t="s">
        <v>1470</v>
      </c>
      <c r="L856" s="1" t="s">
        <v>35</v>
      </c>
      <c r="M856" s="17">
        <v>2897.19</v>
      </c>
      <c r="N856" s="6">
        <v>1.29</v>
      </c>
      <c r="O856" s="1" t="s">
        <v>67</v>
      </c>
      <c r="P856" s="1" t="s">
        <v>63</v>
      </c>
      <c r="Q856" s="1" t="s">
        <v>362</v>
      </c>
      <c r="R856" s="1" t="s">
        <v>466</v>
      </c>
      <c r="S856" s="121" t="s">
        <v>4083</v>
      </c>
      <c r="T856" s="13">
        <v>46010</v>
      </c>
      <c r="U856" s="19"/>
      <c r="V856" s="53">
        <f>M856-Z856-AB856-AD856-AF856-AH856-AJ856-AL856-AN856-AP856-AR856-AT856-AV856-AX856-AZ856-BB856-BD856-BF856-BH856-U856</f>
        <v>-1.0099999999997635</v>
      </c>
      <c r="W856" s="22" t="s">
        <v>4087</v>
      </c>
      <c r="X856" s="16" t="s">
        <v>29</v>
      </c>
      <c r="Y856" s="9"/>
      <c r="Z856" s="19">
        <f>2471.5+426.7</f>
        <v>2898.2</v>
      </c>
      <c r="AA856" s="252">
        <v>46013</v>
      </c>
    </row>
    <row r="857" spans="1:33" s="28" customFormat="1" ht="20.25" customHeight="1">
      <c r="A857" s="11">
        <v>45992</v>
      </c>
      <c r="B857" s="16" t="s">
        <v>4069</v>
      </c>
      <c r="C857" s="16" t="s">
        <v>228</v>
      </c>
      <c r="D857" s="16" t="s">
        <v>212</v>
      </c>
      <c r="E857" s="16" t="s">
        <v>25</v>
      </c>
      <c r="F857" s="16" t="s">
        <v>4076</v>
      </c>
      <c r="G857" s="16" t="s">
        <v>71</v>
      </c>
      <c r="H857" s="16" t="s">
        <v>31</v>
      </c>
      <c r="I857" s="1"/>
      <c r="J857" s="1" t="s">
        <v>27</v>
      </c>
      <c r="K857" s="16" t="s">
        <v>1470</v>
      </c>
      <c r="L857" s="1" t="s">
        <v>35</v>
      </c>
      <c r="M857" s="17">
        <v>15078.43</v>
      </c>
      <c r="N857" s="6">
        <v>1.29</v>
      </c>
      <c r="O857" s="1" t="s">
        <v>67</v>
      </c>
      <c r="P857" s="1" t="s">
        <v>63</v>
      </c>
      <c r="Q857" s="1" t="s">
        <v>362</v>
      </c>
      <c r="R857" s="1" t="s">
        <v>466</v>
      </c>
      <c r="S857" s="121" t="s">
        <v>4083</v>
      </c>
      <c r="T857" s="13">
        <v>46010</v>
      </c>
      <c r="U857" s="19"/>
      <c r="V857" s="53">
        <f>M857-Z857-AB857-AD857-AF857-AH857-AJ857-AL857-AN857-AP857-AR857-AT857-AV857-AX857-AZ857-BB857-BD857-BF857-BH857-U857</f>
        <v>-2.1700000000000728</v>
      </c>
      <c r="W857" s="22" t="s">
        <v>4088</v>
      </c>
      <c r="X857" s="16" t="s">
        <v>29</v>
      </c>
      <c r="Y857" s="9"/>
      <c r="Z857" s="19">
        <f>2677.1+3978+8425.5</f>
        <v>15080.6</v>
      </c>
      <c r="AA857" s="252">
        <v>46013</v>
      </c>
    </row>
    <row r="858" spans="1:33" s="28" customFormat="1" ht="20.25" customHeight="1">
      <c r="A858" s="11">
        <v>45992</v>
      </c>
      <c r="B858" s="16" t="s">
        <v>4069</v>
      </c>
      <c r="C858" s="16" t="s">
        <v>228</v>
      </c>
      <c r="D858" s="16" t="s">
        <v>212</v>
      </c>
      <c r="E858" s="16" t="s">
        <v>25</v>
      </c>
      <c r="F858" s="16" t="s">
        <v>4076</v>
      </c>
      <c r="G858" s="16" t="s">
        <v>71</v>
      </c>
      <c r="H858" s="16" t="s">
        <v>31</v>
      </c>
      <c r="I858" s="16"/>
      <c r="J858" s="16" t="s">
        <v>27</v>
      </c>
      <c r="K858" s="16" t="s">
        <v>1116</v>
      </c>
      <c r="L858" s="16" t="s">
        <v>35</v>
      </c>
      <c r="M858" s="17">
        <v>1301.99</v>
      </c>
      <c r="N858" s="23">
        <v>1.29</v>
      </c>
      <c r="O858" s="16" t="s">
        <v>67</v>
      </c>
      <c r="P858" s="16" t="s">
        <v>63</v>
      </c>
      <c r="Q858" s="16" t="s">
        <v>1965</v>
      </c>
      <c r="R858" s="16" t="s">
        <v>4080</v>
      </c>
      <c r="S858" s="12" t="s">
        <v>4083</v>
      </c>
      <c r="T858" s="13">
        <v>46010</v>
      </c>
      <c r="U858" s="19"/>
      <c r="V858" s="53">
        <f>M858-Z858-AB858-AD858-AF858-AH858-AJ858-AL858-AN858-AP858-AR858-AT858-AV858-AX858-AZ858-BB858-BD858-BF858-BH858-U858</f>
        <v>-2.3099999999999454</v>
      </c>
      <c r="W858" s="22" t="s">
        <v>4089</v>
      </c>
      <c r="X858" s="16" t="s">
        <v>29</v>
      </c>
      <c r="Y858" s="9"/>
      <c r="Z858" s="19">
        <v>1304.3</v>
      </c>
      <c r="AA858" s="252">
        <v>46013</v>
      </c>
    </row>
    <row r="859" spans="1:33" s="28" customFormat="1" ht="20.25" customHeight="1">
      <c r="A859" s="11">
        <v>45992</v>
      </c>
      <c r="B859" s="16" t="s">
        <v>4070</v>
      </c>
      <c r="C859" s="16" t="s">
        <v>290</v>
      </c>
      <c r="D859" s="16" t="s">
        <v>212</v>
      </c>
      <c r="E859" s="16" t="s">
        <v>25</v>
      </c>
      <c r="F859" s="16" t="s">
        <v>4077</v>
      </c>
      <c r="G859" s="16" t="s">
        <v>71</v>
      </c>
      <c r="H859" s="16" t="s">
        <v>31</v>
      </c>
      <c r="I859" s="1"/>
      <c r="J859" s="1" t="s">
        <v>27</v>
      </c>
      <c r="K859" s="16" t="s">
        <v>632</v>
      </c>
      <c r="L859" s="1" t="s">
        <v>35</v>
      </c>
      <c r="M859" s="17">
        <v>398</v>
      </c>
      <c r="N859" s="23">
        <v>1.29</v>
      </c>
      <c r="O859" s="16" t="s">
        <v>67</v>
      </c>
      <c r="P859" s="16" t="s">
        <v>63</v>
      </c>
      <c r="Q859" s="16" t="s">
        <v>3894</v>
      </c>
      <c r="R859" s="16" t="s">
        <v>29</v>
      </c>
      <c r="S859" s="12" t="s">
        <v>3907</v>
      </c>
      <c r="T859" s="13">
        <v>45996</v>
      </c>
      <c r="U859" s="19"/>
      <c r="V859" s="53">
        <f>M859-Z859-AB859-AD859-AF859-AH859-AJ859-AL859-AN859-AP859-AR859-AT859-AV859-AX859-AZ859-BB859-BD859-BF859-BH859-U859</f>
        <v>0</v>
      </c>
      <c r="W859" s="22" t="s">
        <v>4090</v>
      </c>
      <c r="X859" s="16" t="s">
        <v>29</v>
      </c>
      <c r="Y859" s="9"/>
      <c r="Z859" s="19">
        <f>248.9+149.1</f>
        <v>398</v>
      </c>
      <c r="AA859" s="252">
        <v>46006</v>
      </c>
    </row>
    <row r="860" spans="1:33" s="282" customFormat="1" ht="20.25" customHeight="1">
      <c r="A860" s="272">
        <v>45992</v>
      </c>
      <c r="B860" s="273" t="s">
        <v>4071</v>
      </c>
      <c r="C860" s="273" t="s">
        <v>304</v>
      </c>
      <c r="D860" s="273" t="s">
        <v>212</v>
      </c>
      <c r="E860" s="273" t="s">
        <v>25</v>
      </c>
      <c r="F860" s="273" t="s">
        <v>4078</v>
      </c>
      <c r="G860" s="273" t="s">
        <v>71</v>
      </c>
      <c r="H860" s="273" t="s">
        <v>31</v>
      </c>
      <c r="I860" s="273"/>
      <c r="J860" s="273" t="s">
        <v>27</v>
      </c>
      <c r="K860" s="273" t="s">
        <v>1378</v>
      </c>
      <c r="L860" s="273" t="s">
        <v>35</v>
      </c>
      <c r="M860" s="274">
        <v>25</v>
      </c>
      <c r="N860" s="275">
        <v>1.29</v>
      </c>
      <c r="O860" s="273" t="s">
        <v>67</v>
      </c>
      <c r="P860" s="273" t="s">
        <v>63</v>
      </c>
      <c r="Q860" s="273" t="s">
        <v>29</v>
      </c>
      <c r="R860" s="273" t="s">
        <v>903</v>
      </c>
      <c r="S860" s="276" t="s">
        <v>3907</v>
      </c>
      <c r="T860" s="277">
        <v>45996</v>
      </c>
      <c r="U860" s="278"/>
      <c r="V860" s="279">
        <f>M860-Z860-AB860-AD860-AF860-AH860-AJ860-AL860-AN860-AP860-AR860-AT860-AV860-AX860-AZ860-BB860-BD860-BF860-BH860-U860</f>
        <v>25</v>
      </c>
      <c r="W860" s="280" t="s">
        <v>4091</v>
      </c>
      <c r="X860" s="273" t="s">
        <v>4156</v>
      </c>
      <c r="Y860" s="322"/>
      <c r="Z860" s="322"/>
    </row>
    <row r="861" spans="1:33" s="28" customFormat="1" ht="20.25" customHeight="1">
      <c r="A861" s="11">
        <v>45993</v>
      </c>
      <c r="B861" s="16" t="s">
        <v>4092</v>
      </c>
      <c r="C861" s="16" t="s">
        <v>382</v>
      </c>
      <c r="D861" s="16" t="s">
        <v>212</v>
      </c>
      <c r="E861" s="16" t="s">
        <v>25</v>
      </c>
      <c r="F861" s="16" t="s">
        <v>4093</v>
      </c>
      <c r="G861" s="16" t="s">
        <v>71</v>
      </c>
      <c r="H861" s="16" t="s">
        <v>31</v>
      </c>
      <c r="I861" s="1"/>
      <c r="J861" s="1" t="s">
        <v>27</v>
      </c>
      <c r="K861" s="16" t="s">
        <v>2462</v>
      </c>
      <c r="L861" s="1" t="s">
        <v>35</v>
      </c>
      <c r="M861" s="17">
        <v>42725.41</v>
      </c>
      <c r="N861" s="23">
        <v>1.29</v>
      </c>
      <c r="O861" s="16" t="s">
        <v>4095</v>
      </c>
      <c r="P861" s="16" t="s">
        <v>63</v>
      </c>
      <c r="Q861" s="16" t="s">
        <v>2767</v>
      </c>
      <c r="R861" s="16" t="s">
        <v>2768</v>
      </c>
      <c r="S861" s="12" t="s">
        <v>3651</v>
      </c>
      <c r="T861" s="13">
        <v>46027</v>
      </c>
      <c r="U861" s="19"/>
      <c r="V861" s="53">
        <f>M861-Z861-AB861-AD861-AF861-AH861-AJ861-AL861-AN861-AP861-AR861-AT861-AV861-AX861-AZ861-BB861-BD861-BF861-BH861-U861</f>
        <v>-2.6899999999995998</v>
      </c>
      <c r="W861" s="22" t="s">
        <v>4096</v>
      </c>
      <c r="X861" s="16" t="s">
        <v>29</v>
      </c>
      <c r="Y861" s="9"/>
      <c r="Z861" s="19">
        <f>3437.4+3093.4+4068.6</f>
        <v>10599.4</v>
      </c>
      <c r="AA861" s="252">
        <v>46001</v>
      </c>
      <c r="AB861" s="19">
        <f>513.6+565.5+179.5+390.5+1610.9+1652.3</f>
        <v>4912.3</v>
      </c>
      <c r="AC861" s="252">
        <v>46027</v>
      </c>
      <c r="AD861" s="19">
        <f>2923.2+1195.5+1477.1+677.7+354.4+765.2+1349.6+3254.6+649.6+3797+5405.4+3558.8</f>
        <v>25408.100000000002</v>
      </c>
      <c r="AE861" s="252">
        <v>46029</v>
      </c>
      <c r="AF861" s="19">
        <f>925.7+882.6</f>
        <v>1808.3000000000002</v>
      </c>
      <c r="AG861" s="252">
        <v>46035</v>
      </c>
    </row>
    <row r="862" spans="1:33" s="28" customFormat="1" ht="20.25" customHeight="1">
      <c r="A862" s="11">
        <v>45993</v>
      </c>
      <c r="B862" s="16" t="s">
        <v>4097</v>
      </c>
      <c r="C862" s="16" t="s">
        <v>304</v>
      </c>
      <c r="D862" s="16" t="s">
        <v>212</v>
      </c>
      <c r="E862" s="16" t="s">
        <v>34</v>
      </c>
      <c r="F862" s="16" t="s">
        <v>4099</v>
      </c>
      <c r="G862" s="16" t="s">
        <v>71</v>
      </c>
      <c r="H862" s="16" t="s">
        <v>31</v>
      </c>
      <c r="I862" s="16"/>
      <c r="J862" s="16" t="s">
        <v>27</v>
      </c>
      <c r="K862" s="16" t="s">
        <v>1378</v>
      </c>
      <c r="L862" s="16" t="s">
        <v>35</v>
      </c>
      <c r="M862" s="17">
        <v>25</v>
      </c>
      <c r="N862" s="23">
        <v>1.29</v>
      </c>
      <c r="O862" s="16" t="s">
        <v>67</v>
      </c>
      <c r="P862" s="16" t="s">
        <v>63</v>
      </c>
      <c r="Q862" s="16" t="s">
        <v>29</v>
      </c>
      <c r="R862" s="16" t="s">
        <v>2863</v>
      </c>
      <c r="S862" s="12" t="s">
        <v>1802</v>
      </c>
      <c r="T862" s="13">
        <v>46007</v>
      </c>
      <c r="U862" s="19"/>
      <c r="V862" s="53">
        <f>M862-Z862-AB862-AD862-AF862-AH862-AJ862-AL862-AN862-AP862-AR862-AT862-AV862-AX862-AZ862-BB862-BD862-BF862-BH862-U862</f>
        <v>-4.6999999999999993</v>
      </c>
      <c r="W862" s="22" t="s">
        <v>4101</v>
      </c>
      <c r="X862" s="16"/>
      <c r="Y862" s="9"/>
      <c r="Z862" s="19">
        <v>29.7</v>
      </c>
      <c r="AA862" s="252">
        <v>46008</v>
      </c>
    </row>
    <row r="863" spans="1:33" s="282" customFormat="1" ht="20.25" customHeight="1">
      <c r="A863" s="272">
        <v>45993</v>
      </c>
      <c r="B863" s="273" t="s">
        <v>4098</v>
      </c>
      <c r="C863" s="273" t="s">
        <v>304</v>
      </c>
      <c r="D863" s="273" t="s">
        <v>212</v>
      </c>
      <c r="E863" s="273" t="s">
        <v>34</v>
      </c>
      <c r="F863" s="273" t="s">
        <v>4100</v>
      </c>
      <c r="G863" s="273" t="s">
        <v>71</v>
      </c>
      <c r="H863" s="273" t="s">
        <v>31</v>
      </c>
      <c r="I863" s="273"/>
      <c r="J863" s="273" t="s">
        <v>27</v>
      </c>
      <c r="K863" s="273" t="s">
        <v>1667</v>
      </c>
      <c r="L863" s="273" t="s">
        <v>35</v>
      </c>
      <c r="M863" s="274">
        <v>25</v>
      </c>
      <c r="N863" s="275">
        <v>1.29</v>
      </c>
      <c r="O863" s="273" t="s">
        <v>67</v>
      </c>
      <c r="P863" s="273" t="s">
        <v>63</v>
      </c>
      <c r="Q863" s="273" t="s">
        <v>29</v>
      </c>
      <c r="R863" s="273" t="s">
        <v>2863</v>
      </c>
      <c r="S863" s="276" t="s">
        <v>1802</v>
      </c>
      <c r="T863" s="277">
        <v>46007</v>
      </c>
      <c r="U863" s="278"/>
      <c r="V863" s="279">
        <f>M863-Z863-AB863-AD863-AF863-AH863-AJ863-AL863-AN863-AP863-AR863-AT863-AV863-AX863-AZ863-BB863-BD863-BF863-BH863-U863</f>
        <v>25</v>
      </c>
      <c r="W863" s="280" t="s">
        <v>4102</v>
      </c>
      <c r="X863" s="273"/>
      <c r="Y863" s="322"/>
      <c r="Z863" s="322"/>
    </row>
    <row r="864" spans="1:33" s="28" customFormat="1" ht="20.25" customHeight="1">
      <c r="A864" s="11">
        <v>45994</v>
      </c>
      <c r="B864" s="16" t="s">
        <v>4122</v>
      </c>
      <c r="C864" s="16" t="s">
        <v>228</v>
      </c>
      <c r="D864" s="16" t="s">
        <v>212</v>
      </c>
      <c r="E864" s="16" t="s">
        <v>25</v>
      </c>
      <c r="F864" s="16" t="s">
        <v>4125</v>
      </c>
      <c r="G864" s="16" t="s">
        <v>71</v>
      </c>
      <c r="H864" s="16" t="s">
        <v>31</v>
      </c>
      <c r="I864" s="16"/>
      <c r="J864" s="16" t="s">
        <v>27</v>
      </c>
      <c r="K864" s="16" t="s">
        <v>1116</v>
      </c>
      <c r="L864" s="16" t="s">
        <v>35</v>
      </c>
      <c r="M864" s="17">
        <v>25</v>
      </c>
      <c r="N864" s="23">
        <v>1.29</v>
      </c>
      <c r="O864" s="16" t="s">
        <v>4128</v>
      </c>
      <c r="P864" s="16" t="s">
        <v>63</v>
      </c>
      <c r="Q864" s="16" t="s">
        <v>362</v>
      </c>
      <c r="R864" s="16" t="s">
        <v>3686</v>
      </c>
      <c r="S864" s="12" t="s">
        <v>3907</v>
      </c>
      <c r="T864" s="13">
        <v>45996</v>
      </c>
      <c r="U864" s="19"/>
      <c r="V864" s="53">
        <f>M864-Z864-AB864-AD864-AF864-AH864-AJ864-AL864-AN864-AP864-AR864-AT864-AV864-AX864-AZ864-BB864-BD864-BF864-BH864-U864</f>
        <v>-0.30000000000000071</v>
      </c>
      <c r="W864" s="22" t="s">
        <v>4129</v>
      </c>
      <c r="X864" s="16" t="s">
        <v>29</v>
      </c>
      <c r="Y864" s="9"/>
      <c r="Z864" s="19">
        <v>25.3</v>
      </c>
      <c r="AA864" s="252">
        <v>45999</v>
      </c>
    </row>
    <row r="865" spans="1:29" s="28" customFormat="1" ht="20.25" customHeight="1">
      <c r="A865" s="11">
        <v>45994</v>
      </c>
      <c r="B865" s="16" t="s">
        <v>4123</v>
      </c>
      <c r="C865" s="16" t="s">
        <v>2624</v>
      </c>
      <c r="D865" s="16" t="s">
        <v>212</v>
      </c>
      <c r="E865" s="16" t="s">
        <v>25</v>
      </c>
      <c r="F865" s="16" t="s">
        <v>4126</v>
      </c>
      <c r="G865" s="16" t="s">
        <v>71</v>
      </c>
      <c r="H865" s="16" t="s">
        <v>31</v>
      </c>
      <c r="I865" s="1"/>
      <c r="J865" s="1" t="s">
        <v>27</v>
      </c>
      <c r="K865" s="16" t="s">
        <v>913</v>
      </c>
      <c r="L865" s="1" t="s">
        <v>35</v>
      </c>
      <c r="M865" s="17">
        <v>180.3</v>
      </c>
      <c r="N865" s="23">
        <v>1.29</v>
      </c>
      <c r="O865" s="16" t="s">
        <v>1063</v>
      </c>
      <c r="P865" s="16" t="s">
        <v>63</v>
      </c>
      <c r="Q865" s="16" t="s">
        <v>920</v>
      </c>
      <c r="R865" s="16" t="s">
        <v>2000</v>
      </c>
      <c r="S865" s="12" t="s">
        <v>3957</v>
      </c>
      <c r="T865" s="13">
        <v>46014</v>
      </c>
      <c r="U865" s="19"/>
      <c r="V865" s="53">
        <f>M865-Z865-AB865-AD865-AF865-AH865-AJ865-AL865-AN865-AP865-AR865-AT865-AV865-AX865-AZ865-BB865-BD865-BF865-BH865-U865</f>
        <v>0</v>
      </c>
      <c r="W865" s="22" t="s">
        <v>4130</v>
      </c>
      <c r="X865" s="16" t="s">
        <v>29</v>
      </c>
      <c r="Y865" s="9"/>
      <c r="Z865" s="19">
        <v>180.3</v>
      </c>
      <c r="AA865" s="252">
        <v>46007</v>
      </c>
    </row>
    <row r="866" spans="1:29" s="28" customFormat="1" ht="20.25" customHeight="1">
      <c r="A866" s="11">
        <v>45994</v>
      </c>
      <c r="B866" s="16" t="s">
        <v>4124</v>
      </c>
      <c r="C866" s="16" t="s">
        <v>2624</v>
      </c>
      <c r="D866" s="16" t="s">
        <v>212</v>
      </c>
      <c r="E866" s="16" t="s">
        <v>25</v>
      </c>
      <c r="F866" s="16" t="s">
        <v>4127</v>
      </c>
      <c r="G866" s="16" t="s">
        <v>71</v>
      </c>
      <c r="H866" s="16" t="s">
        <v>31</v>
      </c>
      <c r="I866" s="1"/>
      <c r="J866" s="1" t="s">
        <v>27</v>
      </c>
      <c r="K866" s="16" t="s">
        <v>3236</v>
      </c>
      <c r="L866" s="1" t="s">
        <v>35</v>
      </c>
      <c r="M866" s="17">
        <v>1044</v>
      </c>
      <c r="N866" s="23">
        <v>1.29</v>
      </c>
      <c r="O866" s="16" t="s">
        <v>67</v>
      </c>
      <c r="P866" s="16" t="s">
        <v>63</v>
      </c>
      <c r="Q866" s="16" t="s">
        <v>920</v>
      </c>
      <c r="R866" s="16" t="s">
        <v>2000</v>
      </c>
      <c r="S866" s="12" t="s">
        <v>3957</v>
      </c>
      <c r="T866" s="13">
        <v>46014</v>
      </c>
      <c r="U866" s="19"/>
      <c r="V866" s="53">
        <f>M866-Z866-AB866-AD866-AF866-AH866-AJ866-AL866-AN866-AP866-AR866-AT866-AV866-AX866-AZ866-BB866-BD866-BF866-BH866-U866</f>
        <v>-2.2999999999999545</v>
      </c>
      <c r="W866" s="22" t="s">
        <v>4131</v>
      </c>
      <c r="X866" s="16" t="s">
        <v>29</v>
      </c>
      <c r="Y866" s="9"/>
      <c r="Z866" s="19">
        <v>1046.3</v>
      </c>
      <c r="AA866" s="252">
        <v>46007</v>
      </c>
    </row>
    <row r="867" spans="1:29" s="28" customFormat="1" ht="20.25" customHeight="1">
      <c r="A867" s="11">
        <v>45995</v>
      </c>
      <c r="B867" s="16" t="s">
        <v>4141</v>
      </c>
      <c r="C867" s="16" t="s">
        <v>2624</v>
      </c>
      <c r="D867" s="16" t="s">
        <v>212</v>
      </c>
      <c r="E867" s="16" t="s">
        <v>25</v>
      </c>
      <c r="F867" s="16" t="s">
        <v>4142</v>
      </c>
      <c r="G867" s="16" t="s">
        <v>71</v>
      </c>
      <c r="H867" s="16" t="s">
        <v>31</v>
      </c>
      <c r="I867" s="1"/>
      <c r="J867" s="1" t="s">
        <v>27</v>
      </c>
      <c r="K867" s="16" t="s">
        <v>4143</v>
      </c>
      <c r="L867" s="1" t="s">
        <v>35</v>
      </c>
      <c r="M867" s="17">
        <v>100</v>
      </c>
      <c r="N867" s="23">
        <v>1.29</v>
      </c>
      <c r="O867" s="16" t="s">
        <v>67</v>
      </c>
      <c r="P867" s="16" t="s">
        <v>63</v>
      </c>
      <c r="Q867" s="16" t="s">
        <v>29</v>
      </c>
      <c r="R867" s="16" t="s">
        <v>29</v>
      </c>
      <c r="S867" s="12" t="s">
        <v>4016</v>
      </c>
      <c r="T867" s="13">
        <v>46009</v>
      </c>
      <c r="U867" s="19"/>
      <c r="V867" s="53">
        <f>M867-Z867-AB867-AD867-AF867-AH867-AJ867-AL867-AN867-AP867-AR867-AT867-AV867-AX867-AZ867-BB867-BD867-BF867-BH867-U867</f>
        <v>-4</v>
      </c>
      <c r="W867" s="22" t="s">
        <v>4145</v>
      </c>
      <c r="X867" s="16" t="s">
        <v>29</v>
      </c>
      <c r="Y867" s="9"/>
      <c r="Z867" s="19">
        <v>104</v>
      </c>
      <c r="AA867" s="252">
        <v>46007</v>
      </c>
    </row>
    <row r="868" spans="1:29" s="36" customFormat="1" ht="20.25" customHeight="1">
      <c r="A868" s="7">
        <v>45999</v>
      </c>
      <c r="B868" s="19" t="s">
        <v>4157</v>
      </c>
      <c r="C868" s="19" t="s">
        <v>267</v>
      </c>
      <c r="D868" s="19" t="s">
        <v>212</v>
      </c>
      <c r="E868" s="19" t="s">
        <v>34</v>
      </c>
      <c r="F868" s="19" t="s">
        <v>4159</v>
      </c>
      <c r="G868" s="19" t="s">
        <v>71</v>
      </c>
      <c r="H868" s="19" t="s">
        <v>26</v>
      </c>
      <c r="I868" s="1"/>
      <c r="J868" s="1" t="s">
        <v>27</v>
      </c>
      <c r="K868" s="19" t="s">
        <v>214</v>
      </c>
      <c r="L868" s="1" t="s">
        <v>35</v>
      </c>
      <c r="M868" s="20">
        <v>50</v>
      </c>
      <c r="N868" s="25">
        <v>1.29</v>
      </c>
      <c r="O868" s="1" t="s">
        <v>67</v>
      </c>
      <c r="P868" s="1" t="s">
        <v>63</v>
      </c>
      <c r="Q868" s="1" t="s">
        <v>29</v>
      </c>
      <c r="R868" s="1" t="s">
        <v>713</v>
      </c>
      <c r="S868" s="121" t="s">
        <v>4081</v>
      </c>
      <c r="T868" s="8">
        <v>46010</v>
      </c>
      <c r="U868" s="19"/>
      <c r="V868" s="55">
        <f>M868-Z868-AB868-AD868-AF868-AH868-AJ868-AL868-AN868-AP868-AR868-AT868-AV868-AX868-AZ868-BB868-BD868-BF868-BH868-U868</f>
        <v>-5.2000000000000028</v>
      </c>
      <c r="W868" s="15" t="s">
        <v>4161</v>
      </c>
      <c r="X868" s="19"/>
      <c r="Y868" s="10"/>
      <c r="Z868" s="19">
        <v>55.2</v>
      </c>
      <c r="AA868" s="123">
        <v>46027</v>
      </c>
    </row>
    <row r="869" spans="1:29" s="28" customFormat="1" ht="20.25" customHeight="1">
      <c r="A869" s="11">
        <v>45999</v>
      </c>
      <c r="B869" s="16" t="s">
        <v>4158</v>
      </c>
      <c r="C869" s="16" t="s">
        <v>267</v>
      </c>
      <c r="D869" s="16" t="s">
        <v>212</v>
      </c>
      <c r="E869" s="16" t="s">
        <v>34</v>
      </c>
      <c r="F869" s="16" t="s">
        <v>4160</v>
      </c>
      <c r="G869" s="16" t="s">
        <v>71</v>
      </c>
      <c r="H869" s="16" t="s">
        <v>26</v>
      </c>
      <c r="I869" s="16"/>
      <c r="J869" s="16" t="s">
        <v>27</v>
      </c>
      <c r="K869" s="16" t="s">
        <v>332</v>
      </c>
      <c r="L869" s="16" t="s">
        <v>35</v>
      </c>
      <c r="M869" s="17">
        <v>25</v>
      </c>
      <c r="N869" s="23">
        <v>1.29</v>
      </c>
      <c r="O869" s="16" t="s">
        <v>67</v>
      </c>
      <c r="P869" s="16" t="s">
        <v>63</v>
      </c>
      <c r="Q869" s="16" t="s">
        <v>29</v>
      </c>
      <c r="R869" s="16" t="s">
        <v>2919</v>
      </c>
      <c r="S869" s="12" t="s">
        <v>4081</v>
      </c>
      <c r="T869" s="13">
        <v>46010</v>
      </c>
      <c r="U869" s="19"/>
      <c r="V869" s="53">
        <f>M869-Z869-AB869-AD869-AF869-AH869-AJ869-AL869-AN869-AP869-AR869-AT869-AV869-AX869-AZ869-BB869-BD869-BF869-BH869-U869</f>
        <v>-1.3000000000000007</v>
      </c>
      <c r="W869" s="22" t="s">
        <v>4162</v>
      </c>
      <c r="X869" s="16"/>
      <c r="Y869" s="9"/>
      <c r="Z869" s="19">
        <v>26.3</v>
      </c>
      <c r="AA869" s="252">
        <v>46010</v>
      </c>
    </row>
    <row r="870" spans="1:29" s="28" customFormat="1" ht="20.25" customHeight="1">
      <c r="A870" s="11">
        <v>46000</v>
      </c>
      <c r="B870" s="16" t="s">
        <v>4163</v>
      </c>
      <c r="C870" s="16" t="s">
        <v>290</v>
      </c>
      <c r="D870" s="16" t="s">
        <v>212</v>
      </c>
      <c r="E870" s="16" t="s">
        <v>25</v>
      </c>
      <c r="F870" s="16" t="s">
        <v>4164</v>
      </c>
      <c r="G870" s="16" t="s">
        <v>71</v>
      </c>
      <c r="H870" s="16" t="s">
        <v>31</v>
      </c>
      <c r="I870" s="1"/>
      <c r="J870" s="1" t="s">
        <v>27</v>
      </c>
      <c r="K870" s="16" t="s">
        <v>632</v>
      </c>
      <c r="L870" s="1" t="s">
        <v>35</v>
      </c>
      <c r="M870" s="17">
        <v>20</v>
      </c>
      <c r="N870" s="23">
        <v>1.29</v>
      </c>
      <c r="O870" s="16" t="s">
        <v>67</v>
      </c>
      <c r="P870" s="16" t="s">
        <v>63</v>
      </c>
      <c r="Q870" s="16" t="s">
        <v>2570</v>
      </c>
      <c r="R870" s="16" t="s">
        <v>3716</v>
      </c>
      <c r="S870" s="12" t="s">
        <v>3906</v>
      </c>
      <c r="T870" s="13">
        <v>46003</v>
      </c>
      <c r="U870" s="19"/>
      <c r="V870" s="53">
        <f>M870-Z870-AB870-AD870-AF870-AH870-AJ870-AL870-AN870-AP870-AR870-AT870-AV870-AX870-AZ870-BB870-BD870-BF870-BH870-U870</f>
        <v>-1.3999999999999986</v>
      </c>
      <c r="W870" s="22" t="s">
        <v>4165</v>
      </c>
      <c r="X870" s="16" t="s">
        <v>29</v>
      </c>
      <c r="Y870" s="9"/>
      <c r="Z870" s="19">
        <v>21.4</v>
      </c>
      <c r="AA870" s="252">
        <v>46006</v>
      </c>
    </row>
    <row r="871" spans="1:29" s="36" customFormat="1" ht="20.25" customHeight="1">
      <c r="A871" s="7">
        <v>46001</v>
      </c>
      <c r="B871" s="19" t="s">
        <v>4167</v>
      </c>
      <c r="C871" s="19" t="s">
        <v>304</v>
      </c>
      <c r="D871" s="19" t="s">
        <v>212</v>
      </c>
      <c r="E871" s="19" t="s">
        <v>25</v>
      </c>
      <c r="F871" s="19" t="s">
        <v>4171</v>
      </c>
      <c r="G871" s="19" t="s">
        <v>71</v>
      </c>
      <c r="H871" s="19" t="s">
        <v>31</v>
      </c>
      <c r="I871" s="301"/>
      <c r="J871" s="301" t="s">
        <v>27</v>
      </c>
      <c r="K871" s="19" t="s">
        <v>613</v>
      </c>
      <c r="L871" s="301" t="s">
        <v>35</v>
      </c>
      <c r="M871" s="20">
        <v>1070</v>
      </c>
      <c r="N871" s="25">
        <v>1.29</v>
      </c>
      <c r="O871" s="301" t="s">
        <v>67</v>
      </c>
      <c r="P871" s="301" t="s">
        <v>63</v>
      </c>
      <c r="Q871" s="301" t="s">
        <v>29</v>
      </c>
      <c r="R871" s="301" t="s">
        <v>4175</v>
      </c>
      <c r="S871" s="304" t="s">
        <v>4179</v>
      </c>
      <c r="T871" s="8">
        <v>46029</v>
      </c>
      <c r="U871" s="19"/>
      <c r="V871" s="55">
        <f>M871-Z871-AB871-AD871-AF871-AH871-AJ871-AL871-AN871-AP871-AR871-AT871-AV871-AX871-AZ871-BB871-BD871-BF871-BH871-U871</f>
        <v>-1.7999999999999545</v>
      </c>
      <c r="W871" s="15" t="s">
        <v>4181</v>
      </c>
      <c r="X871" s="19" t="s">
        <v>29</v>
      </c>
      <c r="Y871" s="10"/>
      <c r="Z871" s="19">
        <v>1071.8</v>
      </c>
      <c r="AA871" s="123">
        <v>46027</v>
      </c>
    </row>
    <row r="872" spans="1:29" s="28" customFormat="1" ht="20.25" customHeight="1">
      <c r="A872" s="11">
        <v>46001</v>
      </c>
      <c r="B872" s="16" t="s">
        <v>4168</v>
      </c>
      <c r="C872" s="16" t="s">
        <v>382</v>
      </c>
      <c r="D872" s="16" t="s">
        <v>212</v>
      </c>
      <c r="E872" s="16" t="s">
        <v>25</v>
      </c>
      <c r="F872" s="16" t="s">
        <v>4172</v>
      </c>
      <c r="G872" s="16" t="s">
        <v>71</v>
      </c>
      <c r="H872" s="16" t="s">
        <v>31</v>
      </c>
      <c r="I872" s="16"/>
      <c r="J872" s="16" t="s">
        <v>27</v>
      </c>
      <c r="K872" s="16" t="s">
        <v>214</v>
      </c>
      <c r="L872" s="16" t="s">
        <v>35</v>
      </c>
      <c r="M872" s="17">
        <v>5116.66</v>
      </c>
      <c r="N872" s="23">
        <v>1.29</v>
      </c>
      <c r="O872" s="16" t="s">
        <v>67</v>
      </c>
      <c r="P872" s="16" t="s">
        <v>63</v>
      </c>
      <c r="Q872" s="16" t="s">
        <v>4176</v>
      </c>
      <c r="R872" s="16" t="s">
        <v>4177</v>
      </c>
      <c r="S872" s="12" t="s">
        <v>4179</v>
      </c>
      <c r="T872" s="13">
        <v>46029</v>
      </c>
      <c r="U872" s="19"/>
      <c r="V872" s="53">
        <f>M872-Z872-AB872-AD872-AF872-AH872-AJ872-AL872-AN872-AP872-AR872-AT872-AV872-AX872-AZ872-BB872-BD872-BF872-BH872-U872</f>
        <v>-0.44000000000050932</v>
      </c>
      <c r="W872" s="22" t="s">
        <v>4182</v>
      </c>
      <c r="X872" s="16" t="s">
        <v>29</v>
      </c>
      <c r="Y872" s="9" t="s">
        <v>4660</v>
      </c>
      <c r="Z872" s="19">
        <f>794.3+595.9+3726.9</f>
        <v>5117.1000000000004</v>
      </c>
      <c r="AA872" s="252">
        <v>46029</v>
      </c>
    </row>
    <row r="873" spans="1:29" s="28" customFormat="1" ht="20.25" customHeight="1">
      <c r="A873" s="11">
        <v>46001</v>
      </c>
      <c r="B873" s="16" t="s">
        <v>4168</v>
      </c>
      <c r="C873" s="16" t="s">
        <v>382</v>
      </c>
      <c r="D873" s="16" t="s">
        <v>212</v>
      </c>
      <c r="E873" s="16" t="s">
        <v>25</v>
      </c>
      <c r="F873" s="16" t="s">
        <v>4172</v>
      </c>
      <c r="G873" s="16" t="s">
        <v>71</v>
      </c>
      <c r="H873" s="16" t="s">
        <v>31</v>
      </c>
      <c r="I873" s="1"/>
      <c r="J873" s="1" t="s">
        <v>27</v>
      </c>
      <c r="K873" s="16" t="s">
        <v>613</v>
      </c>
      <c r="L873" s="1" t="s">
        <v>35</v>
      </c>
      <c r="M873" s="17">
        <v>428.41</v>
      </c>
      <c r="N873" s="23">
        <v>1.29</v>
      </c>
      <c r="O873" s="1" t="s">
        <v>67</v>
      </c>
      <c r="P873" s="1" t="s">
        <v>63</v>
      </c>
      <c r="Q873" s="1" t="s">
        <v>4176</v>
      </c>
      <c r="R873" s="1" t="s">
        <v>3930</v>
      </c>
      <c r="S873" s="121" t="s">
        <v>4179</v>
      </c>
      <c r="T873" s="13">
        <v>46029</v>
      </c>
      <c r="U873" s="19"/>
      <c r="V873" s="53">
        <f>M873-Z873-AB873-AD873-AF873-AH873-AJ873-AL873-AN873-AP873-AR873-AT873-AV873-AX873-AZ873-BB873-BD873-BF873-BH873-U873</f>
        <v>-0.78999999999996362</v>
      </c>
      <c r="W873" s="22" t="s">
        <v>4183</v>
      </c>
      <c r="X873" s="16" t="s">
        <v>29</v>
      </c>
      <c r="Y873" s="9"/>
      <c r="Z873" s="19">
        <v>429.2</v>
      </c>
      <c r="AA873" s="252">
        <v>46027</v>
      </c>
    </row>
    <row r="874" spans="1:29" s="36" customFormat="1" ht="20.25" customHeight="1">
      <c r="A874" s="7">
        <v>46001</v>
      </c>
      <c r="B874" s="19" t="s">
        <v>4169</v>
      </c>
      <c r="C874" s="19" t="s">
        <v>267</v>
      </c>
      <c r="D874" s="19" t="s">
        <v>212</v>
      </c>
      <c r="E874" s="19" t="s">
        <v>25</v>
      </c>
      <c r="F874" s="19" t="s">
        <v>4173</v>
      </c>
      <c r="G874" s="19" t="s">
        <v>71</v>
      </c>
      <c r="H874" s="19" t="s">
        <v>31</v>
      </c>
      <c r="I874" s="1"/>
      <c r="J874" s="1" t="s">
        <v>27</v>
      </c>
      <c r="K874" s="19" t="s">
        <v>214</v>
      </c>
      <c r="L874" s="1" t="s">
        <v>35</v>
      </c>
      <c r="M874" s="20">
        <v>2800</v>
      </c>
      <c r="N874" s="25">
        <v>1.29</v>
      </c>
      <c r="O874" s="1" t="s">
        <v>67</v>
      </c>
      <c r="P874" s="1" t="s">
        <v>63</v>
      </c>
      <c r="Q874" s="1" t="s">
        <v>29</v>
      </c>
      <c r="R874" s="1" t="s">
        <v>1576</v>
      </c>
      <c r="S874" s="121" t="s">
        <v>4179</v>
      </c>
      <c r="T874" s="8">
        <v>46029</v>
      </c>
      <c r="U874" s="19"/>
      <c r="V874" s="55">
        <f>M874-Z874-AB874-AD874-AF874-AH874-AJ874-AL874-AN874-AP874-AR874-AT874-AV874-AX874-AZ874-BB874-BD874-BF874-BH874-U874</f>
        <v>0</v>
      </c>
      <c r="W874" s="15" t="s">
        <v>4184</v>
      </c>
      <c r="X874" s="19" t="s">
        <v>29</v>
      </c>
      <c r="Y874" s="10"/>
      <c r="Z874" s="19">
        <v>2800</v>
      </c>
      <c r="AA874" s="123">
        <v>46027</v>
      </c>
    </row>
    <row r="875" spans="1:29" s="28" customFormat="1" ht="20.25" customHeight="1">
      <c r="A875" s="11">
        <v>46001</v>
      </c>
      <c r="B875" s="16" t="s">
        <v>4170</v>
      </c>
      <c r="C875" s="16" t="s">
        <v>400</v>
      </c>
      <c r="D875" s="16" t="s">
        <v>212</v>
      </c>
      <c r="E875" s="16" t="s">
        <v>25</v>
      </c>
      <c r="F875" s="16" t="s">
        <v>4174</v>
      </c>
      <c r="G875" s="16" t="s">
        <v>71</v>
      </c>
      <c r="H875" s="16" t="s">
        <v>31</v>
      </c>
      <c r="I875" s="16"/>
      <c r="J875" s="16" t="s">
        <v>27</v>
      </c>
      <c r="K875" s="16" t="s">
        <v>3646</v>
      </c>
      <c r="L875" s="16" t="s">
        <v>35</v>
      </c>
      <c r="M875" s="17">
        <v>67.94</v>
      </c>
      <c r="N875" s="23">
        <v>1.29</v>
      </c>
      <c r="O875" s="16" t="s">
        <v>67</v>
      </c>
      <c r="P875" s="16" t="s">
        <v>63</v>
      </c>
      <c r="Q875" s="16" t="s">
        <v>2494</v>
      </c>
      <c r="R875" s="16" t="s">
        <v>4178</v>
      </c>
      <c r="S875" s="12" t="s">
        <v>4083</v>
      </c>
      <c r="T875" s="13">
        <v>46010</v>
      </c>
      <c r="U875" s="19"/>
      <c r="V875" s="53">
        <f>M875-Z875-AB875-AD875-AF875-AH875-AJ875-AL875-AN875-AP875-AR875-AT875-AV875-AX875-AZ875-BB875-BD875-BF875-BH875-U875</f>
        <v>-5.2600000000000051</v>
      </c>
      <c r="W875" s="22" t="s">
        <v>4185</v>
      </c>
      <c r="X875" s="16" t="s">
        <v>29</v>
      </c>
      <c r="Y875" s="9"/>
      <c r="Z875" s="19">
        <v>73.2</v>
      </c>
      <c r="AA875" s="252">
        <v>46008</v>
      </c>
    </row>
    <row r="876" spans="1:29" s="28" customFormat="1" ht="20.25" customHeight="1">
      <c r="A876" s="11">
        <v>46002</v>
      </c>
      <c r="B876" s="16" t="s">
        <v>4186</v>
      </c>
      <c r="C876" s="16" t="s">
        <v>290</v>
      </c>
      <c r="D876" s="16" t="s">
        <v>212</v>
      </c>
      <c r="E876" s="16" t="s">
        <v>25</v>
      </c>
      <c r="F876" s="16" t="s">
        <v>4191</v>
      </c>
      <c r="G876" s="16" t="s">
        <v>71</v>
      </c>
      <c r="H876" s="16" t="s">
        <v>31</v>
      </c>
      <c r="I876" s="1"/>
      <c r="J876" s="1" t="s">
        <v>27</v>
      </c>
      <c r="K876" s="16" t="s">
        <v>1328</v>
      </c>
      <c r="L876" s="1" t="s">
        <v>35</v>
      </c>
      <c r="M876" s="17">
        <v>13</v>
      </c>
      <c r="N876" s="23">
        <v>1.29</v>
      </c>
      <c r="O876" s="16" t="s">
        <v>67</v>
      </c>
      <c r="P876" s="16" t="s">
        <v>63</v>
      </c>
      <c r="Q876" s="16" t="s">
        <v>29</v>
      </c>
      <c r="R876" s="16" t="s">
        <v>29</v>
      </c>
      <c r="S876" s="12" t="s">
        <v>4016</v>
      </c>
      <c r="T876" s="13">
        <v>46009</v>
      </c>
      <c r="U876" s="19"/>
      <c r="V876" s="53">
        <f>M876-Z876-AB876-AD876-AF876-AH876-AJ876-AL876-AN876-AP876-AR876-AT876-AV876-AX876-AZ876-BB876-BD876-BF876-BH876-U876</f>
        <v>-1.8000000000000007</v>
      </c>
      <c r="W876" s="22" t="s">
        <v>4199</v>
      </c>
      <c r="X876" s="16" t="s">
        <v>29</v>
      </c>
      <c r="Y876" s="9"/>
      <c r="Z876" s="19">
        <v>14.8</v>
      </c>
      <c r="AA876" s="252">
        <v>46006</v>
      </c>
    </row>
    <row r="877" spans="1:29" s="28" customFormat="1" ht="20.25" customHeight="1">
      <c r="A877" s="11">
        <v>46002</v>
      </c>
      <c r="B877" s="16" t="s">
        <v>4187</v>
      </c>
      <c r="C877" s="16" t="s">
        <v>290</v>
      </c>
      <c r="D877" s="16" t="s">
        <v>212</v>
      </c>
      <c r="E877" s="16" t="s">
        <v>25</v>
      </c>
      <c r="F877" s="16" t="s">
        <v>4192</v>
      </c>
      <c r="G877" s="16" t="s">
        <v>71</v>
      </c>
      <c r="H877" s="16" t="s">
        <v>31</v>
      </c>
      <c r="I877" s="1"/>
      <c r="J877" s="1" t="s">
        <v>27</v>
      </c>
      <c r="K877" s="16" t="s">
        <v>1328</v>
      </c>
      <c r="L877" s="1" t="s">
        <v>35</v>
      </c>
      <c r="M877" s="17">
        <v>16</v>
      </c>
      <c r="N877" s="23">
        <v>1.29</v>
      </c>
      <c r="O877" s="16" t="s">
        <v>67</v>
      </c>
      <c r="P877" s="16" t="s">
        <v>63</v>
      </c>
      <c r="Q877" s="16" t="s">
        <v>29</v>
      </c>
      <c r="R877" s="16" t="s">
        <v>29</v>
      </c>
      <c r="S877" s="12" t="s">
        <v>4016</v>
      </c>
      <c r="T877" s="13">
        <v>46009</v>
      </c>
      <c r="U877" s="19"/>
      <c r="V877" s="53">
        <f>M877-Z877-AB877-AD877-AF877-AH877-AJ877-AL877-AN877-AP877-AR877-AT877-AV877-AX877-AZ877-BB877-BD877-BF877-BH877-U877</f>
        <v>-4.8999999999999986</v>
      </c>
      <c r="W877" s="22" t="s">
        <v>4200</v>
      </c>
      <c r="X877" s="16" t="s">
        <v>29</v>
      </c>
      <c r="Y877" s="9"/>
      <c r="Z877" s="19">
        <v>20.9</v>
      </c>
      <c r="AA877" s="252">
        <v>46006</v>
      </c>
    </row>
    <row r="878" spans="1:29" s="28" customFormat="1" ht="20.25" customHeight="1">
      <c r="A878" s="11">
        <v>46002</v>
      </c>
      <c r="B878" s="16" t="s">
        <v>4188</v>
      </c>
      <c r="C878" s="16" t="s">
        <v>290</v>
      </c>
      <c r="D878" s="16" t="s">
        <v>212</v>
      </c>
      <c r="E878" s="16" t="s">
        <v>25</v>
      </c>
      <c r="F878" s="16" t="s">
        <v>4193</v>
      </c>
      <c r="G878" s="16" t="s">
        <v>71</v>
      </c>
      <c r="H878" s="16" t="s">
        <v>31</v>
      </c>
      <c r="I878" s="1"/>
      <c r="J878" s="1" t="s">
        <v>27</v>
      </c>
      <c r="K878" s="16" t="s">
        <v>632</v>
      </c>
      <c r="L878" s="1" t="s">
        <v>35</v>
      </c>
      <c r="M878" s="17">
        <v>15</v>
      </c>
      <c r="N878" s="23">
        <v>1.29</v>
      </c>
      <c r="O878" s="16" t="s">
        <v>67</v>
      </c>
      <c r="P878" s="16" t="s">
        <v>63</v>
      </c>
      <c r="Q878" s="16" t="s">
        <v>29</v>
      </c>
      <c r="R878" s="16" t="s">
        <v>29</v>
      </c>
      <c r="S878" s="12" t="s">
        <v>4016</v>
      </c>
      <c r="T878" s="13">
        <v>46009</v>
      </c>
      <c r="U878" s="19"/>
      <c r="V878" s="53">
        <f>M878-Z878-AB878-AD878-AF878-AH878-AJ878-AL878-AN878-AP878-AR878-AT878-AV878-AX878-AZ878-BB878-BD878-BF878-BH878-U878</f>
        <v>-7.6999999999999993</v>
      </c>
      <c r="W878" s="22" t="s">
        <v>4201</v>
      </c>
      <c r="X878" s="16" t="s">
        <v>29</v>
      </c>
      <c r="Y878" s="9"/>
      <c r="Z878" s="19">
        <v>22.7</v>
      </c>
      <c r="AA878" s="252">
        <v>46006</v>
      </c>
    </row>
    <row r="879" spans="1:29" s="28" customFormat="1" ht="20.25" customHeight="1">
      <c r="A879" s="11">
        <v>46002</v>
      </c>
      <c r="B879" s="16" t="s">
        <v>4189</v>
      </c>
      <c r="C879" s="16" t="s">
        <v>267</v>
      </c>
      <c r="D879" s="16" t="s">
        <v>212</v>
      </c>
      <c r="E879" s="16" t="s">
        <v>25</v>
      </c>
      <c r="F879" s="16" t="s">
        <v>4194</v>
      </c>
      <c r="G879" s="16" t="s">
        <v>71</v>
      </c>
      <c r="H879" s="16" t="s">
        <v>31</v>
      </c>
      <c r="I879" s="16"/>
      <c r="J879" s="16" t="s">
        <v>27</v>
      </c>
      <c r="K879" s="16" t="s">
        <v>245</v>
      </c>
      <c r="L879" s="16" t="s">
        <v>35</v>
      </c>
      <c r="M879" s="17">
        <v>50</v>
      </c>
      <c r="N879" s="23">
        <v>0</v>
      </c>
      <c r="O879" s="16" t="s">
        <v>67</v>
      </c>
      <c r="P879" s="16" t="s">
        <v>63</v>
      </c>
      <c r="Q879" s="16" t="s">
        <v>29</v>
      </c>
      <c r="R879" s="16" t="s">
        <v>4196</v>
      </c>
      <c r="S879" s="12" t="s">
        <v>4016</v>
      </c>
      <c r="T879" s="13">
        <v>46009</v>
      </c>
      <c r="U879" s="19"/>
      <c r="V879" s="53">
        <f>M879-Z879-AB879-AD879-AF879-AH879-AJ879-AL879-AN879-AP879-AR879-AT879-AV879-AX879-AZ879-BB879-BD879-BF879-BH879-U879</f>
        <v>-1.3999999999999986</v>
      </c>
      <c r="W879" s="22" t="s">
        <v>4202</v>
      </c>
      <c r="X879" s="16" t="s">
        <v>29</v>
      </c>
      <c r="Y879" s="9"/>
      <c r="Z879" s="19">
        <v>51.4</v>
      </c>
      <c r="AA879" s="252">
        <v>46008</v>
      </c>
    </row>
    <row r="880" spans="1:29" s="36" customFormat="1" ht="20.25" customHeight="1">
      <c r="A880" s="7">
        <v>46002</v>
      </c>
      <c r="B880" s="19" t="s">
        <v>4190</v>
      </c>
      <c r="C880" s="19" t="s">
        <v>304</v>
      </c>
      <c r="D880" s="19" t="s">
        <v>212</v>
      </c>
      <c r="E880" s="19" t="s">
        <v>25</v>
      </c>
      <c r="F880" s="19" t="s">
        <v>4195</v>
      </c>
      <c r="G880" s="19" t="s">
        <v>71</v>
      </c>
      <c r="H880" s="19" t="s">
        <v>31</v>
      </c>
      <c r="I880" s="301"/>
      <c r="J880" s="301" t="s">
        <v>27</v>
      </c>
      <c r="K880" s="19" t="s">
        <v>351</v>
      </c>
      <c r="L880" s="301" t="s">
        <v>35</v>
      </c>
      <c r="M880" s="20">
        <v>475</v>
      </c>
      <c r="N880" s="303">
        <v>1.29</v>
      </c>
      <c r="O880" s="301" t="s">
        <v>67</v>
      </c>
      <c r="P880" s="301" t="s">
        <v>63</v>
      </c>
      <c r="Q880" s="301" t="s">
        <v>29</v>
      </c>
      <c r="R880" s="301" t="s">
        <v>4197</v>
      </c>
      <c r="S880" s="45" t="s">
        <v>4016</v>
      </c>
      <c r="T880" s="8">
        <v>46029</v>
      </c>
      <c r="U880" s="19"/>
      <c r="V880" s="55">
        <f>M880-Z880-AB880-AD880-AF880-AH880-AJ880-AL880-AN880-AP880-AR880-AT880-AV880-AX880-AZ880-BB880-BD880-BF880-BH880-U880</f>
        <v>-1.9000000000000341</v>
      </c>
      <c r="W880" s="15" t="s">
        <v>4203</v>
      </c>
      <c r="X880" s="19" t="s">
        <v>29</v>
      </c>
      <c r="Y880" s="10"/>
      <c r="Z880" s="19">
        <f>356.6+60.8</f>
        <v>417.40000000000003</v>
      </c>
      <c r="AA880" s="123">
        <v>46031</v>
      </c>
      <c r="AB880" s="19">
        <v>59.5</v>
      </c>
      <c r="AC880" s="123">
        <v>46036</v>
      </c>
    </row>
    <row r="881" spans="1:31" s="28" customFormat="1" ht="20.25" customHeight="1">
      <c r="A881" s="11">
        <v>46003</v>
      </c>
      <c r="B881" s="16" t="s">
        <v>4210</v>
      </c>
      <c r="C881" s="16" t="s">
        <v>228</v>
      </c>
      <c r="D881" s="16" t="s">
        <v>212</v>
      </c>
      <c r="E881" s="16" t="s">
        <v>25</v>
      </c>
      <c r="F881" s="16" t="s">
        <v>4211</v>
      </c>
      <c r="G881" s="16" t="s">
        <v>71</v>
      </c>
      <c r="H881" s="16" t="s">
        <v>31</v>
      </c>
      <c r="I881" s="16"/>
      <c r="J881" s="16" t="s">
        <v>27</v>
      </c>
      <c r="K881" s="16" t="s">
        <v>1667</v>
      </c>
      <c r="L881" s="16" t="s">
        <v>35</v>
      </c>
      <c r="M881" s="17">
        <v>409.39</v>
      </c>
      <c r="N881" s="23">
        <v>1.29</v>
      </c>
      <c r="O881" s="16" t="s">
        <v>67</v>
      </c>
      <c r="P881" s="16" t="s">
        <v>63</v>
      </c>
      <c r="Q881" s="16" t="s">
        <v>470</v>
      </c>
      <c r="R881" s="16" t="s">
        <v>1374</v>
      </c>
      <c r="S881" s="12" t="s">
        <v>4212</v>
      </c>
      <c r="T881" s="13">
        <v>46031</v>
      </c>
      <c r="U881" s="19"/>
      <c r="V881" s="53">
        <f>M881-Z881-AB881-AD881-AF881-AH881-AJ881-AL881-AN881-AP881-AR881-AT881-AV881-AX881-AZ881-BB881-BD881-BF881-BH881-U881</f>
        <v>-9.9999999999909051E-3</v>
      </c>
      <c r="W881" s="22" t="s">
        <v>4213</v>
      </c>
      <c r="X881" s="16" t="s">
        <v>29</v>
      </c>
      <c r="Y881" s="9"/>
      <c r="Z881" s="19">
        <f>293.8+115.6</f>
        <v>409.4</v>
      </c>
      <c r="AA881" s="252">
        <v>46030</v>
      </c>
    </row>
    <row r="882" spans="1:31" s="28" customFormat="1" ht="20.25" customHeight="1">
      <c r="A882" s="11">
        <v>46006</v>
      </c>
      <c r="B882" s="16" t="s">
        <v>4230</v>
      </c>
      <c r="C882" s="16" t="s">
        <v>267</v>
      </c>
      <c r="D882" s="16" t="s">
        <v>212</v>
      </c>
      <c r="E882" s="16" t="s">
        <v>34</v>
      </c>
      <c r="F882" s="301" t="s">
        <v>4233</v>
      </c>
      <c r="G882" s="16" t="s">
        <v>71</v>
      </c>
      <c r="H882" s="16" t="s">
        <v>26</v>
      </c>
      <c r="I882" s="16"/>
      <c r="J882" s="16" t="s">
        <v>27</v>
      </c>
      <c r="K882" s="16" t="s">
        <v>3668</v>
      </c>
      <c r="L882" s="16" t="s">
        <v>35</v>
      </c>
      <c r="M882" s="17">
        <v>75</v>
      </c>
      <c r="N882" s="23">
        <v>1.29</v>
      </c>
      <c r="O882" s="16" t="s">
        <v>67</v>
      </c>
      <c r="P882" s="16" t="s">
        <v>63</v>
      </c>
      <c r="Q882" s="16" t="s">
        <v>29</v>
      </c>
      <c r="R882" s="16" t="s">
        <v>29</v>
      </c>
      <c r="S882" s="12" t="s">
        <v>4212</v>
      </c>
      <c r="T882" s="13">
        <v>46031</v>
      </c>
      <c r="U882" s="19"/>
      <c r="V882" s="53">
        <f>M882-Z882-AB882-AD882-AF882-AH882-AJ882-AL882-AN882-AP882-AR882-AT882-AV882-AX882-AZ882-BB882-BD882-BF882-BH882-U882</f>
        <v>-0.20000000000000284</v>
      </c>
      <c r="W882" s="22" t="s">
        <v>4238</v>
      </c>
      <c r="X882" s="16" t="s">
        <v>29</v>
      </c>
      <c r="Y882" s="9"/>
      <c r="Z882" s="19">
        <v>75.2</v>
      </c>
      <c r="AA882" s="252">
        <v>46041</v>
      </c>
    </row>
    <row r="883" spans="1:31" s="28" customFormat="1" ht="20.25" customHeight="1">
      <c r="A883" s="11">
        <v>46006</v>
      </c>
      <c r="B883" s="16" t="s">
        <v>4231</v>
      </c>
      <c r="C883" s="16" t="s">
        <v>400</v>
      </c>
      <c r="D883" s="16" t="s">
        <v>212</v>
      </c>
      <c r="E883" s="16" t="s">
        <v>25</v>
      </c>
      <c r="F883" s="16" t="s">
        <v>4234</v>
      </c>
      <c r="G883" s="16" t="s">
        <v>71</v>
      </c>
      <c r="H883" s="16" t="s">
        <v>31</v>
      </c>
      <c r="I883" s="16"/>
      <c r="J883" s="16" t="s">
        <v>27</v>
      </c>
      <c r="K883" s="16" t="s">
        <v>529</v>
      </c>
      <c r="L883" s="16" t="s">
        <v>35</v>
      </c>
      <c r="M883" s="17">
        <v>75.62</v>
      </c>
      <c r="N883" s="23">
        <v>1.29</v>
      </c>
      <c r="O883" s="16" t="s">
        <v>67</v>
      </c>
      <c r="P883" s="16" t="s">
        <v>63</v>
      </c>
      <c r="Q883" s="16" t="s">
        <v>2494</v>
      </c>
      <c r="R883" s="16" t="s">
        <v>4178</v>
      </c>
      <c r="S883" s="12" t="s">
        <v>4083</v>
      </c>
      <c r="T883" s="13">
        <v>46010</v>
      </c>
      <c r="U883" s="19"/>
      <c r="V883" s="53">
        <f>M883-Z883-AB883-AD883-AF883-AH883-AJ883-AL883-AN883-AP883-AR883-AT883-AV883-AX883-AZ883-BB883-BD883-BF883-BH883-U883</f>
        <v>-0.37999999999999545</v>
      </c>
      <c r="W883" s="22" t="s">
        <v>4239</v>
      </c>
      <c r="X883" s="16" t="s">
        <v>29</v>
      </c>
      <c r="Y883" s="9"/>
      <c r="Z883" s="19">
        <v>76</v>
      </c>
      <c r="AA883" s="252">
        <v>46008</v>
      </c>
    </row>
    <row r="884" spans="1:31" s="28" customFormat="1" ht="20.25" customHeight="1">
      <c r="A884" s="11">
        <v>46006</v>
      </c>
      <c r="B884" s="16" t="s">
        <v>4232</v>
      </c>
      <c r="C884" s="16" t="s">
        <v>382</v>
      </c>
      <c r="D884" s="16" t="s">
        <v>212</v>
      </c>
      <c r="E884" s="16" t="s">
        <v>25</v>
      </c>
      <c r="F884" s="16" t="s">
        <v>4235</v>
      </c>
      <c r="G884" s="16" t="s">
        <v>71</v>
      </c>
      <c r="H884" s="16" t="s">
        <v>31</v>
      </c>
      <c r="I884" s="1"/>
      <c r="J884" s="1" t="s">
        <v>27</v>
      </c>
      <c r="K884" s="16" t="s">
        <v>966</v>
      </c>
      <c r="L884" s="1" t="s">
        <v>35</v>
      </c>
      <c r="M884" s="17">
        <v>158</v>
      </c>
      <c r="N884" s="23">
        <v>1.29</v>
      </c>
      <c r="O884" s="1" t="s">
        <v>67</v>
      </c>
      <c r="P884" s="1" t="s">
        <v>63</v>
      </c>
      <c r="Q884" s="1" t="s">
        <v>2494</v>
      </c>
      <c r="R884" s="1" t="s">
        <v>4236</v>
      </c>
      <c r="S884" s="121" t="s">
        <v>4198</v>
      </c>
      <c r="T884" s="13">
        <v>46030</v>
      </c>
      <c r="U884" s="19"/>
      <c r="V884" s="53">
        <f>M884-Z884-AB884-AD884-AF884-AH884-AJ884-AL884-AN884-AP884-AR884-AT884-AV884-AX884-AZ884-BB884-BD884-BF884-BH884-U884</f>
        <v>-1</v>
      </c>
      <c r="W884" s="22" t="s">
        <v>4240</v>
      </c>
      <c r="X884" s="16" t="s">
        <v>29</v>
      </c>
      <c r="Y884" s="9"/>
      <c r="Z884" s="19">
        <v>159</v>
      </c>
      <c r="AA884" s="252">
        <v>46027</v>
      </c>
    </row>
    <row r="885" spans="1:31" s="28" customFormat="1" ht="20.25" customHeight="1">
      <c r="A885" s="11">
        <v>46006</v>
      </c>
      <c r="B885" s="16" t="s">
        <v>4232</v>
      </c>
      <c r="C885" s="16" t="s">
        <v>382</v>
      </c>
      <c r="D885" s="16" t="s">
        <v>212</v>
      </c>
      <c r="E885" s="16" t="s">
        <v>25</v>
      </c>
      <c r="F885" s="16" t="s">
        <v>4235</v>
      </c>
      <c r="G885" s="16" t="s">
        <v>71</v>
      </c>
      <c r="H885" s="16" t="s">
        <v>31</v>
      </c>
      <c r="I885" s="16"/>
      <c r="J885" s="16" t="s">
        <v>27</v>
      </c>
      <c r="K885" s="16" t="s">
        <v>1012</v>
      </c>
      <c r="L885" s="16" t="s">
        <v>35</v>
      </c>
      <c r="M885" s="17">
        <v>177</v>
      </c>
      <c r="N885" s="23">
        <v>1.29</v>
      </c>
      <c r="O885" s="16" t="s">
        <v>67</v>
      </c>
      <c r="P885" s="16" t="s">
        <v>63</v>
      </c>
      <c r="Q885" s="16" t="s">
        <v>2494</v>
      </c>
      <c r="R885" s="16" t="s">
        <v>4010</v>
      </c>
      <c r="S885" s="12" t="s">
        <v>4198</v>
      </c>
      <c r="T885" s="13">
        <v>46030</v>
      </c>
      <c r="U885" s="19"/>
      <c r="V885" s="53">
        <f>M885-Z885-AB885-AD885-AF885-AH885-AJ885-AL885-AN885-AP885-AR885-AT885-AV885-AX885-AZ885-BB885-BD885-BF885-BH885-U885</f>
        <v>-1.5999999999999943</v>
      </c>
      <c r="W885" s="22" t="s">
        <v>4241</v>
      </c>
      <c r="X885" s="16" t="s">
        <v>29</v>
      </c>
      <c r="Y885" s="9"/>
      <c r="Z885" s="19">
        <v>78.599999999999994</v>
      </c>
      <c r="AA885" s="252">
        <v>46027</v>
      </c>
      <c r="AB885" s="19">
        <v>100</v>
      </c>
      <c r="AC885" s="252">
        <v>46042</v>
      </c>
    </row>
    <row r="886" spans="1:31" s="28" customFormat="1" ht="20.25" customHeight="1">
      <c r="A886" s="11">
        <v>46007</v>
      </c>
      <c r="B886" s="16" t="s">
        <v>4242</v>
      </c>
      <c r="C886" s="16" t="s">
        <v>382</v>
      </c>
      <c r="D886" s="16" t="s">
        <v>212</v>
      </c>
      <c r="E886" s="16" t="s">
        <v>25</v>
      </c>
      <c r="F886" s="16" t="s">
        <v>4235</v>
      </c>
      <c r="G886" s="16" t="s">
        <v>71</v>
      </c>
      <c r="H886" s="16" t="s">
        <v>31</v>
      </c>
      <c r="I886" s="1"/>
      <c r="J886" s="1" t="s">
        <v>27</v>
      </c>
      <c r="K886" s="16" t="s">
        <v>245</v>
      </c>
      <c r="L886" s="1" t="s">
        <v>35</v>
      </c>
      <c r="M886" s="17">
        <v>70</v>
      </c>
      <c r="N886" s="23">
        <v>1.29</v>
      </c>
      <c r="O886" s="1" t="s">
        <v>67</v>
      </c>
      <c r="P886" s="1" t="s">
        <v>63</v>
      </c>
      <c r="Q886" s="1" t="s">
        <v>1997</v>
      </c>
      <c r="R886" s="1" t="s">
        <v>2729</v>
      </c>
      <c r="S886" s="121" t="s">
        <v>4212</v>
      </c>
      <c r="T886" s="13">
        <v>46031</v>
      </c>
      <c r="U886" s="19"/>
      <c r="V886" s="53">
        <f>M886-Z886-AB886-AD886-AF886-AH886-AJ886-AL886-AN886-AP886-AR886-AT886-AV886-AX886-AZ886-BB886-BD886-BF886-BH886-U886</f>
        <v>0</v>
      </c>
      <c r="W886" s="22" t="s">
        <v>4247</v>
      </c>
      <c r="X886" s="16" t="s">
        <v>29</v>
      </c>
      <c r="Y886" s="9"/>
      <c r="Z886" s="19">
        <v>70</v>
      </c>
      <c r="AA886" s="252">
        <v>46027</v>
      </c>
    </row>
    <row r="887" spans="1:31" s="36" customFormat="1" ht="20.25" customHeight="1">
      <c r="A887" s="7">
        <v>46007</v>
      </c>
      <c r="B887" s="19" t="s">
        <v>4243</v>
      </c>
      <c r="C887" s="19" t="s">
        <v>290</v>
      </c>
      <c r="D887" s="19" t="s">
        <v>212</v>
      </c>
      <c r="E887" s="19" t="s">
        <v>25</v>
      </c>
      <c r="F887" s="19" t="s">
        <v>4245</v>
      </c>
      <c r="G887" s="19" t="s">
        <v>71</v>
      </c>
      <c r="H887" s="19" t="s">
        <v>31</v>
      </c>
      <c r="I887" s="1"/>
      <c r="J887" s="1" t="s">
        <v>27</v>
      </c>
      <c r="K887" s="19" t="s">
        <v>3482</v>
      </c>
      <c r="L887" s="1" t="s">
        <v>35</v>
      </c>
      <c r="M887" s="20">
        <v>37</v>
      </c>
      <c r="N887" s="25">
        <v>1.29</v>
      </c>
      <c r="O887" s="1" t="s">
        <v>67</v>
      </c>
      <c r="P887" s="1" t="s">
        <v>63</v>
      </c>
      <c r="Q887" s="1" t="s">
        <v>2570</v>
      </c>
      <c r="R887" s="1" t="s">
        <v>29</v>
      </c>
      <c r="S887" s="121" t="s">
        <v>4212</v>
      </c>
      <c r="T887" s="8">
        <v>46031</v>
      </c>
      <c r="U887" s="19"/>
      <c r="V887" s="55">
        <f>M887-Z887-AB887-AD887-AF887-AH887-AJ887-AL887-AN887-AP887-AR887-AT887-AV887-AX887-AZ887-BB887-BD887-BF887-BH887-U887</f>
        <v>-7.2999999999999972</v>
      </c>
      <c r="W887" s="15" t="s">
        <v>4248</v>
      </c>
      <c r="X887" s="19" t="s">
        <v>29</v>
      </c>
      <c r="Y887" s="10"/>
      <c r="Z887" s="19">
        <v>44.3</v>
      </c>
      <c r="AA887" s="123">
        <v>46027</v>
      </c>
    </row>
    <row r="888" spans="1:31" s="28" customFormat="1" ht="20.25" customHeight="1">
      <c r="A888" s="11">
        <v>46007</v>
      </c>
      <c r="B888" s="16" t="s">
        <v>4244</v>
      </c>
      <c r="C888" s="16" t="s">
        <v>1568</v>
      </c>
      <c r="D888" s="16" t="s">
        <v>212</v>
      </c>
      <c r="E888" s="16" t="s">
        <v>25</v>
      </c>
      <c r="F888" s="16" t="s">
        <v>4246</v>
      </c>
      <c r="G888" s="16" t="s">
        <v>71</v>
      </c>
      <c r="H888" s="16" t="s">
        <v>26</v>
      </c>
      <c r="I888" s="16"/>
      <c r="J888" s="16" t="s">
        <v>27</v>
      </c>
      <c r="K888" s="16" t="s">
        <v>214</v>
      </c>
      <c r="L888" s="16" t="s">
        <v>35</v>
      </c>
      <c r="M888" s="17">
        <v>1514</v>
      </c>
      <c r="N888" s="23">
        <v>1.29</v>
      </c>
      <c r="O888" s="16" t="s">
        <v>67</v>
      </c>
      <c r="P888" s="16" t="s">
        <v>63</v>
      </c>
      <c r="Q888" s="16" t="s">
        <v>29</v>
      </c>
      <c r="R888" s="16" t="s">
        <v>1520</v>
      </c>
      <c r="S888" s="12" t="s">
        <v>4212</v>
      </c>
      <c r="T888" s="13">
        <v>46031</v>
      </c>
      <c r="U888" s="19"/>
      <c r="V888" s="53">
        <f>M888-Z888-AB888-AD888-AF888-AH888-AJ888-AL888-AN888-AP888-AR888-AT888-AV888-AX888-AZ888-BB888-BD888-BF888-BH888-U888</f>
        <v>-1.9000000000000909</v>
      </c>
      <c r="W888" s="22" t="s">
        <v>4249</v>
      </c>
      <c r="X888" s="16" t="s">
        <v>29</v>
      </c>
      <c r="Y888" s="9"/>
      <c r="Z888" s="19">
        <v>1515.9</v>
      </c>
      <c r="AA888" s="252">
        <v>46029</v>
      </c>
    </row>
    <row r="889" spans="1:31" s="36" customFormat="1" ht="20.25" customHeight="1">
      <c r="A889" s="7">
        <v>46008</v>
      </c>
      <c r="B889" s="19" t="s">
        <v>4250</v>
      </c>
      <c r="C889" s="19" t="s">
        <v>290</v>
      </c>
      <c r="D889" s="19" t="s">
        <v>212</v>
      </c>
      <c r="E889" s="19" t="s">
        <v>25</v>
      </c>
      <c r="F889" s="19" t="s">
        <v>4253</v>
      </c>
      <c r="G889" s="19" t="s">
        <v>71</v>
      </c>
      <c r="H889" s="19" t="s">
        <v>31</v>
      </c>
      <c r="I889" s="1"/>
      <c r="J889" s="1" t="s">
        <v>27</v>
      </c>
      <c r="K889" s="19" t="s">
        <v>487</v>
      </c>
      <c r="L889" s="1" t="s">
        <v>35</v>
      </c>
      <c r="M889" s="20">
        <v>2000</v>
      </c>
      <c r="N889" s="25">
        <v>1.29</v>
      </c>
      <c r="O889" s="1" t="s">
        <v>67</v>
      </c>
      <c r="P889" s="1" t="s">
        <v>29</v>
      </c>
      <c r="Q889" s="1" t="s">
        <v>4256</v>
      </c>
      <c r="R889" s="1" t="s">
        <v>3894</v>
      </c>
      <c r="S889" s="121" t="s">
        <v>4198</v>
      </c>
      <c r="T889" s="8">
        <v>46031</v>
      </c>
      <c r="U889" s="19"/>
      <c r="V889" s="55">
        <f>M889-Z889-AB889-AD889-AF889-AH889-AJ889-AL889-AN889-AP889-AR889-AT889-AV889-AX889-AZ889-BB889-BD889-BF889-BH889-U889</f>
        <v>-3.1999999999998643</v>
      </c>
      <c r="W889" s="15" t="s">
        <v>4259</v>
      </c>
      <c r="X889" s="19" t="s">
        <v>29</v>
      </c>
      <c r="Y889" s="10"/>
      <c r="Z889" s="10">
        <f>1046.1+928.8</f>
        <v>1974.8999999999999</v>
      </c>
      <c r="AA889" s="123">
        <v>46379</v>
      </c>
      <c r="AB889" s="19">
        <v>28.3</v>
      </c>
      <c r="AC889" s="123">
        <v>46027</v>
      </c>
    </row>
    <row r="890" spans="1:31" s="28" customFormat="1" ht="20.25" customHeight="1">
      <c r="A890" s="11">
        <v>46008</v>
      </c>
      <c r="B890" s="16" t="s">
        <v>4252</v>
      </c>
      <c r="C890" s="16" t="s">
        <v>1568</v>
      </c>
      <c r="D890" s="16" t="s">
        <v>212</v>
      </c>
      <c r="E890" s="16" t="s">
        <v>25</v>
      </c>
      <c r="F890" s="16" t="s">
        <v>4255</v>
      </c>
      <c r="G890" s="16" t="s">
        <v>71</v>
      </c>
      <c r="H890" s="16" t="s">
        <v>26</v>
      </c>
      <c r="I890" s="16"/>
      <c r="J890" s="16" t="s">
        <v>27</v>
      </c>
      <c r="K890" s="16" t="s">
        <v>1667</v>
      </c>
      <c r="L890" s="16" t="s">
        <v>35</v>
      </c>
      <c r="M890" s="17">
        <v>3775</v>
      </c>
      <c r="N890" s="23">
        <v>1.29</v>
      </c>
      <c r="O890" s="16" t="s">
        <v>67</v>
      </c>
      <c r="P890" s="16" t="s">
        <v>29</v>
      </c>
      <c r="Q890" s="16" t="s">
        <v>29</v>
      </c>
      <c r="R890" s="16" t="s">
        <v>29</v>
      </c>
      <c r="S890" s="12" t="s">
        <v>4212</v>
      </c>
      <c r="T890" s="13">
        <v>46031</v>
      </c>
      <c r="U890" s="19"/>
      <c r="V890" s="53">
        <f>M890-Z890-AB890-AD890-AF890-AH890-AJ890-AL890-AN890-AP890-AR890-AT890-AV890-AX890-AZ890-BB890-BD890-BF890-BH890-U890</f>
        <v>-0.20000000000004547</v>
      </c>
      <c r="W890" s="22" t="s">
        <v>4261</v>
      </c>
      <c r="X890" s="16" t="s">
        <v>29</v>
      </c>
      <c r="Y890" s="9"/>
      <c r="Z890" s="19">
        <f>78.3+1685.9</f>
        <v>1764.2</v>
      </c>
      <c r="AA890" s="252">
        <v>46029</v>
      </c>
      <c r="AB890" s="19">
        <v>818.7</v>
      </c>
      <c r="AC890" s="252">
        <v>46034</v>
      </c>
      <c r="AD890" s="19">
        <v>1192.3</v>
      </c>
      <c r="AE890" s="252">
        <v>46037</v>
      </c>
    </row>
    <row r="891" spans="1:31" s="28" customFormat="1" ht="20.25" customHeight="1">
      <c r="A891" s="11">
        <v>46009</v>
      </c>
      <c r="B891" s="16" t="s">
        <v>4268</v>
      </c>
      <c r="C891" s="16" t="s">
        <v>290</v>
      </c>
      <c r="D891" s="16" t="s">
        <v>212</v>
      </c>
      <c r="E891" s="16" t="s">
        <v>25</v>
      </c>
      <c r="F891" s="16" t="s">
        <v>4271</v>
      </c>
      <c r="G891" s="16" t="s">
        <v>71</v>
      </c>
      <c r="H891" s="16" t="s">
        <v>31</v>
      </c>
      <c r="I891" s="16"/>
      <c r="J891" s="16" t="s">
        <v>27</v>
      </c>
      <c r="K891" s="16" t="s">
        <v>632</v>
      </c>
      <c r="L891" s="16" t="s">
        <v>35</v>
      </c>
      <c r="M891" s="17">
        <v>4298</v>
      </c>
      <c r="N891" s="23">
        <v>1.29</v>
      </c>
      <c r="O891" s="16" t="s">
        <v>67</v>
      </c>
      <c r="P891" s="16" t="s">
        <v>63</v>
      </c>
      <c r="Q891" s="16" t="s">
        <v>2570</v>
      </c>
      <c r="R891" s="16" t="s">
        <v>2808</v>
      </c>
      <c r="S891" s="12" t="s">
        <v>4198</v>
      </c>
      <c r="T891" s="13">
        <v>46030</v>
      </c>
      <c r="U891" s="19"/>
      <c r="V891" s="53">
        <f>M891-Z891-AB891-AD891-AF891-AH891-AJ891-AL891-AN891-AP891-AR891-AT891-AV891-AX891-AZ891-BB891-BD891-BF891-BH891-U891</f>
        <v>-3.0000000000002274</v>
      </c>
      <c r="W891" s="22" t="s">
        <v>4274</v>
      </c>
      <c r="X891" s="16" t="s">
        <v>29</v>
      </c>
      <c r="Y891" s="9"/>
      <c r="Z891" s="19">
        <v>2554.8000000000002</v>
      </c>
      <c r="AA891" s="252">
        <v>46027</v>
      </c>
      <c r="AB891" s="19">
        <v>123.5</v>
      </c>
      <c r="AC891" s="252">
        <v>46034</v>
      </c>
      <c r="AD891" s="19">
        <f>1174+448.7</f>
        <v>1622.7</v>
      </c>
      <c r="AE891" s="252">
        <v>46044</v>
      </c>
    </row>
    <row r="892" spans="1:31" s="287" customFormat="1" ht="20.25" customHeight="1">
      <c r="A892" s="289">
        <v>46009</v>
      </c>
      <c r="B892" s="278" t="s">
        <v>4269</v>
      </c>
      <c r="C892" s="278" t="s">
        <v>290</v>
      </c>
      <c r="D892" s="278" t="s">
        <v>212</v>
      </c>
      <c r="E892" s="278" t="s">
        <v>25</v>
      </c>
      <c r="F892" s="278" t="s">
        <v>4272</v>
      </c>
      <c r="G892" s="278" t="s">
        <v>71</v>
      </c>
      <c r="H892" s="278" t="s">
        <v>31</v>
      </c>
      <c r="I892" s="1"/>
      <c r="J892" s="1" t="s">
        <v>27</v>
      </c>
      <c r="K892" s="278" t="s">
        <v>2653</v>
      </c>
      <c r="L892" s="1" t="s">
        <v>35</v>
      </c>
      <c r="M892" s="290">
        <v>5400</v>
      </c>
      <c r="N892" s="291">
        <v>1.29</v>
      </c>
      <c r="O892" s="278" t="s">
        <v>67</v>
      </c>
      <c r="P892" s="278" t="s">
        <v>63</v>
      </c>
      <c r="Q892" s="278" t="s">
        <v>2681</v>
      </c>
      <c r="R892" s="278" t="s">
        <v>29</v>
      </c>
      <c r="S892" s="297" t="s">
        <v>4198</v>
      </c>
      <c r="T892" s="292">
        <v>46030</v>
      </c>
      <c r="U892" s="278"/>
      <c r="V892" s="293">
        <f>M892-Z892-AB892-AD892-AF892-AH892-AJ892-AL892-AN892-AP892-AR892-AT892-AV892-AX892-AZ892-BB892-BD892-BF892-BH892-U892</f>
        <v>5400</v>
      </c>
      <c r="W892" s="294" t="s">
        <v>4275</v>
      </c>
      <c r="X892" s="278" t="s">
        <v>29</v>
      </c>
      <c r="Y892" s="384"/>
      <c r="Z892" s="384"/>
    </row>
    <row r="893" spans="1:31" s="28" customFormat="1" ht="20.25" customHeight="1">
      <c r="A893" s="11">
        <v>46009</v>
      </c>
      <c r="B893" s="16" t="s">
        <v>4270</v>
      </c>
      <c r="C893" s="16" t="s">
        <v>228</v>
      </c>
      <c r="D893" s="16" t="s">
        <v>212</v>
      </c>
      <c r="E893" s="16" t="s">
        <v>25</v>
      </c>
      <c r="F893" s="16" t="s">
        <v>4273</v>
      </c>
      <c r="G893" s="16" t="s">
        <v>71</v>
      </c>
      <c r="H893" s="16" t="s">
        <v>31</v>
      </c>
      <c r="I893" s="16"/>
      <c r="J893" s="16" t="s">
        <v>27</v>
      </c>
      <c r="K893" s="16" t="s">
        <v>255</v>
      </c>
      <c r="L893" s="16" t="s">
        <v>35</v>
      </c>
      <c r="M893" s="17">
        <v>690.36</v>
      </c>
      <c r="N893" s="23">
        <v>1.29</v>
      </c>
      <c r="O893" s="16" t="s">
        <v>67</v>
      </c>
      <c r="P893" s="16" t="s">
        <v>63</v>
      </c>
      <c r="Q893" s="16" t="s">
        <v>480</v>
      </c>
      <c r="R893" s="16" t="s">
        <v>481</v>
      </c>
      <c r="S893" s="12" t="s">
        <v>4212</v>
      </c>
      <c r="T893" s="13">
        <v>46030</v>
      </c>
      <c r="U893" s="19"/>
      <c r="V893" s="53">
        <f>M893-Z893-AB893-AD893-AF893-AH893-AJ893-AL893-AN893-AP893-AR893-AT893-AV893-AX893-AZ893-BB893-BD893-BF893-BH893-U893</f>
        <v>-0.34000000000003183</v>
      </c>
      <c r="W893" s="22" t="s">
        <v>4276</v>
      </c>
      <c r="X893" s="16" t="s">
        <v>29</v>
      </c>
      <c r="Y893" s="9"/>
      <c r="Z893" s="19">
        <v>690.7</v>
      </c>
      <c r="AA893" s="252">
        <v>46030</v>
      </c>
    </row>
    <row r="894" spans="1:31" s="28" customFormat="1" ht="20.25" customHeight="1">
      <c r="A894" s="11">
        <v>46009</v>
      </c>
      <c r="B894" s="16" t="s">
        <v>4298</v>
      </c>
      <c r="C894" s="16" t="s">
        <v>400</v>
      </c>
      <c r="D894" s="16" t="s">
        <v>212</v>
      </c>
      <c r="E894" s="16" t="s">
        <v>47</v>
      </c>
      <c r="F894" s="16" t="s">
        <v>4301</v>
      </c>
      <c r="G894" s="16" t="s">
        <v>71</v>
      </c>
      <c r="H894" s="16" t="s">
        <v>31</v>
      </c>
      <c r="I894" s="16"/>
      <c r="J894" s="16" t="s">
        <v>27</v>
      </c>
      <c r="K894" s="16" t="s">
        <v>4303</v>
      </c>
      <c r="L894" s="16" t="s">
        <v>35</v>
      </c>
      <c r="M894" s="17">
        <v>12</v>
      </c>
      <c r="N894" s="23">
        <v>1.29</v>
      </c>
      <c r="O894" s="16" t="s">
        <v>67</v>
      </c>
      <c r="P894" s="16" t="s">
        <v>63</v>
      </c>
      <c r="Q894" s="16" t="s">
        <v>29</v>
      </c>
      <c r="R894" s="16" t="s">
        <v>4305</v>
      </c>
      <c r="S894" s="12" t="s">
        <v>4198</v>
      </c>
      <c r="T894" s="13">
        <v>46030</v>
      </c>
      <c r="U894" s="19"/>
      <c r="V894" s="53">
        <f>M894-Z894-AB894-AD894-AF894-AH894-AJ894-AL894-AN894-AP894-AR894-AT894-AV894-AX894-AZ894-BB894-BD894-BF894-BH894-U894</f>
        <v>-7.3000000000000007</v>
      </c>
      <c r="W894" s="22" t="s">
        <v>4309</v>
      </c>
      <c r="X894" s="16"/>
      <c r="Y894" s="9"/>
      <c r="Z894" s="19">
        <v>19.3</v>
      </c>
      <c r="AA894" s="252">
        <v>46029</v>
      </c>
    </row>
    <row r="895" spans="1:31" s="28" customFormat="1" ht="20.25" customHeight="1">
      <c r="A895" s="11">
        <v>46010</v>
      </c>
      <c r="B895" s="16" t="s">
        <v>4317</v>
      </c>
      <c r="C895" s="16" t="s">
        <v>304</v>
      </c>
      <c r="D895" s="16" t="s">
        <v>212</v>
      </c>
      <c r="E895" s="16" t="s">
        <v>25</v>
      </c>
      <c r="F895" s="16" t="s">
        <v>4324</v>
      </c>
      <c r="G895" s="16" t="s">
        <v>71</v>
      </c>
      <c r="H895" s="16" t="s">
        <v>31</v>
      </c>
      <c r="I895" s="16"/>
      <c r="J895" s="16" t="s">
        <v>27</v>
      </c>
      <c r="K895" s="16" t="s">
        <v>1996</v>
      </c>
      <c r="L895" s="16" t="s">
        <v>35</v>
      </c>
      <c r="M895" s="17">
        <v>25</v>
      </c>
      <c r="N895" s="23">
        <v>1.29</v>
      </c>
      <c r="O895" s="16" t="s">
        <v>67</v>
      </c>
      <c r="P895" s="16" t="s">
        <v>63</v>
      </c>
      <c r="Q895" s="16" t="s">
        <v>29</v>
      </c>
      <c r="R895" s="16" t="s">
        <v>1580</v>
      </c>
      <c r="S895" s="12" t="s">
        <v>4198</v>
      </c>
      <c r="T895" s="13">
        <v>46030</v>
      </c>
      <c r="U895" s="19"/>
      <c r="V895" s="53">
        <f>M895-Z895-AB895-AD895-AF895-AH895-AJ895-AL895-AN895-AP895-AR895-AT895-AV895-AX895-AZ895-BB895-BD895-BF895-BH895-U895</f>
        <v>-3.8000000000000007</v>
      </c>
      <c r="W895" s="22" t="s">
        <v>4334</v>
      </c>
      <c r="X895" s="16"/>
      <c r="Y895" s="9"/>
      <c r="Z895" s="19">
        <v>28.8</v>
      </c>
      <c r="AA895" s="252">
        <v>46029</v>
      </c>
    </row>
    <row r="896" spans="1:31" s="28" customFormat="1" ht="20.25" customHeight="1">
      <c r="A896" s="11">
        <v>46010</v>
      </c>
      <c r="B896" s="16" t="s">
        <v>4318</v>
      </c>
      <c r="C896" s="16" t="s">
        <v>304</v>
      </c>
      <c r="D896" s="16" t="s">
        <v>212</v>
      </c>
      <c r="E896" s="16" t="s">
        <v>25</v>
      </c>
      <c r="F896" s="16" t="s">
        <v>4325</v>
      </c>
      <c r="G896" s="16" t="s">
        <v>71</v>
      </c>
      <c r="H896" s="16" t="s">
        <v>31</v>
      </c>
      <c r="I896" s="16"/>
      <c r="J896" s="16" t="s">
        <v>27</v>
      </c>
      <c r="K896" s="16" t="s">
        <v>4303</v>
      </c>
      <c r="L896" s="16" t="s">
        <v>35</v>
      </c>
      <c r="M896" s="17">
        <v>50</v>
      </c>
      <c r="N896" s="23">
        <v>1.29</v>
      </c>
      <c r="O896" s="16" t="s">
        <v>67</v>
      </c>
      <c r="P896" s="16" t="s">
        <v>63</v>
      </c>
      <c r="Q896" s="16" t="s">
        <v>29</v>
      </c>
      <c r="R896" s="16" t="s">
        <v>2863</v>
      </c>
      <c r="S896" s="12" t="s">
        <v>4198</v>
      </c>
      <c r="T896" s="13">
        <v>46030</v>
      </c>
      <c r="U896" s="19"/>
      <c r="V896" s="53">
        <f>M896-Z896-AB896-AD896-AF896-AH896-AJ896-AL896-AN896-AP896-AR896-AT896-AV896-AX896-AZ896-BB896-BD896-BF896-BH896-U896</f>
        <v>-1.2000000000000028</v>
      </c>
      <c r="W896" s="22" t="s">
        <v>4335</v>
      </c>
      <c r="X896" s="16"/>
      <c r="Y896" s="9"/>
      <c r="Z896" s="19">
        <v>51.2</v>
      </c>
      <c r="AA896" s="252">
        <v>46029</v>
      </c>
    </row>
    <row r="897" spans="1:33" s="28" customFormat="1" ht="20.25" customHeight="1">
      <c r="A897" s="11">
        <v>46010</v>
      </c>
      <c r="B897" s="16" t="s">
        <v>4319</v>
      </c>
      <c r="C897" s="16" t="s">
        <v>304</v>
      </c>
      <c r="D897" s="16" t="s">
        <v>212</v>
      </c>
      <c r="E897" s="16" t="s">
        <v>25</v>
      </c>
      <c r="F897" s="16" t="s">
        <v>4326</v>
      </c>
      <c r="G897" s="16" t="s">
        <v>71</v>
      </c>
      <c r="H897" s="16" t="s">
        <v>31</v>
      </c>
      <c r="I897" s="16"/>
      <c r="J897" s="16" t="s">
        <v>27</v>
      </c>
      <c r="K897" s="16" t="s">
        <v>4331</v>
      </c>
      <c r="L897" s="16" t="s">
        <v>35</v>
      </c>
      <c r="M897" s="17">
        <v>25</v>
      </c>
      <c r="N897" s="23">
        <v>1.29</v>
      </c>
      <c r="O897" s="16" t="s">
        <v>67</v>
      </c>
      <c r="P897" s="16" t="s">
        <v>63</v>
      </c>
      <c r="Q897" s="16" t="s">
        <v>29</v>
      </c>
      <c r="R897" s="16" t="s">
        <v>4332</v>
      </c>
      <c r="S897" s="12" t="s">
        <v>4198</v>
      </c>
      <c r="T897" s="13">
        <v>46030</v>
      </c>
      <c r="U897" s="19"/>
      <c r="V897" s="53">
        <f>M897-Z897-AB897-AD897-AF897-AH897-AJ897-AL897-AN897-AP897-AR897-AT897-AV897-AX897-AZ897-BB897-BD897-BF897-BH897-U897</f>
        <v>0</v>
      </c>
      <c r="W897" s="22" t="s">
        <v>4336</v>
      </c>
      <c r="X897" s="16"/>
      <c r="Y897" s="9"/>
      <c r="Z897" s="19">
        <v>25</v>
      </c>
      <c r="AA897" s="252">
        <v>46029</v>
      </c>
    </row>
    <row r="898" spans="1:33" s="28" customFormat="1" ht="20.25" customHeight="1">
      <c r="A898" s="11">
        <v>46010</v>
      </c>
      <c r="B898" s="16" t="s">
        <v>4320</v>
      </c>
      <c r="C898" s="16" t="s">
        <v>304</v>
      </c>
      <c r="D898" s="16" t="s">
        <v>212</v>
      </c>
      <c r="E898" s="16" t="s">
        <v>25</v>
      </c>
      <c r="F898" s="16" t="s">
        <v>4327</v>
      </c>
      <c r="G898" s="16" t="s">
        <v>71</v>
      </c>
      <c r="H898" s="16" t="s">
        <v>31</v>
      </c>
      <c r="I898" s="16"/>
      <c r="J898" s="16" t="s">
        <v>27</v>
      </c>
      <c r="K898" s="16" t="s">
        <v>1796</v>
      </c>
      <c r="L898" s="16" t="s">
        <v>35</v>
      </c>
      <c r="M898" s="17">
        <v>25</v>
      </c>
      <c r="N898" s="23">
        <v>1.29</v>
      </c>
      <c r="O898" s="16" t="s">
        <v>67</v>
      </c>
      <c r="P898" s="16" t="s">
        <v>63</v>
      </c>
      <c r="Q898" s="16" t="s">
        <v>29</v>
      </c>
      <c r="R898" s="16" t="s">
        <v>3883</v>
      </c>
      <c r="S898" s="12" t="s">
        <v>4212</v>
      </c>
      <c r="T898" s="13">
        <v>46031</v>
      </c>
      <c r="U898" s="19"/>
      <c r="V898" s="53">
        <f>M898-Z898-AB898-AD898-AF898-AH898-AJ898-AL898-AN898-AP898-AR898-AT898-AV898-AX898-AZ898-BB898-BD898-BF898-BH898-U898</f>
        <v>-3.3999999999999986</v>
      </c>
      <c r="W898" s="22" t="s">
        <v>4337</v>
      </c>
      <c r="X898" s="16"/>
      <c r="Y898" s="9"/>
      <c r="Z898" s="19">
        <v>28.4</v>
      </c>
      <c r="AA898" s="252">
        <v>46029</v>
      </c>
    </row>
    <row r="899" spans="1:33" s="28" customFormat="1" ht="20.25" customHeight="1">
      <c r="A899" s="11">
        <v>46010</v>
      </c>
      <c r="B899" s="16" t="s">
        <v>4321</v>
      </c>
      <c r="C899" s="16" t="s">
        <v>304</v>
      </c>
      <c r="D899" s="16" t="s">
        <v>212</v>
      </c>
      <c r="E899" s="16" t="s">
        <v>25</v>
      </c>
      <c r="F899" s="16" t="s">
        <v>4328</v>
      </c>
      <c r="G899" s="16" t="s">
        <v>71</v>
      </c>
      <c r="H899" s="16" t="s">
        <v>26</v>
      </c>
      <c r="I899" s="16"/>
      <c r="J899" s="16" t="s">
        <v>27</v>
      </c>
      <c r="K899" s="16" t="s">
        <v>351</v>
      </c>
      <c r="L899" s="16" t="s">
        <v>35</v>
      </c>
      <c r="M899" s="17">
        <v>100</v>
      </c>
      <c r="N899" s="23">
        <v>1.29</v>
      </c>
      <c r="O899" s="16" t="s">
        <v>67</v>
      </c>
      <c r="P899" s="16" t="s">
        <v>63</v>
      </c>
      <c r="Q899" s="16" t="s">
        <v>29</v>
      </c>
      <c r="R899" s="16" t="s">
        <v>29</v>
      </c>
      <c r="S899" s="12" t="s">
        <v>4212</v>
      </c>
      <c r="T899" s="13">
        <v>46031</v>
      </c>
      <c r="U899" s="19"/>
      <c r="V899" s="53">
        <f>M899-Z899-AB899-AD899-AF899-AH899-AJ899-AL899-AN899-AP899-AR899-AT899-AV899-AX899-AZ899-BB899-BD899-BF899-BH899-U899</f>
        <v>-1.6999999999999957</v>
      </c>
      <c r="W899" s="22" t="s">
        <v>4338</v>
      </c>
      <c r="X899" s="16"/>
      <c r="Y899" s="9"/>
      <c r="Z899" s="19">
        <v>80.099999999999994</v>
      </c>
      <c r="AA899" s="252">
        <v>46029</v>
      </c>
      <c r="AB899" s="19">
        <v>21.6</v>
      </c>
      <c r="AC899" s="252">
        <v>46031</v>
      </c>
    </row>
    <row r="900" spans="1:33" s="28" customFormat="1" ht="20.25" customHeight="1">
      <c r="A900" s="11">
        <v>46010</v>
      </c>
      <c r="B900" s="16" t="s">
        <v>4322</v>
      </c>
      <c r="C900" s="16" t="s">
        <v>267</v>
      </c>
      <c r="D900" s="16" t="s">
        <v>212</v>
      </c>
      <c r="E900" s="16" t="s">
        <v>25</v>
      </c>
      <c r="F900" s="16" t="s">
        <v>4329</v>
      </c>
      <c r="G900" s="16" t="s">
        <v>71</v>
      </c>
      <c r="H900" s="16" t="s">
        <v>26</v>
      </c>
      <c r="I900" s="1"/>
      <c r="J900" s="1" t="s">
        <v>27</v>
      </c>
      <c r="K900" s="16" t="s">
        <v>239</v>
      </c>
      <c r="L900" s="1" t="s">
        <v>35</v>
      </c>
      <c r="M900" s="17">
        <v>11750</v>
      </c>
      <c r="N900" s="23">
        <v>1.29</v>
      </c>
      <c r="O900" s="16" t="s">
        <v>67</v>
      </c>
      <c r="P900" s="16" t="s">
        <v>63</v>
      </c>
      <c r="Q900" s="16" t="s">
        <v>29</v>
      </c>
      <c r="R900" s="16" t="s">
        <v>4333</v>
      </c>
      <c r="S900" s="12" t="s">
        <v>4237</v>
      </c>
      <c r="T900" s="13">
        <v>46034</v>
      </c>
      <c r="U900" s="19"/>
      <c r="V900" s="387">
        <f>M900-Z900-AB900-AD900-AF900-AH900-AJ900-AL900-AN900-AP900-AR900-AT900-AV900-AX900-AZ900-BB900-BD900-BF900-BH900-U900</f>
        <v>-2.7000000000007276</v>
      </c>
      <c r="W900" s="22" t="s">
        <v>4339</v>
      </c>
      <c r="X900" s="16"/>
      <c r="Y900" s="9"/>
      <c r="Z900" s="19">
        <f>2244.1+4006.4+4208.2</f>
        <v>10458.700000000001</v>
      </c>
      <c r="AA900" s="252">
        <v>46029</v>
      </c>
      <c r="AB900" s="19">
        <v>1294</v>
      </c>
      <c r="AC900" s="252">
        <v>46034</v>
      </c>
    </row>
    <row r="901" spans="1:33" s="28" customFormat="1" ht="20.25" customHeight="1">
      <c r="A901" s="11">
        <v>46010</v>
      </c>
      <c r="B901" s="16" t="s">
        <v>4323</v>
      </c>
      <c r="C901" s="16" t="s">
        <v>382</v>
      </c>
      <c r="D901" s="16" t="s">
        <v>212</v>
      </c>
      <c r="E901" s="16" t="s">
        <v>25</v>
      </c>
      <c r="F901" s="16" t="s">
        <v>4330</v>
      </c>
      <c r="G901" s="16" t="s">
        <v>71</v>
      </c>
      <c r="H901" s="16" t="s">
        <v>31</v>
      </c>
      <c r="I901" s="16"/>
      <c r="J901" s="16" t="s">
        <v>27</v>
      </c>
      <c r="K901" s="16" t="s">
        <v>1116</v>
      </c>
      <c r="L901" s="16" t="s">
        <v>35</v>
      </c>
      <c r="M901" s="325">
        <v>14732.9</v>
      </c>
      <c r="N901" s="23">
        <v>1.29</v>
      </c>
      <c r="O901" s="16" t="s">
        <v>4095</v>
      </c>
      <c r="P901" s="16" t="s">
        <v>63</v>
      </c>
      <c r="Q901" s="16" t="s">
        <v>2767</v>
      </c>
      <c r="R901" s="16" t="s">
        <v>1222</v>
      </c>
      <c r="S901" s="12" t="s">
        <v>4237</v>
      </c>
      <c r="T901" s="13">
        <v>46034</v>
      </c>
      <c r="U901" s="19"/>
      <c r="V901" s="53">
        <f>M901-Z901-AB901-AD901-AF901-AH901-AJ901-AL901-AN901-AP901-AR901-AT901-AV901-AX901-AZ901-BB901-BD901-BF901-BH901-U901</f>
        <v>-2.6000000000021828</v>
      </c>
      <c r="W901" s="22" t="s">
        <v>4340</v>
      </c>
      <c r="X901" s="16"/>
      <c r="Y901" s="9"/>
      <c r="Z901" s="19">
        <v>1385.2</v>
      </c>
      <c r="AA901" s="252">
        <v>46027</v>
      </c>
      <c r="AB901" s="19">
        <f>1334.3+149.8+826.2+1635.6</f>
        <v>3945.9</v>
      </c>
      <c r="AC901" s="252">
        <v>46035</v>
      </c>
      <c r="AD901" s="19">
        <f>1194.7+3947.5+1504.4+2757.8</f>
        <v>9404.4000000000015</v>
      </c>
      <c r="AE901" s="252">
        <v>46042</v>
      </c>
    </row>
    <row r="902" spans="1:33" s="28" customFormat="1" ht="20.25" customHeight="1">
      <c r="A902" s="11">
        <v>46013</v>
      </c>
      <c r="B902" s="16" t="s">
        <v>4352</v>
      </c>
      <c r="C902" s="16" t="s">
        <v>267</v>
      </c>
      <c r="D902" s="16" t="s">
        <v>212</v>
      </c>
      <c r="E902" s="16" t="s">
        <v>34</v>
      </c>
      <c r="F902" s="301" t="s">
        <v>4358</v>
      </c>
      <c r="G902" s="16" t="s">
        <v>71</v>
      </c>
      <c r="H902" s="16" t="s">
        <v>31</v>
      </c>
      <c r="I902" s="16"/>
      <c r="J902" s="16" t="s">
        <v>27</v>
      </c>
      <c r="K902" s="16" t="s">
        <v>975</v>
      </c>
      <c r="L902" s="16" t="s">
        <v>35</v>
      </c>
      <c r="M902" s="17">
        <v>125</v>
      </c>
      <c r="N902" s="23">
        <v>1.29</v>
      </c>
      <c r="O902" s="16" t="s">
        <v>67</v>
      </c>
      <c r="P902" s="16" t="s">
        <v>63</v>
      </c>
      <c r="Q902" s="16" t="s">
        <v>29</v>
      </c>
      <c r="R902" s="16" t="s">
        <v>29</v>
      </c>
      <c r="S902" s="12" t="s">
        <v>4237</v>
      </c>
      <c r="T902" s="13">
        <v>46034</v>
      </c>
      <c r="U902" s="19"/>
      <c r="V902" s="53">
        <f>M902-Z902-AB902-AD902-AF902-AH902-AJ902-AL902-AN902-AP902-AR902-AT902-AV902-AX902-AZ902-BB902-BD902-BF902-BH902-U902</f>
        <v>-1.9000000000000057</v>
      </c>
      <c r="W902" s="22" t="s">
        <v>4366</v>
      </c>
      <c r="X902" s="16" t="s">
        <v>29</v>
      </c>
      <c r="Y902" s="9"/>
      <c r="Z902" s="19">
        <v>126.9</v>
      </c>
      <c r="AA902" s="252">
        <v>46041</v>
      </c>
    </row>
    <row r="903" spans="1:33" s="28" customFormat="1" ht="20.25" customHeight="1">
      <c r="A903" s="11">
        <v>46013</v>
      </c>
      <c r="B903" s="16" t="s">
        <v>4353</v>
      </c>
      <c r="C903" s="16" t="s">
        <v>267</v>
      </c>
      <c r="D903" s="16" t="s">
        <v>212</v>
      </c>
      <c r="E903" s="16" t="s">
        <v>25</v>
      </c>
      <c r="F903" s="16" t="s">
        <v>4359</v>
      </c>
      <c r="G903" s="16" t="s">
        <v>71</v>
      </c>
      <c r="H903" s="16" t="s">
        <v>26</v>
      </c>
      <c r="I903" s="1"/>
      <c r="J903" s="1" t="s">
        <v>27</v>
      </c>
      <c r="K903" s="16" t="s">
        <v>218</v>
      </c>
      <c r="L903" s="1" t="s">
        <v>35</v>
      </c>
      <c r="M903" s="17">
        <f>9600-1100</f>
        <v>8500</v>
      </c>
      <c r="N903" s="23">
        <v>1.29</v>
      </c>
      <c r="O903" s="1" t="s">
        <v>67</v>
      </c>
      <c r="P903" s="1" t="s">
        <v>63</v>
      </c>
      <c r="Q903" s="1" t="s">
        <v>29</v>
      </c>
      <c r="R903" s="1" t="s">
        <v>713</v>
      </c>
      <c r="S903" s="121" t="s">
        <v>4365</v>
      </c>
      <c r="T903" s="13">
        <v>46037</v>
      </c>
      <c r="U903" s="19"/>
      <c r="V903" s="53">
        <f>M903-Z903-AB903-AD903-AF903-AH903-AJ903-AL903-AN903-AP903-AR903-AT903-AV903-AX903-AZ903-BB903-BD903-BF903-BH903-U903</f>
        <v>-0.8999999999996362</v>
      </c>
      <c r="W903" s="22" t="s">
        <v>4367</v>
      </c>
      <c r="X903" s="16" t="s">
        <v>29</v>
      </c>
      <c r="Y903" s="9"/>
      <c r="Z903" s="19">
        <f>2037.1+2373.7+3408.3+401.1+280.7</f>
        <v>8500.9</v>
      </c>
      <c r="AA903" s="252">
        <v>46027</v>
      </c>
    </row>
    <row r="904" spans="1:33" s="28" customFormat="1" ht="20.25" customHeight="1">
      <c r="A904" s="11">
        <v>46013</v>
      </c>
      <c r="B904" s="16" t="s">
        <v>4354</v>
      </c>
      <c r="C904" s="16" t="s">
        <v>267</v>
      </c>
      <c r="D904" s="16" t="s">
        <v>212</v>
      </c>
      <c r="E904" s="16" t="s">
        <v>25</v>
      </c>
      <c r="F904" s="16" t="s">
        <v>4360</v>
      </c>
      <c r="G904" s="16" t="s">
        <v>71</v>
      </c>
      <c r="H904" s="16" t="s">
        <v>31</v>
      </c>
      <c r="I904" s="16"/>
      <c r="J904" s="16" t="s">
        <v>27</v>
      </c>
      <c r="K904" s="16" t="s">
        <v>3551</v>
      </c>
      <c r="L904" s="16" t="s">
        <v>35</v>
      </c>
      <c r="M904" s="17">
        <v>4485</v>
      </c>
      <c r="N904" s="23">
        <v>1.29</v>
      </c>
      <c r="O904" s="16" t="s">
        <v>67</v>
      </c>
      <c r="P904" s="16" t="s">
        <v>63</v>
      </c>
      <c r="Q904" s="16" t="s">
        <v>29</v>
      </c>
      <c r="R904" s="16" t="s">
        <v>1277</v>
      </c>
      <c r="S904" s="12" t="s">
        <v>4180</v>
      </c>
      <c r="T904" s="13">
        <v>46037</v>
      </c>
      <c r="U904" s="19"/>
      <c r="V904" s="387">
        <f>M904-Z904-AB904-AD904-AF904-AH904-AJ904-AL904-AN904-AP904-AR904-AT904-AV904-AX904-AZ904-BB904-BD904-BF904-BH904-U904</f>
        <v>-2.0999999999999091</v>
      </c>
      <c r="W904" s="22" t="s">
        <v>4368</v>
      </c>
      <c r="X904" s="16" t="s">
        <v>29</v>
      </c>
      <c r="Y904" s="9"/>
      <c r="Z904" s="19">
        <v>329</v>
      </c>
      <c r="AA904" s="252">
        <v>46029</v>
      </c>
      <c r="AB904" s="19">
        <v>471.9</v>
      </c>
      <c r="AC904" s="252">
        <v>46041</v>
      </c>
      <c r="AD904" s="19">
        <v>439.5</v>
      </c>
      <c r="AE904" s="252">
        <v>46044</v>
      </c>
      <c r="AF904" s="19">
        <v>3246.7</v>
      </c>
      <c r="AG904" s="252">
        <v>46049</v>
      </c>
    </row>
    <row r="905" spans="1:33" s="28" customFormat="1" ht="20.25" customHeight="1">
      <c r="A905" s="11">
        <v>46013</v>
      </c>
      <c r="B905" s="16" t="s">
        <v>4355</v>
      </c>
      <c r="C905" s="16" t="s">
        <v>267</v>
      </c>
      <c r="D905" s="16" t="s">
        <v>212</v>
      </c>
      <c r="E905" s="16" t="s">
        <v>25</v>
      </c>
      <c r="F905" s="16" t="s">
        <v>4361</v>
      </c>
      <c r="G905" s="16" t="s">
        <v>71</v>
      </c>
      <c r="H905" s="16" t="s">
        <v>31</v>
      </c>
      <c r="I905" s="16"/>
      <c r="J905" s="16" t="s">
        <v>27</v>
      </c>
      <c r="K905" s="16" t="s">
        <v>3668</v>
      </c>
      <c r="L905" s="16" t="s">
        <v>35</v>
      </c>
      <c r="M905" s="17">
        <v>675</v>
      </c>
      <c r="N905" s="23">
        <v>1.29</v>
      </c>
      <c r="O905" s="16" t="s">
        <v>67</v>
      </c>
      <c r="P905" s="16" t="s">
        <v>63</v>
      </c>
      <c r="Q905" s="16" t="s">
        <v>29</v>
      </c>
      <c r="R905" s="16" t="s">
        <v>1277</v>
      </c>
      <c r="S905" s="12" t="s">
        <v>4180</v>
      </c>
      <c r="T905" s="13">
        <v>46037</v>
      </c>
      <c r="U905" s="19"/>
      <c r="V905" s="387">
        <f>M905-Z905-AB905-AD905-AF905-AH905-AJ905-AL905-AN905-AP905-AR905-AT905-AV905-AX905-AZ905-BB905-BD905-BF905-BH905-U905</f>
        <v>-0.79999999999995453</v>
      </c>
      <c r="W905" s="22" t="s">
        <v>4369</v>
      </c>
      <c r="X905" s="16" t="s">
        <v>29</v>
      </c>
      <c r="Y905" s="9"/>
      <c r="Z905" s="19">
        <v>675.8</v>
      </c>
      <c r="AA905" s="252">
        <v>46049</v>
      </c>
    </row>
    <row r="906" spans="1:33" s="28" customFormat="1" ht="20.25" customHeight="1">
      <c r="A906" s="11">
        <v>46013</v>
      </c>
      <c r="B906" s="16" t="s">
        <v>4356</v>
      </c>
      <c r="C906" s="16" t="s">
        <v>267</v>
      </c>
      <c r="D906" s="16" t="s">
        <v>212</v>
      </c>
      <c r="E906" s="16" t="s">
        <v>25</v>
      </c>
      <c r="F906" s="19" t="s">
        <v>4362</v>
      </c>
      <c r="G906" s="16" t="s">
        <v>71</v>
      </c>
      <c r="H906" s="16" t="s">
        <v>31</v>
      </c>
      <c r="I906" s="16"/>
      <c r="J906" s="16" t="s">
        <v>27</v>
      </c>
      <c r="K906" s="16" t="s">
        <v>598</v>
      </c>
      <c r="L906" s="16" t="s">
        <v>35</v>
      </c>
      <c r="M906" s="17">
        <v>1405.8</v>
      </c>
      <c r="N906" s="23">
        <v>1.29</v>
      </c>
      <c r="O906" s="16" t="s">
        <v>67</v>
      </c>
      <c r="P906" s="16" t="s">
        <v>63</v>
      </c>
      <c r="Q906" s="16" t="s">
        <v>29</v>
      </c>
      <c r="R906" s="16" t="s">
        <v>4364</v>
      </c>
      <c r="S906" s="12" t="s">
        <v>4237</v>
      </c>
      <c r="T906" s="13">
        <v>46037</v>
      </c>
      <c r="U906" s="19"/>
      <c r="V906" s="53">
        <f>M906-Z906-AB906-AD906-AF906-AH906-AJ906-AL906-AN906-AP906-AR906-AT906-AV906-AX906-AZ906-BB906-BD906-BF906-BH906-U906</f>
        <v>-1.2000000000000455</v>
      </c>
      <c r="W906" s="22" t="s">
        <v>4370</v>
      </c>
      <c r="X906" s="16" t="s">
        <v>29</v>
      </c>
      <c r="Y906" s="9"/>
      <c r="Z906" s="19">
        <v>1407</v>
      </c>
      <c r="AA906" s="252">
        <v>46015</v>
      </c>
    </row>
    <row r="907" spans="1:33" s="28" customFormat="1" ht="20.25" customHeight="1">
      <c r="A907" s="11">
        <v>46013</v>
      </c>
      <c r="B907" s="16" t="s">
        <v>4357</v>
      </c>
      <c r="C907" s="16" t="s">
        <v>400</v>
      </c>
      <c r="D907" s="16" t="s">
        <v>212</v>
      </c>
      <c r="E907" s="16" t="s">
        <v>25</v>
      </c>
      <c r="F907" s="16" t="s">
        <v>4363</v>
      </c>
      <c r="G907" s="16" t="s">
        <v>71</v>
      </c>
      <c r="H907" s="16" t="s">
        <v>31</v>
      </c>
      <c r="I907" s="16"/>
      <c r="J907" s="16" t="s">
        <v>27</v>
      </c>
      <c r="K907" s="16" t="s">
        <v>3685</v>
      </c>
      <c r="L907" s="16" t="s">
        <v>35</v>
      </c>
      <c r="M907" s="17">
        <v>22.72</v>
      </c>
      <c r="N907" s="23">
        <v>1.29</v>
      </c>
      <c r="O907" s="16" t="s">
        <v>67</v>
      </c>
      <c r="P907" s="16" t="s">
        <v>63</v>
      </c>
      <c r="Q907" s="16" t="s">
        <v>2187</v>
      </c>
      <c r="R907" s="16" t="s">
        <v>2188</v>
      </c>
      <c r="S907" s="12" t="s">
        <v>4144</v>
      </c>
      <c r="T907" s="13">
        <v>46027</v>
      </c>
      <c r="U907" s="19"/>
      <c r="V907" s="53">
        <f>M907-Z907-AB907-AD907-AF907-AH907-AJ907-AL907-AN907-AP907-AR907-AT907-AV907-AX907-AZ907-BB907-BD907-BF907-BH907-U907</f>
        <v>-0.48000000000000043</v>
      </c>
      <c r="W907" s="22" t="s">
        <v>4371</v>
      </c>
      <c r="X907" s="16" t="s">
        <v>29</v>
      </c>
      <c r="Y907" s="9"/>
      <c r="Z907" s="19">
        <v>23.2</v>
      </c>
      <c r="AA907" s="252">
        <v>46029</v>
      </c>
    </row>
    <row r="908" spans="1:33" s="36" customFormat="1" ht="20.25" customHeight="1">
      <c r="A908" s="7">
        <v>46014</v>
      </c>
      <c r="B908" s="19" t="s">
        <v>4372</v>
      </c>
      <c r="C908" s="19" t="s">
        <v>304</v>
      </c>
      <c r="D908" s="19" t="s">
        <v>212</v>
      </c>
      <c r="E908" s="19" t="s">
        <v>25</v>
      </c>
      <c r="F908" s="19" t="s">
        <v>4381</v>
      </c>
      <c r="G908" s="19" t="s">
        <v>71</v>
      </c>
      <c r="H908" s="19" t="s">
        <v>31</v>
      </c>
      <c r="I908" s="301" t="s">
        <v>63</v>
      </c>
      <c r="J908" s="301" t="s">
        <v>27</v>
      </c>
      <c r="K908" s="19" t="s">
        <v>292</v>
      </c>
      <c r="L908" s="301" t="s">
        <v>35</v>
      </c>
      <c r="M908" s="20">
        <v>740</v>
      </c>
      <c r="N908" s="25">
        <v>1.29</v>
      </c>
      <c r="O908" s="19" t="s">
        <v>67</v>
      </c>
      <c r="P908" s="19" t="s">
        <v>63</v>
      </c>
      <c r="Q908" s="19" t="s">
        <v>29</v>
      </c>
      <c r="R908" s="19" t="s">
        <v>4332</v>
      </c>
      <c r="S908" s="45" t="s">
        <v>4258</v>
      </c>
      <c r="T908" s="8">
        <v>46035</v>
      </c>
      <c r="U908" s="19"/>
      <c r="V908" s="55">
        <f>M908-Z908-AB908-AD908-AF908-AH908-AJ908-AL908-AN908-AP908-AR908-AT908-AV908-AX908-AZ908-BB908-BD908-BF908-BH908-U908</f>
        <v>-5</v>
      </c>
      <c r="W908" s="15" t="s">
        <v>4394</v>
      </c>
      <c r="X908" s="19" t="s">
        <v>29</v>
      </c>
      <c r="Y908" s="10"/>
      <c r="Z908" s="19">
        <v>88.6</v>
      </c>
      <c r="AA908" s="123">
        <v>46027</v>
      </c>
      <c r="AB908" s="19">
        <f>242</f>
        <v>242</v>
      </c>
      <c r="AC908" s="123">
        <v>46041</v>
      </c>
      <c r="AD908" s="19">
        <v>414.4</v>
      </c>
      <c r="AE908" s="123">
        <v>46042</v>
      </c>
    </row>
    <row r="909" spans="1:33" s="28" customFormat="1" ht="20.25" customHeight="1">
      <c r="A909" s="11">
        <v>46014</v>
      </c>
      <c r="B909" s="16" t="s">
        <v>4373</v>
      </c>
      <c r="C909" s="16" t="s">
        <v>304</v>
      </c>
      <c r="D909" s="16" t="s">
        <v>212</v>
      </c>
      <c r="E909" s="16" t="s">
        <v>25</v>
      </c>
      <c r="F909" s="16" t="s">
        <v>4382</v>
      </c>
      <c r="G909" s="16" t="s">
        <v>71</v>
      </c>
      <c r="H909" s="16" t="s">
        <v>31</v>
      </c>
      <c r="I909" s="16" t="s">
        <v>63</v>
      </c>
      <c r="J909" s="16" t="s">
        <v>27</v>
      </c>
      <c r="K909" s="16" t="s">
        <v>1796</v>
      </c>
      <c r="L909" s="16" t="s">
        <v>35</v>
      </c>
      <c r="M909" s="17">
        <v>25</v>
      </c>
      <c r="N909" s="23">
        <v>1.29</v>
      </c>
      <c r="O909" s="16" t="s">
        <v>67</v>
      </c>
      <c r="P909" s="16" t="s">
        <v>63</v>
      </c>
      <c r="Q909" s="16" t="s">
        <v>29</v>
      </c>
      <c r="R909" s="16" t="s">
        <v>3113</v>
      </c>
      <c r="S909" s="12" t="s">
        <v>4258</v>
      </c>
      <c r="T909" s="13">
        <v>46035</v>
      </c>
      <c r="U909" s="19"/>
      <c r="V909" s="53">
        <f>M909-Z909-AB909-AD909-AF909-AH909-AJ909-AL909-AN909-AP909-AR909-AT909-AV909-AX909-AZ909-BB909-BD909-BF909-BH909-U909</f>
        <v>-1.3999999999999986</v>
      </c>
      <c r="W909" s="22" t="s">
        <v>4395</v>
      </c>
      <c r="X909" s="16" t="s">
        <v>29</v>
      </c>
      <c r="Y909" s="9"/>
      <c r="Z909" s="19">
        <v>26.4</v>
      </c>
      <c r="AA909" s="252">
        <v>46036</v>
      </c>
    </row>
    <row r="910" spans="1:33" s="28" customFormat="1" ht="20.25" customHeight="1">
      <c r="A910" s="11">
        <v>46014</v>
      </c>
      <c r="B910" s="16" t="s">
        <v>4374</v>
      </c>
      <c r="C910" s="16" t="s">
        <v>1568</v>
      </c>
      <c r="D910" s="16" t="s">
        <v>212</v>
      </c>
      <c r="E910" s="16" t="s">
        <v>25</v>
      </c>
      <c r="F910" s="16" t="s">
        <v>4383</v>
      </c>
      <c r="G910" s="16" t="s">
        <v>71</v>
      </c>
      <c r="H910" s="16" t="s">
        <v>26</v>
      </c>
      <c r="I910" s="16" t="s">
        <v>63</v>
      </c>
      <c r="J910" s="16" t="s">
        <v>27</v>
      </c>
      <c r="K910" s="16" t="s">
        <v>214</v>
      </c>
      <c r="L910" s="16" t="s">
        <v>35</v>
      </c>
      <c r="M910" s="17">
        <v>19083</v>
      </c>
      <c r="N910" s="23">
        <v>1.29</v>
      </c>
      <c r="O910" s="16" t="s">
        <v>67</v>
      </c>
      <c r="P910" s="16" t="s">
        <v>63</v>
      </c>
      <c r="Q910" s="16" t="s">
        <v>29</v>
      </c>
      <c r="R910" s="16" t="s">
        <v>3938</v>
      </c>
      <c r="S910" s="12" t="s">
        <v>4180</v>
      </c>
      <c r="T910" s="13">
        <v>46035</v>
      </c>
      <c r="U910" s="19"/>
      <c r="V910" s="53">
        <f>M910-Z910-AB910-AD910-AF910-AH910-AJ910-AL910-AN910-AP910-AR910-AT910-AV910-AX910-AZ910-BB910-BD910-BF910-BH910-U910</f>
        <v>-1.9000000000014552</v>
      </c>
      <c r="W910" s="22" t="s">
        <v>4396</v>
      </c>
      <c r="X910" s="16" t="s">
        <v>29</v>
      </c>
      <c r="Y910" s="9"/>
      <c r="Z910" s="19">
        <f>2080.9+2287.2+5611.8</f>
        <v>9979.9000000000015</v>
      </c>
      <c r="AA910" s="252">
        <v>46034</v>
      </c>
      <c r="AB910" s="19">
        <f>164.4+4243.1+525.6+3930.2+241.7</f>
        <v>9105</v>
      </c>
      <c r="AC910" s="252">
        <v>46037</v>
      </c>
    </row>
    <row r="911" spans="1:33" s="282" customFormat="1" ht="20.25" customHeight="1">
      <c r="A911" s="272">
        <v>46014</v>
      </c>
      <c r="B911" s="273" t="s">
        <v>4374</v>
      </c>
      <c r="C911" s="273" t="s">
        <v>1568</v>
      </c>
      <c r="D911" s="273" t="s">
        <v>212</v>
      </c>
      <c r="E911" s="273" t="s">
        <v>25</v>
      </c>
      <c r="F911" s="273" t="s">
        <v>4383</v>
      </c>
      <c r="G911" s="273" t="s">
        <v>71</v>
      </c>
      <c r="H911" s="273" t="s">
        <v>26</v>
      </c>
      <c r="I911" s="273" t="s">
        <v>63</v>
      </c>
      <c r="J911" s="273" t="s">
        <v>27</v>
      </c>
      <c r="K911" s="273" t="s">
        <v>4384</v>
      </c>
      <c r="L911" s="273" t="s">
        <v>35</v>
      </c>
      <c r="M911" s="274">
        <v>3431</v>
      </c>
      <c r="N911" s="275">
        <v>1.29</v>
      </c>
      <c r="O911" s="273" t="s">
        <v>67</v>
      </c>
      <c r="P911" s="273" t="s">
        <v>63</v>
      </c>
      <c r="Q911" s="273" t="s">
        <v>29</v>
      </c>
      <c r="R911" s="273" t="s">
        <v>3937</v>
      </c>
      <c r="S911" s="276" t="s">
        <v>4180</v>
      </c>
      <c r="T911" s="277">
        <v>46035</v>
      </c>
      <c r="U911" s="278"/>
      <c r="V911" s="279">
        <f>M911-Z911-AB911-AD911-AF911-AH911-AJ911-AL911-AN911-AP911-AR911-AT911-AV911-AX911-AZ911-BB911-BD911-BF911-BH911-U911</f>
        <v>3431</v>
      </c>
      <c r="W911" s="280" t="s">
        <v>4397</v>
      </c>
      <c r="X911" s="273" t="s">
        <v>29</v>
      </c>
      <c r="Y911" s="322"/>
      <c r="Z911" s="322"/>
    </row>
    <row r="912" spans="1:33" s="28" customFormat="1" ht="20.25" customHeight="1">
      <c r="A912" s="11">
        <v>46014</v>
      </c>
      <c r="B912" s="16" t="s">
        <v>4375</v>
      </c>
      <c r="C912" s="16" t="s">
        <v>267</v>
      </c>
      <c r="D912" s="16" t="s">
        <v>212</v>
      </c>
      <c r="E912" s="16" t="s">
        <v>25</v>
      </c>
      <c r="F912" s="16" t="s">
        <v>4385</v>
      </c>
      <c r="G912" s="16" t="s">
        <v>71</v>
      </c>
      <c r="H912" s="16" t="s">
        <v>31</v>
      </c>
      <c r="I912" s="1" t="s">
        <v>63</v>
      </c>
      <c r="J912" s="1" t="s">
        <v>27</v>
      </c>
      <c r="K912" s="16" t="s">
        <v>588</v>
      </c>
      <c r="L912" s="1" t="s">
        <v>35</v>
      </c>
      <c r="M912" s="17">
        <v>145</v>
      </c>
      <c r="N912" s="23">
        <v>1.29</v>
      </c>
      <c r="O912" s="1" t="s">
        <v>67</v>
      </c>
      <c r="P912" s="1" t="s">
        <v>63</v>
      </c>
      <c r="Q912" s="1" t="s">
        <v>29</v>
      </c>
      <c r="R912" s="1" t="s">
        <v>4079</v>
      </c>
      <c r="S912" s="121" t="s">
        <v>4258</v>
      </c>
      <c r="T912" s="13">
        <v>46035</v>
      </c>
      <c r="U912" s="19"/>
      <c r="V912" s="53">
        <f>M912-Z912-AB912-AD912-AF912-AH912-AJ912-AL912-AN912-AP912-AR912-AT912-AV912-AX912-AZ912-BB912-BD912-BF912-BH912-U912</f>
        <v>0</v>
      </c>
      <c r="W912" s="22" t="s">
        <v>4398</v>
      </c>
      <c r="X912" s="16" t="s">
        <v>29</v>
      </c>
      <c r="Y912" s="9"/>
      <c r="Z912" s="19">
        <v>145</v>
      </c>
      <c r="AA912" s="252">
        <v>46027</v>
      </c>
    </row>
    <row r="913" spans="1:37" s="28" customFormat="1" ht="20.25" customHeight="1">
      <c r="A913" s="11">
        <v>46014</v>
      </c>
      <c r="B913" s="16" t="s">
        <v>4376</v>
      </c>
      <c r="C913" s="16" t="s">
        <v>267</v>
      </c>
      <c r="D913" s="16" t="s">
        <v>212</v>
      </c>
      <c r="E913" s="16" t="s">
        <v>25</v>
      </c>
      <c r="F913" s="16" t="s">
        <v>4386</v>
      </c>
      <c r="G913" s="16" t="s">
        <v>71</v>
      </c>
      <c r="H913" s="16" t="s">
        <v>31</v>
      </c>
      <c r="I913" s="1" t="s">
        <v>63</v>
      </c>
      <c r="J913" s="1" t="s">
        <v>27</v>
      </c>
      <c r="K913" s="16" t="s">
        <v>3882</v>
      </c>
      <c r="L913" s="1" t="s">
        <v>35</v>
      </c>
      <c r="M913" s="17">
        <v>560</v>
      </c>
      <c r="N913" s="23">
        <v>1.29</v>
      </c>
      <c r="O913" s="16" t="s">
        <v>67</v>
      </c>
      <c r="P913" s="16" t="s">
        <v>63</v>
      </c>
      <c r="Q913" s="16" t="s">
        <v>29</v>
      </c>
      <c r="R913" s="16" t="s">
        <v>4005</v>
      </c>
      <c r="S913" s="12" t="s">
        <v>4258</v>
      </c>
      <c r="T913" s="13">
        <v>46035</v>
      </c>
      <c r="U913" s="19"/>
      <c r="V913" s="387">
        <f>M913-Z913-AB913-AD913-AF913-AH913-AJ913-AL913-AN913-AP913-AR913-AT913-AV913-AX913-AZ913-BB913-BD913-BF913-BH913-U913</f>
        <v>-0.39999999999997726</v>
      </c>
      <c r="W913" s="22" t="s">
        <v>4399</v>
      </c>
      <c r="X913" s="16" t="s">
        <v>29</v>
      </c>
      <c r="Y913" s="9"/>
      <c r="Z913" s="19">
        <v>560.4</v>
      </c>
      <c r="AA913" s="252">
        <v>46034</v>
      </c>
    </row>
    <row r="914" spans="1:37" s="28" customFormat="1" ht="20.25" customHeight="1">
      <c r="A914" s="11">
        <v>46014</v>
      </c>
      <c r="B914" s="16" t="s">
        <v>4377</v>
      </c>
      <c r="C914" s="16" t="s">
        <v>267</v>
      </c>
      <c r="D914" s="16" t="s">
        <v>212</v>
      </c>
      <c r="E914" s="16" t="s">
        <v>25</v>
      </c>
      <c r="F914" s="16" t="s">
        <v>4387</v>
      </c>
      <c r="G914" s="16" t="s">
        <v>71</v>
      </c>
      <c r="H914" s="16" t="s">
        <v>31</v>
      </c>
      <c r="I914" s="16" t="s">
        <v>63</v>
      </c>
      <c r="J914" s="16" t="s">
        <v>27</v>
      </c>
      <c r="K914" s="16" t="s">
        <v>588</v>
      </c>
      <c r="L914" s="16" t="s">
        <v>35</v>
      </c>
      <c r="M914" s="17">
        <v>300</v>
      </c>
      <c r="N914" s="23">
        <v>1.29</v>
      </c>
      <c r="O914" s="16" t="s">
        <v>67</v>
      </c>
      <c r="P914" s="16" t="s">
        <v>63</v>
      </c>
      <c r="Q914" s="16" t="s">
        <v>29</v>
      </c>
      <c r="R914" s="16" t="s">
        <v>4079</v>
      </c>
      <c r="S914" s="12" t="s">
        <v>4258</v>
      </c>
      <c r="T914" s="13">
        <v>46035</v>
      </c>
      <c r="U914" s="19"/>
      <c r="V914" s="387">
        <f>M914-Z914-AB914-AD914-AF914-AH914-AJ914-AL914-AN914-AP914-AR914-AT914-AV914-AX914-AZ914-BB914-BD914-BF914-BH914-U914</f>
        <v>-5</v>
      </c>
      <c r="W914" s="22" t="s">
        <v>4400</v>
      </c>
      <c r="X914" s="16" t="s">
        <v>29</v>
      </c>
      <c r="Y914" s="9"/>
      <c r="Z914" s="19">
        <v>178.9</v>
      </c>
      <c r="AA914" s="252">
        <v>46027</v>
      </c>
      <c r="AB914" s="19">
        <v>19.600000000000001</v>
      </c>
      <c r="AC914" s="252">
        <v>46034</v>
      </c>
      <c r="AD914" s="19">
        <v>106.5</v>
      </c>
      <c r="AE914" s="252">
        <v>46041</v>
      </c>
    </row>
    <row r="915" spans="1:37" s="28" customFormat="1" ht="20.25" customHeight="1">
      <c r="A915" s="11">
        <v>46014</v>
      </c>
      <c r="B915" s="16" t="s">
        <v>4378</v>
      </c>
      <c r="C915" s="16" t="s">
        <v>267</v>
      </c>
      <c r="D915" s="16" t="s">
        <v>212</v>
      </c>
      <c r="E915" s="16" t="s">
        <v>25</v>
      </c>
      <c r="F915" s="16" t="s">
        <v>4388</v>
      </c>
      <c r="G915" s="16" t="s">
        <v>71</v>
      </c>
      <c r="H915" s="16" t="s">
        <v>31</v>
      </c>
      <c r="I915" s="1" t="s">
        <v>63</v>
      </c>
      <c r="J915" s="1" t="s">
        <v>27</v>
      </c>
      <c r="K915" s="16" t="s">
        <v>3882</v>
      </c>
      <c r="L915" s="1" t="s">
        <v>35</v>
      </c>
      <c r="M915" s="17">
        <v>2400</v>
      </c>
      <c r="N915" s="23">
        <v>1.29</v>
      </c>
      <c r="O915" s="16" t="s">
        <v>67</v>
      </c>
      <c r="P915" s="16" t="s">
        <v>63</v>
      </c>
      <c r="Q915" s="16" t="s">
        <v>29</v>
      </c>
      <c r="R915" s="16" t="s">
        <v>4005</v>
      </c>
      <c r="S915" s="12" t="s">
        <v>4258</v>
      </c>
      <c r="T915" s="13">
        <v>46035</v>
      </c>
      <c r="U915" s="19"/>
      <c r="V915" s="387">
        <f>M915-Z915-AB915-AD915-AF915-AH915-AJ915-AL915-AN915-AP915-AR915-AT915-AV915-AX915-AZ915-BB915-BD915-BF915-BH915-U915</f>
        <v>-1.5999999999999091</v>
      </c>
      <c r="W915" s="22" t="s">
        <v>4401</v>
      </c>
      <c r="X915" s="16" t="s">
        <v>29</v>
      </c>
      <c r="Y915" s="9"/>
      <c r="Z915" s="19">
        <v>2401.6</v>
      </c>
      <c r="AA915" s="252">
        <v>46034</v>
      </c>
    </row>
    <row r="916" spans="1:37" s="28" customFormat="1" ht="20.25" customHeight="1">
      <c r="A916" s="11">
        <v>46014</v>
      </c>
      <c r="B916" s="16" t="s">
        <v>4379</v>
      </c>
      <c r="C916" s="16" t="s">
        <v>400</v>
      </c>
      <c r="D916" s="16" t="s">
        <v>212</v>
      </c>
      <c r="E916" s="16" t="s">
        <v>25</v>
      </c>
      <c r="F916" s="16" t="s">
        <v>4389</v>
      </c>
      <c r="G916" s="16" t="s">
        <v>71</v>
      </c>
      <c r="H916" s="16" t="s">
        <v>31</v>
      </c>
      <c r="I916" s="16" t="s">
        <v>63</v>
      </c>
      <c r="J916" s="16" t="s">
        <v>27</v>
      </c>
      <c r="K916" s="16" t="s">
        <v>218</v>
      </c>
      <c r="L916" s="16" t="s">
        <v>35</v>
      </c>
      <c r="M916" s="17">
        <v>18256.23</v>
      </c>
      <c r="N916" s="23">
        <v>1.29</v>
      </c>
      <c r="O916" s="16" t="s">
        <v>67</v>
      </c>
      <c r="P916" s="16" t="s">
        <v>63</v>
      </c>
      <c r="Q916" s="16" t="s">
        <v>4391</v>
      </c>
      <c r="R916" s="16" t="s">
        <v>4392</v>
      </c>
      <c r="S916" s="12" t="s">
        <v>4180</v>
      </c>
      <c r="T916" s="13">
        <v>46042</v>
      </c>
      <c r="U916" s="19"/>
      <c r="V916" s="53">
        <f>M916-Z916-AB916-AD916-AF916-AH916-AJ916-AL916-AN916-AP916-AR916-AT916-AV916-AX916-AZ916-BB916-BD916-BF916-BH916-U916</f>
        <v>-1.570000000001528</v>
      </c>
      <c r="W916" s="22" t="s">
        <v>4402</v>
      </c>
      <c r="X916" s="16" t="s">
        <v>29</v>
      </c>
      <c r="Y916" s="9"/>
      <c r="Z916" s="19">
        <f>1997.5+251.3+3367.9+3217</f>
        <v>8833.7000000000007</v>
      </c>
      <c r="AA916" s="252">
        <v>46031</v>
      </c>
      <c r="AB916" s="19">
        <f>2982.9+3809.1+2632.1</f>
        <v>9424.1</v>
      </c>
      <c r="AC916" s="252">
        <v>46045</v>
      </c>
    </row>
    <row r="917" spans="1:37" s="28" customFormat="1" ht="20.25" customHeight="1">
      <c r="A917" s="11">
        <v>46014</v>
      </c>
      <c r="B917" s="16" t="s">
        <v>4379</v>
      </c>
      <c r="C917" s="16" t="s">
        <v>400</v>
      </c>
      <c r="D917" s="16" t="s">
        <v>212</v>
      </c>
      <c r="E917" s="16" t="s">
        <v>25</v>
      </c>
      <c r="F917" s="16" t="s">
        <v>4389</v>
      </c>
      <c r="G917" s="16" t="s">
        <v>71</v>
      </c>
      <c r="H917" s="16" t="s">
        <v>31</v>
      </c>
      <c r="I917" s="16" t="s">
        <v>63</v>
      </c>
      <c r="J917" s="16" t="s">
        <v>27</v>
      </c>
      <c r="K917" s="16" t="s">
        <v>1012</v>
      </c>
      <c r="L917" s="16" t="s">
        <v>35</v>
      </c>
      <c r="M917" s="17">
        <v>20102.16</v>
      </c>
      <c r="N917" s="23">
        <v>1.29</v>
      </c>
      <c r="O917" s="16" t="s">
        <v>67</v>
      </c>
      <c r="P917" s="16" t="s">
        <v>63</v>
      </c>
      <c r="Q917" s="16" t="s">
        <v>4391</v>
      </c>
      <c r="R917" s="16" t="s">
        <v>4393</v>
      </c>
      <c r="S917" s="12" t="s">
        <v>4180</v>
      </c>
      <c r="T917" s="13">
        <v>46042</v>
      </c>
      <c r="U917" s="19"/>
      <c r="V917" s="53">
        <f>M917-Z917-AB917-AD917-AF917-AH917-AJ917-AL917-AN917-AP917-AR917-AT917-AV917-AX917-AZ917-BB917-BD917-BF917-BH917-U917</f>
        <v>-0.14000000000032742</v>
      </c>
      <c r="W917" s="22" t="s">
        <v>4403</v>
      </c>
      <c r="X917" s="16" t="s">
        <v>29</v>
      </c>
      <c r="Y917" s="9"/>
      <c r="Z917" s="19">
        <f>4099.9+3499.8</f>
        <v>7599.7</v>
      </c>
      <c r="AA917" s="252">
        <v>46029</v>
      </c>
      <c r="AB917" s="19">
        <v>2694.1</v>
      </c>
      <c r="AC917" s="252">
        <v>46036</v>
      </c>
      <c r="AD917" s="19">
        <f>3683.2+3540.1</f>
        <v>7223.2999999999993</v>
      </c>
      <c r="AE917" s="252">
        <v>46045</v>
      </c>
      <c r="AF917" s="19">
        <f>1623+962.2</f>
        <v>2585.1999999999998</v>
      </c>
      <c r="AG917" s="252">
        <v>46049</v>
      </c>
    </row>
    <row r="918" spans="1:37" s="28" customFormat="1" ht="20.25" customHeight="1">
      <c r="A918" s="11">
        <v>46014</v>
      </c>
      <c r="B918" s="16" t="s">
        <v>4380</v>
      </c>
      <c r="C918" s="16" t="s">
        <v>438</v>
      </c>
      <c r="D918" s="16" t="s">
        <v>212</v>
      </c>
      <c r="E918" s="16" t="s">
        <v>25</v>
      </c>
      <c r="F918" s="16">
        <v>4004122547</v>
      </c>
      <c r="G918" s="16" t="s">
        <v>71</v>
      </c>
      <c r="H918" s="16" t="s">
        <v>26</v>
      </c>
      <c r="I918" s="16" t="s">
        <v>63</v>
      </c>
      <c r="J918" s="16" t="s">
        <v>27</v>
      </c>
      <c r="K918" s="16" t="s">
        <v>218</v>
      </c>
      <c r="L918" s="16" t="s">
        <v>35</v>
      </c>
      <c r="M918" s="17">
        <v>128</v>
      </c>
      <c r="N918" s="23">
        <v>1.29</v>
      </c>
      <c r="O918" s="16" t="s">
        <v>67</v>
      </c>
      <c r="P918" s="16" t="s">
        <v>63</v>
      </c>
      <c r="Q918" s="16" t="s">
        <v>29</v>
      </c>
      <c r="R918" s="16" t="s">
        <v>29</v>
      </c>
      <c r="S918" s="12" t="s">
        <v>4180</v>
      </c>
      <c r="T918" s="13">
        <v>46035</v>
      </c>
      <c r="U918" s="19"/>
      <c r="V918" s="53">
        <f>M918-Z918-AB918-AD918-AF918-AH918-AJ918-AL918-AN918-AP918-AR918-AT918-AV918-AX918-AZ918-BB918-BD918-BF918-BH918-U918</f>
        <v>-0.69999999999999574</v>
      </c>
      <c r="W918" s="22" t="s">
        <v>4404</v>
      </c>
      <c r="X918" s="16" t="s">
        <v>4409</v>
      </c>
      <c r="Y918" s="9" t="s">
        <v>4611</v>
      </c>
      <c r="Z918" s="19">
        <v>77.599999999999994</v>
      </c>
      <c r="AA918" s="252">
        <v>46031</v>
      </c>
      <c r="AB918" s="19">
        <v>51.1</v>
      </c>
      <c r="AC918" s="252">
        <v>46034</v>
      </c>
    </row>
    <row r="919" spans="1:37" s="28" customFormat="1" ht="20.25" customHeight="1">
      <c r="A919" s="11">
        <v>46014</v>
      </c>
      <c r="B919" s="16" t="s">
        <v>4380</v>
      </c>
      <c r="C919" s="16" t="s">
        <v>438</v>
      </c>
      <c r="D919" s="16" t="s">
        <v>212</v>
      </c>
      <c r="E919" s="16" t="s">
        <v>25</v>
      </c>
      <c r="F919" s="16">
        <v>4004122547</v>
      </c>
      <c r="G919" s="16" t="s">
        <v>71</v>
      </c>
      <c r="H919" s="16" t="s">
        <v>26</v>
      </c>
      <c r="I919" s="1" t="s">
        <v>63</v>
      </c>
      <c r="J919" s="1" t="s">
        <v>27</v>
      </c>
      <c r="K919" s="16" t="s">
        <v>1328</v>
      </c>
      <c r="L919" s="1" t="s">
        <v>35</v>
      </c>
      <c r="M919" s="17">
        <v>12</v>
      </c>
      <c r="N919" s="6">
        <v>1.29</v>
      </c>
      <c r="O919" s="1" t="s">
        <v>67</v>
      </c>
      <c r="P919" s="1" t="s">
        <v>63</v>
      </c>
      <c r="Q919" s="1" t="s">
        <v>29</v>
      </c>
      <c r="R919" s="1" t="s">
        <v>29</v>
      </c>
      <c r="S919" s="121" t="s">
        <v>4180</v>
      </c>
      <c r="T919" s="13">
        <v>46035</v>
      </c>
      <c r="U919" s="19"/>
      <c r="V919" s="53">
        <f>M919-Z919-AB919-AD919-AF919-AH919-AJ919-AL919-AN919-AP919-AR919-AT919-AV919-AX919-AZ919-BB919-BD919-BF919-BH919-U919</f>
        <v>-3.6999999999999993</v>
      </c>
      <c r="W919" s="22" t="s">
        <v>4405</v>
      </c>
      <c r="X919" s="16" t="s">
        <v>4410</v>
      </c>
      <c r="Y919" s="9" t="s">
        <v>4611</v>
      </c>
      <c r="Z919" s="19">
        <v>15.7</v>
      </c>
      <c r="AA919" s="252">
        <v>46031</v>
      </c>
    </row>
    <row r="920" spans="1:37" s="28" customFormat="1" ht="20.25" customHeight="1">
      <c r="A920" s="11">
        <v>46014</v>
      </c>
      <c r="B920" s="16" t="s">
        <v>4380</v>
      </c>
      <c r="C920" s="16" t="s">
        <v>438</v>
      </c>
      <c r="D920" s="16" t="s">
        <v>212</v>
      </c>
      <c r="E920" s="16" t="s">
        <v>25</v>
      </c>
      <c r="F920" s="16" t="s">
        <v>4390</v>
      </c>
      <c r="G920" s="16" t="s">
        <v>71</v>
      </c>
      <c r="H920" s="16" t="s">
        <v>26</v>
      </c>
      <c r="I920" s="1" t="s">
        <v>63</v>
      </c>
      <c r="J920" s="1" t="s">
        <v>27</v>
      </c>
      <c r="K920" s="16" t="s">
        <v>1328</v>
      </c>
      <c r="L920" s="1" t="s">
        <v>35</v>
      </c>
      <c r="M920" s="17">
        <v>330</v>
      </c>
      <c r="N920" s="6">
        <v>1.29</v>
      </c>
      <c r="O920" s="1" t="s">
        <v>67</v>
      </c>
      <c r="P920" s="1" t="s">
        <v>63</v>
      </c>
      <c r="Q920" s="1" t="s">
        <v>29</v>
      </c>
      <c r="R920" s="1" t="s">
        <v>29</v>
      </c>
      <c r="S920" s="121" t="s">
        <v>4180</v>
      </c>
      <c r="T920" s="13">
        <v>46035</v>
      </c>
      <c r="U920" s="19"/>
      <c r="V920" s="53">
        <f>M920-Z920-AB920-AD920-AF920-AH920-AJ920-AL920-AN920-AP920-AR920-AT920-AV920-AX920-AZ920-BB920-BD920-BF920-BH920-U920</f>
        <v>-3.1000000000000227</v>
      </c>
      <c r="W920" s="22" t="s">
        <v>4406</v>
      </c>
      <c r="X920" s="16" t="s">
        <v>4411</v>
      </c>
      <c r="Y920" s="9" t="s">
        <v>4611</v>
      </c>
      <c r="Z920" s="19">
        <v>333.1</v>
      </c>
      <c r="AA920" s="252">
        <v>46031</v>
      </c>
    </row>
    <row r="921" spans="1:37" s="28" customFormat="1" ht="20.25" customHeight="1">
      <c r="A921" s="11">
        <v>46014</v>
      </c>
      <c r="B921" s="16" t="s">
        <v>4380</v>
      </c>
      <c r="C921" s="16" t="s">
        <v>438</v>
      </c>
      <c r="D921" s="16" t="s">
        <v>212</v>
      </c>
      <c r="E921" s="16" t="s">
        <v>25</v>
      </c>
      <c r="F921" s="16" t="s">
        <v>4390</v>
      </c>
      <c r="G921" s="16" t="s">
        <v>71</v>
      </c>
      <c r="H921" s="16" t="s">
        <v>26</v>
      </c>
      <c r="I921" s="16" t="s">
        <v>63</v>
      </c>
      <c r="J921" s="16" t="s">
        <v>27</v>
      </c>
      <c r="K921" s="16" t="s">
        <v>218</v>
      </c>
      <c r="L921" s="16" t="s">
        <v>35</v>
      </c>
      <c r="M921" s="17">
        <v>358</v>
      </c>
      <c r="N921" s="23">
        <v>1.29</v>
      </c>
      <c r="O921" s="16" t="s">
        <v>67</v>
      </c>
      <c r="P921" s="16" t="s">
        <v>63</v>
      </c>
      <c r="Q921" s="16" t="s">
        <v>29</v>
      </c>
      <c r="R921" s="16" t="s">
        <v>29</v>
      </c>
      <c r="S921" s="12" t="s">
        <v>4180</v>
      </c>
      <c r="T921" s="13">
        <v>46035</v>
      </c>
      <c r="U921" s="19"/>
      <c r="V921" s="53">
        <f>M921-Z921-AB921-AD921-AF921-AH921-AJ921-AL921-AN921-AP921-AR921-AT921-AV921-AX921-AZ921-BB921-BD921-BF921-BH921-U921</f>
        <v>-3.8999999999999773</v>
      </c>
      <c r="W921" s="22" t="s">
        <v>4407</v>
      </c>
      <c r="X921" s="16" t="s">
        <v>4412</v>
      </c>
      <c r="Y921" s="9" t="s">
        <v>4611</v>
      </c>
      <c r="Z921" s="19">
        <v>361.9</v>
      </c>
      <c r="AA921" s="252">
        <v>46034</v>
      </c>
    </row>
    <row r="922" spans="1:37" s="28" customFormat="1" ht="20.25" customHeight="1">
      <c r="A922" s="11">
        <v>46014</v>
      </c>
      <c r="B922" s="16" t="s">
        <v>4380</v>
      </c>
      <c r="C922" s="16" t="s">
        <v>438</v>
      </c>
      <c r="D922" s="16" t="s">
        <v>212</v>
      </c>
      <c r="E922" s="16" t="s">
        <v>25</v>
      </c>
      <c r="F922" s="16" t="s">
        <v>4390</v>
      </c>
      <c r="G922" s="16" t="s">
        <v>71</v>
      </c>
      <c r="H922" s="16" t="s">
        <v>26</v>
      </c>
      <c r="I922" s="1" t="s">
        <v>63</v>
      </c>
      <c r="J922" s="1" t="s">
        <v>27</v>
      </c>
      <c r="K922" s="16" t="s">
        <v>3482</v>
      </c>
      <c r="L922" s="1" t="s">
        <v>35</v>
      </c>
      <c r="M922" s="17">
        <v>23</v>
      </c>
      <c r="N922" s="6">
        <v>1.29</v>
      </c>
      <c r="O922" s="1" t="s">
        <v>67</v>
      </c>
      <c r="P922" s="1" t="s">
        <v>63</v>
      </c>
      <c r="Q922" s="1" t="s">
        <v>29</v>
      </c>
      <c r="R922" s="1" t="s">
        <v>29</v>
      </c>
      <c r="S922" s="121" t="s">
        <v>4180</v>
      </c>
      <c r="T922" s="13">
        <v>46035</v>
      </c>
      <c r="U922" s="19"/>
      <c r="V922" s="53">
        <f>M922-Z922-AB922-AD922-AF922-AH922-AJ922-AL922-AN922-AP922-AR922-AT922-AV922-AX922-AZ922-BB922-BD922-BF922-BH922-U922</f>
        <v>-0.69999999999999929</v>
      </c>
      <c r="W922" s="22" t="s">
        <v>4408</v>
      </c>
      <c r="X922" s="16" t="s">
        <v>4413</v>
      </c>
      <c r="Y922" s="9" t="s">
        <v>4611</v>
      </c>
      <c r="Z922" s="19">
        <v>23.7</v>
      </c>
      <c r="AA922" s="252">
        <v>46031</v>
      </c>
    </row>
    <row r="923" spans="1:37" s="28" customFormat="1" ht="20.25" customHeight="1">
      <c r="A923" s="11">
        <v>46015</v>
      </c>
      <c r="B923" s="16" t="s">
        <v>4423</v>
      </c>
      <c r="C923" s="16" t="s">
        <v>400</v>
      </c>
      <c r="D923" s="16" t="s">
        <v>212</v>
      </c>
      <c r="E923" s="16" t="s">
        <v>25</v>
      </c>
      <c r="F923" s="16" t="s">
        <v>4425</v>
      </c>
      <c r="G923" s="16" t="s">
        <v>71</v>
      </c>
      <c r="H923" s="16" t="s">
        <v>31</v>
      </c>
      <c r="I923" s="1"/>
      <c r="J923" s="1" t="s">
        <v>27</v>
      </c>
      <c r="K923" s="16" t="s">
        <v>3646</v>
      </c>
      <c r="L923" s="1" t="s">
        <v>35</v>
      </c>
      <c r="M923" s="17">
        <v>47.02</v>
      </c>
      <c r="N923" s="6">
        <v>1.29</v>
      </c>
      <c r="O923" s="1" t="s">
        <v>67</v>
      </c>
      <c r="P923" s="1" t="s">
        <v>63</v>
      </c>
      <c r="Q923" s="1" t="s">
        <v>2494</v>
      </c>
      <c r="R923" s="1" t="s">
        <v>4178</v>
      </c>
      <c r="S923" s="12" t="s">
        <v>4180</v>
      </c>
      <c r="T923" s="13">
        <v>46037</v>
      </c>
      <c r="U923" s="19"/>
      <c r="V923" s="53">
        <f>M923-Z923-AB923-AD923-AF923-AH923-AJ923-AL923-AN923-AP923-AR923-AT923-AV923-AX923-AZ923-BB923-BD923-BF923-BH923-U923</f>
        <v>-2.779999999999994</v>
      </c>
      <c r="W923" s="22" t="s">
        <v>4432</v>
      </c>
      <c r="X923" s="16" t="s">
        <v>29</v>
      </c>
      <c r="Y923" s="9"/>
      <c r="Z923" s="19">
        <v>49.8</v>
      </c>
      <c r="AA923" s="252">
        <v>46036</v>
      </c>
    </row>
    <row r="924" spans="1:37" s="28" customFormat="1" ht="20.25" customHeight="1">
      <c r="A924" s="11">
        <v>46015</v>
      </c>
      <c r="B924" s="16" t="s">
        <v>4423</v>
      </c>
      <c r="C924" s="16" t="s">
        <v>400</v>
      </c>
      <c r="D924" s="16" t="s">
        <v>212</v>
      </c>
      <c r="E924" s="16" t="s">
        <v>25</v>
      </c>
      <c r="F924" s="16" t="s">
        <v>4425</v>
      </c>
      <c r="G924" s="16" t="s">
        <v>71</v>
      </c>
      <c r="H924" s="16" t="s">
        <v>31</v>
      </c>
      <c r="I924" s="1"/>
      <c r="J924" s="1" t="s">
        <v>27</v>
      </c>
      <c r="K924" s="16" t="s">
        <v>3646</v>
      </c>
      <c r="L924" s="1" t="s">
        <v>35</v>
      </c>
      <c r="M924" s="17">
        <v>143.5</v>
      </c>
      <c r="N924" s="6">
        <v>1.29</v>
      </c>
      <c r="O924" s="1" t="s">
        <v>67</v>
      </c>
      <c r="P924" s="1" t="s">
        <v>63</v>
      </c>
      <c r="Q924" s="1" t="s">
        <v>2494</v>
      </c>
      <c r="R924" s="1" t="s">
        <v>3559</v>
      </c>
      <c r="S924" s="12" t="s">
        <v>4180</v>
      </c>
      <c r="T924" s="13">
        <v>46037</v>
      </c>
      <c r="U924" s="19"/>
      <c r="V924" s="53">
        <f>M924-Z924-AB924-AD924-AF924-AH924-AJ924-AL924-AN924-AP924-AR924-AT924-AV924-AX924-AZ924-BB924-BD924-BF924-BH924-U924</f>
        <v>-3.1999999999999886</v>
      </c>
      <c r="W924" s="22" t="s">
        <v>4433</v>
      </c>
      <c r="X924" s="16" t="s">
        <v>29</v>
      </c>
      <c r="Y924" s="9"/>
      <c r="Z924" s="19">
        <v>146.69999999999999</v>
      </c>
      <c r="AA924" s="252">
        <v>46036</v>
      </c>
    </row>
    <row r="925" spans="1:37" s="28" customFormat="1" ht="20.25" customHeight="1">
      <c r="A925" s="11">
        <v>46015</v>
      </c>
      <c r="B925" s="16" t="s">
        <v>4423</v>
      </c>
      <c r="C925" s="16" t="s">
        <v>400</v>
      </c>
      <c r="D925" s="16" t="s">
        <v>212</v>
      </c>
      <c r="E925" s="16" t="s">
        <v>25</v>
      </c>
      <c r="F925" s="16" t="s">
        <v>4425</v>
      </c>
      <c r="G925" s="16" t="s">
        <v>71</v>
      </c>
      <c r="H925" s="16" t="s">
        <v>31</v>
      </c>
      <c r="I925" s="16"/>
      <c r="J925" s="16" t="s">
        <v>27</v>
      </c>
      <c r="K925" s="16" t="s">
        <v>4427</v>
      </c>
      <c r="L925" s="16" t="s">
        <v>35</v>
      </c>
      <c r="M925" s="17">
        <v>132.41</v>
      </c>
      <c r="N925" s="23">
        <v>1.29</v>
      </c>
      <c r="O925" s="16" t="s">
        <v>67</v>
      </c>
      <c r="P925" s="16" t="s">
        <v>63</v>
      </c>
      <c r="Q925" s="16" t="s">
        <v>2494</v>
      </c>
      <c r="R925" s="16" t="s">
        <v>4305</v>
      </c>
      <c r="S925" s="12" t="s">
        <v>4180</v>
      </c>
      <c r="T925" s="13">
        <v>46037</v>
      </c>
      <c r="U925" s="19"/>
      <c r="V925" s="53">
        <f>M925-Z925-AB925-AD925-AF925-AH925-AJ925-AL925-AN925-AP925-AR925-AT925-AV925-AX925-AZ925-BB925-BD925-BF925-BH925-U925</f>
        <v>-6.0900000000000034</v>
      </c>
      <c r="W925" s="22" t="s">
        <v>4434</v>
      </c>
      <c r="X925" s="16" t="s">
        <v>29</v>
      </c>
      <c r="Y925" s="9"/>
      <c r="Z925" s="19">
        <v>138.5</v>
      </c>
      <c r="AA925" s="252">
        <v>46049</v>
      </c>
    </row>
    <row r="926" spans="1:37" s="28" customFormat="1" ht="20.25" customHeight="1">
      <c r="A926" s="11">
        <v>46015</v>
      </c>
      <c r="B926" s="16" t="s">
        <v>4424</v>
      </c>
      <c r="C926" s="16" t="s">
        <v>400</v>
      </c>
      <c r="D926" s="16" t="s">
        <v>212</v>
      </c>
      <c r="E926" s="16" t="s">
        <v>25</v>
      </c>
      <c r="F926" s="16" t="s">
        <v>4426</v>
      </c>
      <c r="G926" s="16" t="s">
        <v>71</v>
      </c>
      <c r="H926" s="16" t="s">
        <v>26</v>
      </c>
      <c r="I926" s="16"/>
      <c r="J926" s="16" t="s">
        <v>27</v>
      </c>
      <c r="K926" s="16" t="s">
        <v>3646</v>
      </c>
      <c r="L926" s="16" t="s">
        <v>35</v>
      </c>
      <c r="M926" s="17">
        <v>480.86</v>
      </c>
      <c r="N926" s="23">
        <v>1.29</v>
      </c>
      <c r="O926" s="16" t="s">
        <v>67</v>
      </c>
      <c r="P926" s="16" t="s">
        <v>63</v>
      </c>
      <c r="Q926" s="16" t="s">
        <v>1424</v>
      </c>
      <c r="R926" s="16" t="s">
        <v>4428</v>
      </c>
      <c r="S926" s="12" t="s">
        <v>4431</v>
      </c>
      <c r="T926" s="13">
        <v>46041</v>
      </c>
      <c r="U926" s="19"/>
      <c r="V926" s="53">
        <f>M926-Z926-AB926-AD926-AF926-AH926-AJ926-AL926-AN926-AP926-AR926-AT926-AV926-AX926-AZ926-BB926-BD926-BF926-BH926-U926</f>
        <v>-0.53999999999996362</v>
      </c>
      <c r="W926" s="22" t="s">
        <v>4435</v>
      </c>
      <c r="X926" s="16" t="s">
        <v>29</v>
      </c>
      <c r="Y926" s="9"/>
      <c r="Z926" s="19">
        <v>481.4</v>
      </c>
      <c r="AA926" s="252">
        <v>46049</v>
      </c>
    </row>
    <row r="927" spans="1:37" s="28" customFormat="1" ht="20.25" customHeight="1">
      <c r="A927" s="11">
        <v>46015</v>
      </c>
      <c r="B927" s="16" t="s">
        <v>4424</v>
      </c>
      <c r="C927" s="16" t="s">
        <v>400</v>
      </c>
      <c r="D927" s="16" t="s">
        <v>212</v>
      </c>
      <c r="E927" s="16" t="s">
        <v>25</v>
      </c>
      <c r="F927" s="16" t="s">
        <v>4426</v>
      </c>
      <c r="G927" s="16" t="s">
        <v>71</v>
      </c>
      <c r="H927" s="16" t="s">
        <v>31</v>
      </c>
      <c r="I927" s="16"/>
      <c r="J927" s="16" t="s">
        <v>27</v>
      </c>
      <c r="K927" s="16" t="s">
        <v>4427</v>
      </c>
      <c r="L927" s="16" t="s">
        <v>35</v>
      </c>
      <c r="M927" s="17">
        <v>10724.8</v>
      </c>
      <c r="N927" s="23">
        <v>1.29</v>
      </c>
      <c r="O927" s="16" t="s">
        <v>67</v>
      </c>
      <c r="P927" s="16" t="s">
        <v>63</v>
      </c>
      <c r="Q927" s="16" t="s">
        <v>4429</v>
      </c>
      <c r="R927" s="16" t="s">
        <v>4305</v>
      </c>
      <c r="S927" s="12" t="s">
        <v>4431</v>
      </c>
      <c r="T927" s="13">
        <v>46041</v>
      </c>
      <c r="U927" s="19"/>
      <c r="V927" s="53">
        <f>M927-Z927-AB927-AD927-AF927-AH927-AJ927-AL927-AN927-AP927-AR927-AT927-AV927-AX927-AZ927-BB927-BD927-BF927-BH927-U927</f>
        <v>-0.5</v>
      </c>
      <c r="W927" s="22" t="s">
        <v>4436</v>
      </c>
      <c r="X927" s="16" t="s">
        <v>29</v>
      </c>
      <c r="Y927" s="9"/>
      <c r="Z927" s="19">
        <v>424.1</v>
      </c>
      <c r="AA927" s="252">
        <v>46045</v>
      </c>
      <c r="AB927" s="19">
        <f>61.1+1603.3</f>
        <v>1664.3999999999999</v>
      </c>
      <c r="AC927" s="252">
        <v>46049</v>
      </c>
      <c r="AD927" s="19">
        <f>2579.9+1633+1426.7+1272.4+787+937.8</f>
        <v>8636.7999999999993</v>
      </c>
      <c r="AE927" s="252">
        <v>46056</v>
      </c>
    </row>
    <row r="928" spans="1:37" s="36" customFormat="1" ht="20.25" customHeight="1">
      <c r="A928" s="7">
        <v>46015</v>
      </c>
      <c r="B928" s="19" t="s">
        <v>4424</v>
      </c>
      <c r="C928" s="19" t="s">
        <v>400</v>
      </c>
      <c r="D928" s="19" t="s">
        <v>212</v>
      </c>
      <c r="E928" s="19" t="s">
        <v>25</v>
      </c>
      <c r="F928" s="19" t="s">
        <v>4426</v>
      </c>
      <c r="G928" s="19" t="s">
        <v>71</v>
      </c>
      <c r="H928" s="19" t="s">
        <v>31</v>
      </c>
      <c r="I928" s="270"/>
      <c r="J928" s="270" t="s">
        <v>27</v>
      </c>
      <c r="K928" s="19" t="s">
        <v>4427</v>
      </c>
      <c r="L928" s="270" t="s">
        <v>35</v>
      </c>
      <c r="M928" s="20">
        <v>15508.8</v>
      </c>
      <c r="N928" s="271">
        <v>1.29</v>
      </c>
      <c r="O928" s="270" t="s">
        <v>67</v>
      </c>
      <c r="P928" s="270" t="s">
        <v>63</v>
      </c>
      <c r="Q928" s="270" t="s">
        <v>4429</v>
      </c>
      <c r="R928" s="270" t="s">
        <v>4305</v>
      </c>
      <c r="S928" s="327" t="s">
        <v>4431</v>
      </c>
      <c r="T928" s="8">
        <v>46041</v>
      </c>
      <c r="U928" s="19"/>
      <c r="V928" s="55">
        <f>M928-Z928-AB928-AD928-AF928-AH928-AJ928-AL928-AN928-AP928-AR928-AT928-AV928-AX928-AZ928-BB928-BD928-BF928-BH928-U928</f>
        <v>-0.10000000000218279</v>
      </c>
      <c r="W928" s="15" t="s">
        <v>4437</v>
      </c>
      <c r="X928" s="19" t="s">
        <v>5203</v>
      </c>
      <c r="Y928" s="10" t="s">
        <v>5553</v>
      </c>
      <c r="Z928" s="19">
        <v>3162.2</v>
      </c>
      <c r="AA928" s="123">
        <v>46056</v>
      </c>
      <c r="AB928" s="19">
        <f>1058.8+1053.3</f>
        <v>2112.1</v>
      </c>
      <c r="AC928" s="123">
        <v>46063</v>
      </c>
      <c r="AD928" s="19">
        <f>2371.3+657</f>
        <v>3028.3</v>
      </c>
      <c r="AE928" s="123">
        <v>46064</v>
      </c>
      <c r="AF928" s="19">
        <v>1539.8</v>
      </c>
      <c r="AG928" s="123">
        <v>46073</v>
      </c>
      <c r="AH928" s="19">
        <v>1554.8</v>
      </c>
      <c r="AI928" s="123">
        <v>46079</v>
      </c>
      <c r="AJ928" s="19">
        <v>4111.7</v>
      </c>
      <c r="AK928" s="123">
        <v>46091</v>
      </c>
    </row>
    <row r="929" spans="1:31" s="28" customFormat="1" ht="20.25" customHeight="1">
      <c r="A929" s="11">
        <v>46015</v>
      </c>
      <c r="B929" s="16" t="s">
        <v>4424</v>
      </c>
      <c r="C929" s="16" t="s">
        <v>400</v>
      </c>
      <c r="D929" s="16" t="s">
        <v>212</v>
      </c>
      <c r="E929" s="16" t="s">
        <v>25</v>
      </c>
      <c r="F929" s="16" t="s">
        <v>4426</v>
      </c>
      <c r="G929" s="16" t="s">
        <v>71</v>
      </c>
      <c r="H929" s="16" t="s">
        <v>26</v>
      </c>
      <c r="I929" s="16"/>
      <c r="J929" s="16" t="s">
        <v>27</v>
      </c>
      <c r="K929" s="16" t="s">
        <v>239</v>
      </c>
      <c r="L929" s="16" t="s">
        <v>35</v>
      </c>
      <c r="M929" s="17">
        <v>194.46</v>
      </c>
      <c r="N929" s="23">
        <v>1.29</v>
      </c>
      <c r="O929" s="16" t="s">
        <v>67</v>
      </c>
      <c r="P929" s="16" t="s">
        <v>63</v>
      </c>
      <c r="Q929" s="16" t="s">
        <v>4430</v>
      </c>
      <c r="R929" s="16" t="s">
        <v>1425</v>
      </c>
      <c r="S929" s="12" t="s">
        <v>4431</v>
      </c>
      <c r="T929" s="13">
        <v>46041</v>
      </c>
      <c r="U929" s="19"/>
      <c r="V929" s="53">
        <f>M929-Z929-AB929-AD929-AF929-AH929-AJ929-AL929-AN929-AP929-AR929-AT929-AV929-AX929-AZ929-BB929-BD929-BF929-BH929-U929</f>
        <v>-0.93999999999999773</v>
      </c>
      <c r="W929" s="22" t="s">
        <v>4438</v>
      </c>
      <c r="X929" s="16" t="s">
        <v>29</v>
      </c>
      <c r="Y929" s="9"/>
      <c r="Z929" s="19">
        <v>195.4</v>
      </c>
      <c r="AA929" s="252">
        <v>46041</v>
      </c>
    </row>
    <row r="930" spans="1:31" s="28" customFormat="1" ht="20.25" customHeight="1">
      <c r="A930" s="11">
        <v>46020</v>
      </c>
      <c r="B930" s="16" t="s">
        <v>4448</v>
      </c>
      <c r="C930" s="16" t="s">
        <v>267</v>
      </c>
      <c r="D930" s="16" t="s">
        <v>212</v>
      </c>
      <c r="E930" s="16" t="s">
        <v>25</v>
      </c>
      <c r="F930" s="16" t="s">
        <v>4471</v>
      </c>
      <c r="G930" s="16" t="s">
        <v>71</v>
      </c>
      <c r="H930" s="16" t="s">
        <v>26</v>
      </c>
      <c r="I930" s="16"/>
      <c r="J930" s="16" t="s">
        <v>27</v>
      </c>
      <c r="K930" s="16" t="s">
        <v>218</v>
      </c>
      <c r="L930" s="16" t="s">
        <v>35</v>
      </c>
      <c r="M930" s="17">
        <v>15600</v>
      </c>
      <c r="N930" s="23">
        <v>1.29</v>
      </c>
      <c r="O930" s="16" t="s">
        <v>67</v>
      </c>
      <c r="P930" s="16" t="s">
        <v>63</v>
      </c>
      <c r="Q930" s="16" t="s">
        <v>29</v>
      </c>
      <c r="R930" s="16" t="s">
        <v>4496</v>
      </c>
      <c r="S930" s="12" t="s">
        <v>4513</v>
      </c>
      <c r="T930" s="13">
        <v>46045</v>
      </c>
      <c r="U930" s="332"/>
      <c r="V930" s="387">
        <f>M930-Z930-AB930-AD930-AF930-AH930-AJ930-AL930-AN930-AP930-AR930-AT930-AV930-AX930-AZ930-BB930-BD930-BF930-BH930-U930</f>
        <v>-3.7999999999992724</v>
      </c>
      <c r="W930" s="22" t="s">
        <v>4514</v>
      </c>
      <c r="X930" s="16" t="s">
        <v>29</v>
      </c>
      <c r="Y930" s="9"/>
      <c r="Z930" s="332">
        <f>357.3+752.6+2988.4+2777.2+1359.5</f>
        <v>8235</v>
      </c>
      <c r="AA930" s="252">
        <v>46041</v>
      </c>
      <c r="AB930" s="332">
        <f>3492.2+3876.6</f>
        <v>7368.7999999999993</v>
      </c>
      <c r="AC930" s="252">
        <v>46041</v>
      </c>
    </row>
    <row r="931" spans="1:31" s="28" customFormat="1" ht="20.25" customHeight="1">
      <c r="A931" s="11">
        <v>46020</v>
      </c>
      <c r="B931" s="16" t="s">
        <v>4449</v>
      </c>
      <c r="C931" s="16" t="s">
        <v>267</v>
      </c>
      <c r="D931" s="16" t="s">
        <v>212</v>
      </c>
      <c r="E931" s="16" t="s">
        <v>25</v>
      </c>
      <c r="F931" s="16" t="s">
        <v>4472</v>
      </c>
      <c r="G931" s="16" t="s">
        <v>71</v>
      </c>
      <c r="H931" s="16" t="s">
        <v>31</v>
      </c>
      <c r="I931" s="16"/>
      <c r="J931" s="16" t="s">
        <v>27</v>
      </c>
      <c r="K931" s="16" t="s">
        <v>218</v>
      </c>
      <c r="L931" s="16" t="s">
        <v>35</v>
      </c>
      <c r="M931" s="17">
        <v>440</v>
      </c>
      <c r="N931" s="23">
        <v>1.29</v>
      </c>
      <c r="O931" s="16" t="s">
        <v>67</v>
      </c>
      <c r="P931" s="16" t="s">
        <v>63</v>
      </c>
      <c r="Q931" s="16" t="s">
        <v>29</v>
      </c>
      <c r="R931" s="16" t="s">
        <v>4497</v>
      </c>
      <c r="S931" s="12" t="s">
        <v>4513</v>
      </c>
      <c r="T931" s="13">
        <v>46045</v>
      </c>
      <c r="U931" s="19"/>
      <c r="V931" s="387">
        <f>M931-Z931-AB931-AD931-AF931-AH931-AJ931-AL931-AN931-AP931-AR931-AT931-AV931-AX931-AZ931-BB931-BD931-BF931-BH931-U931</f>
        <v>-1.6000000000000227</v>
      </c>
      <c r="W931" s="22" t="s">
        <v>4515</v>
      </c>
      <c r="X931" s="16" t="s">
        <v>29</v>
      </c>
      <c r="Y931" s="9"/>
      <c r="Z931" s="19">
        <f>188.7+188.8+64.1</f>
        <v>441.6</v>
      </c>
      <c r="AA931" s="252">
        <v>46041</v>
      </c>
    </row>
    <row r="932" spans="1:31" s="28" customFormat="1" ht="20.25" customHeight="1">
      <c r="A932" s="11">
        <v>46020</v>
      </c>
      <c r="B932" s="16" t="s">
        <v>4450</v>
      </c>
      <c r="C932" s="16" t="s">
        <v>267</v>
      </c>
      <c r="D932" s="16" t="s">
        <v>212</v>
      </c>
      <c r="E932" s="16" t="s">
        <v>25</v>
      </c>
      <c r="F932" s="16" t="s">
        <v>4473</v>
      </c>
      <c r="G932" s="16" t="s">
        <v>71</v>
      </c>
      <c r="H932" s="16" t="s">
        <v>26</v>
      </c>
      <c r="I932" s="16"/>
      <c r="J932" s="16" t="s">
        <v>27</v>
      </c>
      <c r="K932" s="16" t="s">
        <v>218</v>
      </c>
      <c r="L932" s="16" t="s">
        <v>35</v>
      </c>
      <c r="M932" s="17">
        <v>2325</v>
      </c>
      <c r="N932" s="23">
        <v>1.29</v>
      </c>
      <c r="O932" s="16" t="s">
        <v>67</v>
      </c>
      <c r="P932" s="16" t="s">
        <v>63</v>
      </c>
      <c r="Q932" s="16" t="s">
        <v>29</v>
      </c>
      <c r="R932" s="16" t="s">
        <v>2988</v>
      </c>
      <c r="S932" s="12" t="s">
        <v>4513</v>
      </c>
      <c r="T932" s="13">
        <v>46045</v>
      </c>
      <c r="U932" s="19"/>
      <c r="V932" s="53">
        <f>M932-Z932-AB932-AD932-AF932-AH932-AJ932-AL932-AN932-AP932-AR932-AT932-AV932-AX932-AZ932-BB932-BD932-BF932-BH932-U932</f>
        <v>-4.1999999999998181</v>
      </c>
      <c r="W932" s="22" t="s">
        <v>4516</v>
      </c>
      <c r="X932" s="16" t="s">
        <v>29</v>
      </c>
      <c r="Y932" s="9"/>
      <c r="Z932" s="19">
        <v>2329.1999999999998</v>
      </c>
      <c r="AA932" s="252">
        <v>46041</v>
      </c>
    </row>
    <row r="933" spans="1:31" s="36" customFormat="1" ht="20.25" customHeight="1">
      <c r="A933" s="7">
        <v>46020</v>
      </c>
      <c r="B933" s="19" t="s">
        <v>4451</v>
      </c>
      <c r="C933" s="19" t="s">
        <v>267</v>
      </c>
      <c r="D933" s="19" t="s">
        <v>212</v>
      </c>
      <c r="E933" s="19" t="s">
        <v>25</v>
      </c>
      <c r="F933" s="19" t="s">
        <v>4474</v>
      </c>
      <c r="G933" s="19" t="s">
        <v>71</v>
      </c>
      <c r="H933" s="19" t="s">
        <v>26</v>
      </c>
      <c r="I933" s="301"/>
      <c r="J933" s="301" t="s">
        <v>27</v>
      </c>
      <c r="K933" s="19" t="s">
        <v>1093</v>
      </c>
      <c r="L933" s="301" t="s">
        <v>35</v>
      </c>
      <c r="M933" s="20">
        <v>2485</v>
      </c>
      <c r="N933" s="25">
        <v>1.29</v>
      </c>
      <c r="O933" s="19" t="s">
        <v>67</v>
      </c>
      <c r="P933" s="19" t="s">
        <v>63</v>
      </c>
      <c r="Q933" s="19" t="s">
        <v>29</v>
      </c>
      <c r="R933" s="19" t="s">
        <v>4006</v>
      </c>
      <c r="S933" s="45" t="s">
        <v>4513</v>
      </c>
      <c r="T933" s="8">
        <v>46045</v>
      </c>
      <c r="U933" s="332"/>
      <c r="V933" s="396">
        <f>M933-Z933-AB933-AD933-AF933-AH933-AJ933-AL933-AN933-AP933-AR933-AT933-AV933-AX933-AZ933-BB933-BD933-BF933-BH933-U933</f>
        <v>-0.59999999999986642</v>
      </c>
      <c r="W933" s="15" t="s">
        <v>4517</v>
      </c>
      <c r="X933" s="19" t="s">
        <v>29</v>
      </c>
      <c r="Y933" s="10"/>
      <c r="Z933" s="332">
        <v>1077.8</v>
      </c>
      <c r="AA933" s="123">
        <v>46034</v>
      </c>
      <c r="AB933" s="332">
        <f>1328.1</f>
        <v>1328.1</v>
      </c>
      <c r="AC933" s="123">
        <v>46044</v>
      </c>
      <c r="AD933" s="332">
        <v>79.7</v>
      </c>
      <c r="AE933" s="123">
        <v>46049</v>
      </c>
    </row>
    <row r="934" spans="1:31" s="28" customFormat="1" ht="20.25" customHeight="1">
      <c r="A934" s="11">
        <v>46020</v>
      </c>
      <c r="B934" s="16" t="s">
        <v>4452</v>
      </c>
      <c r="C934" s="16" t="s">
        <v>267</v>
      </c>
      <c r="D934" s="16" t="s">
        <v>212</v>
      </c>
      <c r="E934" s="16" t="s">
        <v>25</v>
      </c>
      <c r="F934" s="16" t="s">
        <v>4475</v>
      </c>
      <c r="G934" s="16" t="s">
        <v>71</v>
      </c>
      <c r="H934" s="16" t="s">
        <v>26</v>
      </c>
      <c r="I934" s="16"/>
      <c r="J934" s="16" t="s">
        <v>27</v>
      </c>
      <c r="K934" s="16" t="s">
        <v>218</v>
      </c>
      <c r="L934" s="16" t="s">
        <v>35</v>
      </c>
      <c r="M934" s="17">
        <v>2160</v>
      </c>
      <c r="N934" s="23">
        <v>1.29</v>
      </c>
      <c r="O934" s="16" t="s">
        <v>67</v>
      </c>
      <c r="P934" s="16" t="s">
        <v>63</v>
      </c>
      <c r="Q934" s="16" t="s">
        <v>29</v>
      </c>
      <c r="R934" s="16" t="s">
        <v>4496</v>
      </c>
      <c r="S934" s="12" t="s">
        <v>4513</v>
      </c>
      <c r="T934" s="13">
        <v>46045</v>
      </c>
      <c r="U934" s="19"/>
      <c r="V934" s="387">
        <f>M934-Z934-AB934-AD934-AF934-AH934-AJ934-AL934-AN934-AP934-AR934-AT934-AV934-AX934-AZ934-BB934-BD934-BF934-BH934-U934</f>
        <v>-0.1999999999998181</v>
      </c>
      <c r="W934" s="22" t="s">
        <v>4518</v>
      </c>
      <c r="X934" s="16" t="s">
        <v>29</v>
      </c>
      <c r="Y934" s="9"/>
      <c r="Z934" s="19">
        <v>2160.1999999999998</v>
      </c>
      <c r="AA934" s="252">
        <v>46041</v>
      </c>
    </row>
    <row r="935" spans="1:31" s="36" customFormat="1" ht="20.25" customHeight="1">
      <c r="A935" s="7">
        <v>46020</v>
      </c>
      <c r="B935" s="19" t="s">
        <v>4453</v>
      </c>
      <c r="C935" s="19" t="s">
        <v>267</v>
      </c>
      <c r="D935" s="19" t="s">
        <v>212</v>
      </c>
      <c r="E935" s="19" t="s">
        <v>25</v>
      </c>
      <c r="F935" s="19" t="s">
        <v>4476</v>
      </c>
      <c r="G935" s="19" t="s">
        <v>71</v>
      </c>
      <c r="H935" s="19" t="s">
        <v>26</v>
      </c>
      <c r="I935" s="301"/>
      <c r="J935" s="301" t="s">
        <v>27</v>
      </c>
      <c r="K935" s="19" t="s">
        <v>239</v>
      </c>
      <c r="L935" s="301" t="s">
        <v>35</v>
      </c>
      <c r="M935" s="20">
        <v>2015</v>
      </c>
      <c r="N935" s="25">
        <v>1.29</v>
      </c>
      <c r="O935" s="19" t="s">
        <v>67</v>
      </c>
      <c r="P935" s="19" t="s">
        <v>63</v>
      </c>
      <c r="Q935" s="19" t="s">
        <v>29</v>
      </c>
      <c r="R935" s="19" t="s">
        <v>2988</v>
      </c>
      <c r="S935" s="45" t="s">
        <v>4513</v>
      </c>
      <c r="T935" s="8">
        <v>46045</v>
      </c>
      <c r="U935" s="19"/>
      <c r="V935" s="55">
        <f>M935-Z935-AB935-AD935-AF935-AH935-AJ935-AL935-AN935-AP935-AR935-AT935-AV935-AX935-AZ935-BB935-BD935-BF935-BH935-U935</f>
        <v>-1.4000000000000909</v>
      </c>
      <c r="W935" s="15" t="s">
        <v>4519</v>
      </c>
      <c r="X935" s="19" t="s">
        <v>29</v>
      </c>
      <c r="Y935" s="10"/>
      <c r="Z935" s="19">
        <v>656.4</v>
      </c>
      <c r="AA935" s="123">
        <v>46041</v>
      </c>
      <c r="AB935" s="19">
        <v>1360</v>
      </c>
      <c r="AC935" s="123">
        <v>46049</v>
      </c>
    </row>
    <row r="936" spans="1:31" s="36" customFormat="1" ht="20.25" customHeight="1">
      <c r="A936" s="7">
        <v>46020</v>
      </c>
      <c r="B936" s="19" t="s">
        <v>4454</v>
      </c>
      <c r="C936" s="19" t="s">
        <v>267</v>
      </c>
      <c r="D936" s="19" t="s">
        <v>212</v>
      </c>
      <c r="E936" s="19" t="s">
        <v>25</v>
      </c>
      <c r="F936" s="19" t="s">
        <v>4477</v>
      </c>
      <c r="G936" s="19" t="s">
        <v>71</v>
      </c>
      <c r="H936" s="19" t="s">
        <v>26</v>
      </c>
      <c r="I936" s="301"/>
      <c r="J936" s="301" t="s">
        <v>27</v>
      </c>
      <c r="K936" s="19" t="s">
        <v>239</v>
      </c>
      <c r="L936" s="301" t="s">
        <v>35</v>
      </c>
      <c r="M936" s="20">
        <v>6600</v>
      </c>
      <c r="N936" s="25">
        <v>1.29</v>
      </c>
      <c r="O936" s="19" t="s">
        <v>67</v>
      </c>
      <c r="P936" s="19" t="s">
        <v>63</v>
      </c>
      <c r="Q936" s="19" t="s">
        <v>29</v>
      </c>
      <c r="R936" s="19" t="s">
        <v>4498</v>
      </c>
      <c r="S936" s="45" t="s">
        <v>4513</v>
      </c>
      <c r="T936" s="8">
        <v>46045</v>
      </c>
      <c r="U936" s="19"/>
      <c r="V936" s="396">
        <f>M936-Z936-AB936-AD936-AF936-AH936-AJ936-AL936-AN936-AP936-AR936-AT936-AV936-AX936-AZ936-BB936-BD936-BF936-BH936-U936</f>
        <v>-1.6000000000003638</v>
      </c>
      <c r="W936" s="15" t="s">
        <v>4520</v>
      </c>
      <c r="X936" s="19" t="s">
        <v>29</v>
      </c>
      <c r="Y936" s="10"/>
      <c r="Z936" s="19">
        <f>1757+3866+978.6</f>
        <v>6601.6</v>
      </c>
      <c r="AA936" s="123">
        <v>46049</v>
      </c>
    </row>
    <row r="937" spans="1:31" s="28" customFormat="1" ht="20.25" customHeight="1">
      <c r="A937" s="11">
        <v>46020</v>
      </c>
      <c r="B937" s="16" t="s">
        <v>4455</v>
      </c>
      <c r="C937" s="16" t="s">
        <v>267</v>
      </c>
      <c r="D937" s="16" t="s">
        <v>212</v>
      </c>
      <c r="E937" s="16" t="s">
        <v>25</v>
      </c>
      <c r="F937" s="16" t="s">
        <v>4478</v>
      </c>
      <c r="G937" s="16" t="s">
        <v>71</v>
      </c>
      <c r="H937" s="16" t="s">
        <v>31</v>
      </c>
      <c r="I937" s="16"/>
      <c r="J937" s="16" t="s">
        <v>27</v>
      </c>
      <c r="K937" s="16" t="s">
        <v>239</v>
      </c>
      <c r="L937" s="16" t="s">
        <v>35</v>
      </c>
      <c r="M937" s="17">
        <v>310</v>
      </c>
      <c r="N937" s="23">
        <v>1.29</v>
      </c>
      <c r="O937" s="16" t="s">
        <v>67</v>
      </c>
      <c r="P937" s="16" t="s">
        <v>63</v>
      </c>
      <c r="Q937" s="16" t="s">
        <v>29</v>
      </c>
      <c r="R937" s="16" t="s">
        <v>4497</v>
      </c>
      <c r="S937" s="12" t="s">
        <v>4513</v>
      </c>
      <c r="T937" s="13">
        <v>46045</v>
      </c>
      <c r="U937" s="19"/>
      <c r="V937" s="387">
        <f>M937-Z937-AB937-AD937-AF937-AH937-AJ937-AL937-AN937-AP937-AR937-AT937-AV937-AX937-AZ937-BB937-BD937-BF937-BH937-U937</f>
        <v>-0.60000000000002274</v>
      </c>
      <c r="W937" s="22" t="s">
        <v>4521</v>
      </c>
      <c r="X937" s="16" t="s">
        <v>29</v>
      </c>
      <c r="Y937" s="9"/>
      <c r="Z937" s="19">
        <v>310.60000000000002</v>
      </c>
      <c r="AA937" s="252">
        <v>46041</v>
      </c>
    </row>
    <row r="938" spans="1:31" s="36" customFormat="1" ht="20.25" customHeight="1">
      <c r="A938" s="7">
        <v>46020</v>
      </c>
      <c r="B938" s="19" t="s">
        <v>4456</v>
      </c>
      <c r="C938" s="19" t="s">
        <v>267</v>
      </c>
      <c r="D938" s="19" t="s">
        <v>212</v>
      </c>
      <c r="E938" s="19" t="s">
        <v>25</v>
      </c>
      <c r="F938" s="19" t="s">
        <v>4479</v>
      </c>
      <c r="G938" s="19" t="s">
        <v>71</v>
      </c>
      <c r="H938" s="19" t="s">
        <v>26</v>
      </c>
      <c r="I938" s="301"/>
      <c r="J938" s="301" t="s">
        <v>27</v>
      </c>
      <c r="K938" s="19" t="s">
        <v>239</v>
      </c>
      <c r="L938" s="301" t="s">
        <v>35</v>
      </c>
      <c r="M938" s="20">
        <v>11350</v>
      </c>
      <c r="N938" s="25">
        <v>1.29</v>
      </c>
      <c r="O938" s="19" t="s">
        <v>67</v>
      </c>
      <c r="P938" s="19" t="s">
        <v>63</v>
      </c>
      <c r="Q938" s="19" t="s">
        <v>29</v>
      </c>
      <c r="R938" s="19" t="s">
        <v>4499</v>
      </c>
      <c r="S938" s="45" t="s">
        <v>4513</v>
      </c>
      <c r="T938" s="8">
        <v>46045</v>
      </c>
      <c r="U938" s="19"/>
      <c r="V938" s="396">
        <f>M938-Z938-AB938-AD938-AF938-AH938-AJ938-AL938-AN938-AP938-AR938-AT938-AV938-AX938-AZ938-BB938-BD938-BF938-BH938-U938</f>
        <v>-1</v>
      </c>
      <c r="W938" s="15" t="s">
        <v>4522</v>
      </c>
      <c r="X938" s="19" t="s">
        <v>29</v>
      </c>
      <c r="Y938" s="10"/>
      <c r="Z938" s="19">
        <f>2235.8+3204+576.7+2879.9+2336.1+118.5</f>
        <v>11351</v>
      </c>
      <c r="AA938" s="123">
        <v>46044</v>
      </c>
    </row>
    <row r="939" spans="1:31" s="28" customFormat="1" ht="20.25" customHeight="1">
      <c r="A939" s="11">
        <v>46020</v>
      </c>
      <c r="B939" s="16" t="s">
        <v>4457</v>
      </c>
      <c r="C939" s="16" t="s">
        <v>267</v>
      </c>
      <c r="D939" s="16" t="s">
        <v>212</v>
      </c>
      <c r="E939" s="16" t="s">
        <v>25</v>
      </c>
      <c r="F939" s="16" t="s">
        <v>4480</v>
      </c>
      <c r="G939" s="16" t="s">
        <v>71</v>
      </c>
      <c r="H939" s="16" t="s">
        <v>31</v>
      </c>
      <c r="I939" s="1"/>
      <c r="J939" s="1" t="s">
        <v>27</v>
      </c>
      <c r="K939" s="16" t="s">
        <v>239</v>
      </c>
      <c r="L939" s="1" t="s">
        <v>35</v>
      </c>
      <c r="M939" s="17">
        <v>125</v>
      </c>
      <c r="N939" s="23">
        <v>1.29</v>
      </c>
      <c r="O939" s="16" t="s">
        <v>67</v>
      </c>
      <c r="P939" s="16" t="s">
        <v>63</v>
      </c>
      <c r="Q939" s="16" t="s">
        <v>29</v>
      </c>
      <c r="R939" s="16" t="s">
        <v>4497</v>
      </c>
      <c r="S939" s="12" t="s">
        <v>4513</v>
      </c>
      <c r="T939" s="13">
        <v>46045</v>
      </c>
      <c r="U939" s="332"/>
      <c r="V939" s="387">
        <f>M939-Z939-AB939-AD939-AF939-AH939-AJ939-AL939-AN939-AP939-AR939-AT939-AV939-AX939-AZ939-BB939-BD939-BF939-BH939-U939</f>
        <v>-2.0999999999999943</v>
      </c>
      <c r="W939" s="22" t="s">
        <v>4523</v>
      </c>
      <c r="X939" s="16" t="s">
        <v>29</v>
      </c>
      <c r="Y939" s="9"/>
      <c r="Z939" s="332">
        <v>127.1</v>
      </c>
      <c r="AA939" s="252">
        <v>46034</v>
      </c>
    </row>
    <row r="940" spans="1:31" s="36" customFormat="1" ht="20.25" customHeight="1">
      <c r="A940" s="7">
        <v>46020</v>
      </c>
      <c r="B940" s="19" t="s">
        <v>4458</v>
      </c>
      <c r="C940" s="19" t="s">
        <v>267</v>
      </c>
      <c r="D940" s="19" t="s">
        <v>212</v>
      </c>
      <c r="E940" s="19" t="s">
        <v>25</v>
      </c>
      <c r="F940" s="19" t="s">
        <v>4481</v>
      </c>
      <c r="G940" s="19" t="s">
        <v>71</v>
      </c>
      <c r="H940" s="19" t="s">
        <v>26</v>
      </c>
      <c r="I940" s="301"/>
      <c r="J940" s="301" t="s">
        <v>27</v>
      </c>
      <c r="K940" s="19" t="s">
        <v>1414</v>
      </c>
      <c r="L940" s="301" t="s">
        <v>35</v>
      </c>
      <c r="M940" s="20">
        <v>1000</v>
      </c>
      <c r="N940" s="25">
        <v>1.29</v>
      </c>
      <c r="O940" s="19" t="s">
        <v>67</v>
      </c>
      <c r="P940" s="19" t="s">
        <v>63</v>
      </c>
      <c r="Q940" s="19" t="s">
        <v>29</v>
      </c>
      <c r="R940" s="19" t="s">
        <v>4006</v>
      </c>
      <c r="S940" s="45" t="s">
        <v>4513</v>
      </c>
      <c r="T940" s="8">
        <v>46045</v>
      </c>
      <c r="U940" s="19"/>
      <c r="V940" s="396">
        <f>M940-Z940-AB940-AD940-AF940-AH940-AJ940-AL940-AN940-AP940-AR940-AT940-AV940-AX940-AZ940-BB940-BD940-BF940-BH940-U940</f>
        <v>-1.2999999999999972</v>
      </c>
      <c r="W940" s="15" t="s">
        <v>4524</v>
      </c>
      <c r="X940" s="19" t="s">
        <v>29</v>
      </c>
      <c r="Y940" s="10"/>
      <c r="Z940" s="19">
        <v>906.5</v>
      </c>
      <c r="AA940" s="123">
        <v>46044</v>
      </c>
      <c r="AB940" s="19">
        <v>94.8</v>
      </c>
      <c r="AC940" s="123">
        <v>46049</v>
      </c>
    </row>
    <row r="941" spans="1:31" s="28" customFormat="1" ht="20.25" customHeight="1">
      <c r="A941" s="11">
        <v>46020</v>
      </c>
      <c r="B941" s="16" t="s">
        <v>4459</v>
      </c>
      <c r="C941" s="16" t="s">
        <v>400</v>
      </c>
      <c r="D941" s="16" t="s">
        <v>212</v>
      </c>
      <c r="E941" s="16" t="s">
        <v>25</v>
      </c>
      <c r="F941" s="16" t="s">
        <v>4482</v>
      </c>
      <c r="G941" s="16" t="s">
        <v>71</v>
      </c>
      <c r="H941" s="16" t="s">
        <v>26</v>
      </c>
      <c r="I941" s="16"/>
      <c r="J941" s="16" t="s">
        <v>27</v>
      </c>
      <c r="K941" s="16" t="s">
        <v>1012</v>
      </c>
      <c r="L941" s="16" t="s">
        <v>35</v>
      </c>
      <c r="M941" s="17">
        <v>37.19</v>
      </c>
      <c r="N941" s="23">
        <v>1.29</v>
      </c>
      <c r="O941" s="16" t="s">
        <v>67</v>
      </c>
      <c r="P941" s="16" t="s">
        <v>63</v>
      </c>
      <c r="Q941" s="16" t="s">
        <v>725</v>
      </c>
      <c r="R941" s="16" t="s">
        <v>4500</v>
      </c>
      <c r="S941" s="12" t="s">
        <v>4431</v>
      </c>
      <c r="T941" s="13">
        <v>46041</v>
      </c>
      <c r="U941" s="19"/>
      <c r="V941" s="53">
        <f>M941-Z941-AB941-AD941-AF941-AH941-AJ941-AL941-AN941-AP941-AR941-AT941-AV941-AX941-AZ941-BB941-BD941-BF941-BH941-U941</f>
        <v>-1.0100000000000051</v>
      </c>
      <c r="W941" s="22" t="s">
        <v>4525</v>
      </c>
      <c r="X941" s="16" t="s">
        <v>29</v>
      </c>
      <c r="Y941" s="9"/>
      <c r="Z941" s="19">
        <v>38.200000000000003</v>
      </c>
      <c r="AA941" s="252">
        <v>46049</v>
      </c>
    </row>
    <row r="942" spans="1:31" s="28" customFormat="1" ht="20.25" customHeight="1">
      <c r="A942" s="11">
        <v>46020</v>
      </c>
      <c r="B942" s="16" t="s">
        <v>4459</v>
      </c>
      <c r="C942" s="16" t="s">
        <v>400</v>
      </c>
      <c r="D942" s="16" t="s">
        <v>212</v>
      </c>
      <c r="E942" s="16" t="s">
        <v>25</v>
      </c>
      <c r="F942" s="16" t="s">
        <v>4482</v>
      </c>
      <c r="G942" s="16" t="s">
        <v>71</v>
      </c>
      <c r="H942" s="16" t="s">
        <v>26</v>
      </c>
      <c r="I942" s="16"/>
      <c r="J942" s="16" t="s">
        <v>27</v>
      </c>
      <c r="K942" s="16" t="s">
        <v>218</v>
      </c>
      <c r="L942" s="16" t="s">
        <v>35</v>
      </c>
      <c r="M942" s="17">
        <v>49.47</v>
      </c>
      <c r="N942" s="23">
        <v>1.29</v>
      </c>
      <c r="O942" s="16" t="s">
        <v>67</v>
      </c>
      <c r="P942" s="16" t="s">
        <v>63</v>
      </c>
      <c r="Q942" s="16" t="s">
        <v>725</v>
      </c>
      <c r="R942" s="16" t="s">
        <v>4501</v>
      </c>
      <c r="S942" s="12" t="s">
        <v>4431</v>
      </c>
      <c r="T942" s="13">
        <v>46041</v>
      </c>
      <c r="U942" s="19"/>
      <c r="V942" s="53">
        <f>M942-Z942-AB942-AD942-AF942-AH942-AJ942-AL942-AN942-AP942-AR942-AT942-AV942-AX942-AZ942-BB942-BD942-BF942-BH942-U942</f>
        <v>-0.53000000000000114</v>
      </c>
      <c r="W942" s="22" t="s">
        <v>4526</v>
      </c>
      <c r="X942" s="16" t="s">
        <v>29</v>
      </c>
      <c r="Y942" s="9"/>
      <c r="Z942" s="19">
        <v>50</v>
      </c>
      <c r="AA942" s="252">
        <v>46041</v>
      </c>
    </row>
    <row r="943" spans="1:31" s="28" customFormat="1" ht="20.25" customHeight="1">
      <c r="A943" s="11">
        <v>46020</v>
      </c>
      <c r="B943" s="16" t="s">
        <v>4459</v>
      </c>
      <c r="C943" s="16" t="s">
        <v>400</v>
      </c>
      <c r="D943" s="16" t="s">
        <v>212</v>
      </c>
      <c r="E943" s="16" t="s">
        <v>25</v>
      </c>
      <c r="F943" s="16" t="s">
        <v>4482</v>
      </c>
      <c r="G943" s="16" t="s">
        <v>71</v>
      </c>
      <c r="H943" s="16" t="s">
        <v>26</v>
      </c>
      <c r="I943" s="16"/>
      <c r="J943" s="16" t="s">
        <v>27</v>
      </c>
      <c r="K943" s="16" t="s">
        <v>218</v>
      </c>
      <c r="L943" s="16" t="s">
        <v>35</v>
      </c>
      <c r="M943" s="17">
        <v>20.100000000000001</v>
      </c>
      <c r="N943" s="23">
        <v>1.29</v>
      </c>
      <c r="O943" s="16" t="s">
        <v>67</v>
      </c>
      <c r="P943" s="16" t="s">
        <v>63</v>
      </c>
      <c r="Q943" s="16" t="s">
        <v>725</v>
      </c>
      <c r="R943" s="16" t="s">
        <v>1425</v>
      </c>
      <c r="S943" s="12" t="s">
        <v>4431</v>
      </c>
      <c r="T943" s="13">
        <v>46041</v>
      </c>
      <c r="U943" s="19"/>
      <c r="V943" s="53">
        <f>M943-Z943-AB943-AD943-AF943-AH943-AJ943-AL943-AN943-AP943-AR943-AT943-AV943-AX943-AZ943-BB943-BD943-BF943-BH943-U943</f>
        <v>-0.39999999999999858</v>
      </c>
      <c r="W943" s="22" t="s">
        <v>4527</v>
      </c>
      <c r="X943" s="16" t="s">
        <v>29</v>
      </c>
      <c r="Y943" s="9"/>
      <c r="Z943" s="19">
        <v>20.5</v>
      </c>
      <c r="AA943" s="252">
        <v>46041</v>
      </c>
    </row>
    <row r="944" spans="1:31" s="36" customFormat="1" ht="20.25" customHeight="1">
      <c r="A944" s="7">
        <v>46020</v>
      </c>
      <c r="B944" s="19" t="s">
        <v>4460</v>
      </c>
      <c r="C944" s="19" t="s">
        <v>400</v>
      </c>
      <c r="D944" s="19" t="s">
        <v>212</v>
      </c>
      <c r="E944" s="19" t="s">
        <v>25</v>
      </c>
      <c r="F944" s="19" t="s">
        <v>4483</v>
      </c>
      <c r="G944" s="19" t="s">
        <v>71</v>
      </c>
      <c r="H944" s="19" t="s">
        <v>31</v>
      </c>
      <c r="I944" s="19"/>
      <c r="J944" s="19" t="s">
        <v>27</v>
      </c>
      <c r="K944" s="19" t="s">
        <v>529</v>
      </c>
      <c r="L944" s="19" t="s">
        <v>35</v>
      </c>
      <c r="M944" s="20">
        <v>13937.86</v>
      </c>
      <c r="N944" s="25">
        <v>1.29</v>
      </c>
      <c r="O944" s="19" t="s">
        <v>67</v>
      </c>
      <c r="P944" s="19" t="s">
        <v>63</v>
      </c>
      <c r="Q944" s="19" t="s">
        <v>2494</v>
      </c>
      <c r="R944" s="19" t="s">
        <v>4502</v>
      </c>
      <c r="S944" s="45" t="s">
        <v>4513</v>
      </c>
      <c r="T944" s="8">
        <v>46059</v>
      </c>
      <c r="U944" s="19"/>
      <c r="V944" s="55">
        <f>M944-Z944-AB944-AD944-AF944-AH944-AJ944-AL944-AN944-AP944-AR944-AT944-AV944-AX944-AZ944-BB944-BD944-BF944-BH944-U944</f>
        <v>-0.43999999999869033</v>
      </c>
      <c r="W944" s="15" t="s">
        <v>4528</v>
      </c>
      <c r="X944" s="8">
        <v>46066</v>
      </c>
      <c r="Y944" s="10"/>
      <c r="Z944" s="19">
        <f>1520.1+3313.2+1373+1282</f>
        <v>7488.2999999999993</v>
      </c>
      <c r="AA944" s="123">
        <v>46056</v>
      </c>
      <c r="AB944" s="19">
        <f>2860.1+862.6+1087.8+22.5</f>
        <v>4833</v>
      </c>
      <c r="AC944" s="123">
        <v>46066</v>
      </c>
      <c r="AD944" s="19">
        <v>1617</v>
      </c>
      <c r="AE944" s="123">
        <v>46077</v>
      </c>
    </row>
    <row r="945" spans="1:49" s="36" customFormat="1" ht="20.25" customHeight="1">
      <c r="A945" s="7">
        <v>46020</v>
      </c>
      <c r="B945" s="19" t="s">
        <v>4461</v>
      </c>
      <c r="C945" s="19" t="s">
        <v>1568</v>
      </c>
      <c r="D945" s="19" t="s">
        <v>212</v>
      </c>
      <c r="E945" s="19" t="s">
        <v>25</v>
      </c>
      <c r="F945" s="19" t="s">
        <v>4484</v>
      </c>
      <c r="G945" s="19" t="s">
        <v>71</v>
      </c>
      <c r="H945" s="19" t="s">
        <v>26</v>
      </c>
      <c r="I945" s="270"/>
      <c r="J945" s="270" t="s">
        <v>27</v>
      </c>
      <c r="K945" s="19" t="s">
        <v>218</v>
      </c>
      <c r="L945" s="270" t="s">
        <v>35</v>
      </c>
      <c r="M945" s="20">
        <v>79843</v>
      </c>
      <c r="N945" s="25">
        <v>1.29</v>
      </c>
      <c r="O945" s="19" t="s">
        <v>67</v>
      </c>
      <c r="P945" s="19" t="s">
        <v>63</v>
      </c>
      <c r="Q945" s="19" t="s">
        <v>29</v>
      </c>
      <c r="R945" s="19" t="s">
        <v>4503</v>
      </c>
      <c r="S945" s="45" t="s">
        <v>4513</v>
      </c>
      <c r="T945" s="8">
        <v>46045</v>
      </c>
      <c r="U945" s="19"/>
      <c r="V945" s="55">
        <f>M945-Z945-AB945-AD945-AF945-AH945-AJ945-AL945-AN945-AP945-AR945-AT945-AV945-AX945-AZ945-BB945-BD945-BF945-BH945-U945</f>
        <v>-1.0000000000050022</v>
      </c>
      <c r="W945" s="15" t="s">
        <v>4529</v>
      </c>
      <c r="X945" s="19" t="s">
        <v>5201</v>
      </c>
      <c r="Y945" s="10"/>
      <c r="Z945" s="19">
        <f>1113.2+2580</f>
        <v>3693.2</v>
      </c>
      <c r="AA945" s="123">
        <v>46037</v>
      </c>
      <c r="AB945" s="19">
        <f>3809.1+4747.7</f>
        <v>8556.7999999999993</v>
      </c>
      <c r="AC945" s="123">
        <v>46043</v>
      </c>
      <c r="AD945" s="19">
        <f>438+142.2+548.2+3353.7+4111.8+4029.6+2587.8+1295.7+1540.7+2322</f>
        <v>20369.700000000004</v>
      </c>
      <c r="AE945" s="123">
        <v>46048</v>
      </c>
      <c r="AF945" s="19">
        <f>1603.5+2922.2+3303+3236.2+2521.6+3883.2</f>
        <v>17469.7</v>
      </c>
      <c r="AG945" s="123">
        <v>46055</v>
      </c>
      <c r="AH945" s="19">
        <f>3608.8+1356.9+383.9+2680.5+3681+4450.2+2129.8+845.4</f>
        <v>19136.5</v>
      </c>
      <c r="AI945" s="123">
        <v>46062</v>
      </c>
      <c r="AJ945" s="19">
        <f>417.5+3719+3930.2</f>
        <v>8066.7</v>
      </c>
      <c r="AK945" s="123">
        <v>46066</v>
      </c>
      <c r="AL945" s="19">
        <v>2551.4</v>
      </c>
      <c r="AM945" s="123">
        <v>46073</v>
      </c>
    </row>
    <row r="946" spans="1:49" s="122" customFormat="1" ht="20.25" customHeight="1">
      <c r="A946" s="300">
        <v>46020</v>
      </c>
      <c r="B946" s="301" t="s">
        <v>4461</v>
      </c>
      <c r="C946" s="301" t="s">
        <v>1568</v>
      </c>
      <c r="D946" s="301" t="s">
        <v>212</v>
      </c>
      <c r="E946" s="301" t="s">
        <v>25</v>
      </c>
      <c r="F946" s="301" t="s">
        <v>4484</v>
      </c>
      <c r="G946" s="301" t="s">
        <v>71</v>
      </c>
      <c r="H946" s="301" t="s">
        <v>26</v>
      </c>
      <c r="I946" s="301"/>
      <c r="J946" s="301" t="s">
        <v>27</v>
      </c>
      <c r="K946" s="301" t="s">
        <v>1012</v>
      </c>
      <c r="L946" s="301" t="s">
        <v>35</v>
      </c>
      <c r="M946" s="302">
        <v>28639</v>
      </c>
      <c r="N946" s="303">
        <v>1.29</v>
      </c>
      <c r="O946" s="301" t="s">
        <v>67</v>
      </c>
      <c r="P946" s="301" t="s">
        <v>63</v>
      </c>
      <c r="Q946" s="301" t="s">
        <v>29</v>
      </c>
      <c r="R946" s="301" t="s">
        <v>4504</v>
      </c>
      <c r="S946" s="304" t="s">
        <v>4513</v>
      </c>
      <c r="T946" s="305">
        <v>46045</v>
      </c>
      <c r="U946" s="301"/>
      <c r="V946" s="306">
        <f>M946-Z946-AB946-AD946-AF946-AH946-AJ946-AL946-AN946-AP946-AR946-AT946-AV946-AX946-AZ946-BB946-BD946-BF946-BH946-U946</f>
        <v>-1.2999999999975671</v>
      </c>
      <c r="W946" s="307" t="s">
        <v>4530</v>
      </c>
      <c r="X946" s="301" t="s">
        <v>5201</v>
      </c>
      <c r="Y946" s="335"/>
      <c r="Z946" s="301">
        <v>166.1</v>
      </c>
      <c r="AA946" s="312">
        <v>46055</v>
      </c>
      <c r="AB946" s="301">
        <f>674.1+1348+872+450+626.7</f>
        <v>3970.8</v>
      </c>
      <c r="AC946" s="312">
        <v>46059</v>
      </c>
      <c r="AD946" s="301">
        <v>1948</v>
      </c>
      <c r="AE946" s="312">
        <v>46062</v>
      </c>
      <c r="AF946" s="301">
        <v>2398.6</v>
      </c>
      <c r="AG946" s="312">
        <v>46063</v>
      </c>
      <c r="AH946" s="19">
        <v>2260.4</v>
      </c>
      <c r="AI946" s="312">
        <v>46066</v>
      </c>
      <c r="AJ946" s="19">
        <v>4106.3</v>
      </c>
      <c r="AK946" s="312">
        <v>46073</v>
      </c>
      <c r="AL946" s="19">
        <v>2001.1</v>
      </c>
      <c r="AM946" s="312">
        <v>46078</v>
      </c>
      <c r="AN946" s="19">
        <f>1945.3+385.7+4288.8</f>
        <v>6619.8</v>
      </c>
      <c r="AO946" s="312">
        <v>46084</v>
      </c>
      <c r="AP946" s="315">
        <v>1860.4</v>
      </c>
      <c r="AQ946" s="312">
        <v>46091</v>
      </c>
      <c r="AR946" s="301">
        <v>1974.6</v>
      </c>
      <c r="AS946" s="312">
        <v>46094</v>
      </c>
      <c r="AT946" s="301">
        <v>374.8</v>
      </c>
      <c r="AU946" s="312">
        <v>46111</v>
      </c>
      <c r="AV946" s="301">
        <f>264.9+694.5</f>
        <v>959.4</v>
      </c>
      <c r="AW946" s="312">
        <v>46118</v>
      </c>
    </row>
    <row r="947" spans="1:49" s="28" customFormat="1" ht="20.25" customHeight="1">
      <c r="A947" s="11">
        <v>46020</v>
      </c>
      <c r="B947" s="16" t="s">
        <v>4461</v>
      </c>
      <c r="C947" s="16" t="s">
        <v>1568</v>
      </c>
      <c r="D947" s="16" t="s">
        <v>212</v>
      </c>
      <c r="E947" s="16" t="s">
        <v>25</v>
      </c>
      <c r="F947" s="16" t="s">
        <v>4484</v>
      </c>
      <c r="G947" s="16" t="s">
        <v>71</v>
      </c>
      <c r="H947" s="16" t="s">
        <v>31</v>
      </c>
      <c r="I947" s="16"/>
      <c r="J947" s="16" t="s">
        <v>27</v>
      </c>
      <c r="K947" s="16" t="s">
        <v>1012</v>
      </c>
      <c r="L947" s="16" t="s">
        <v>35</v>
      </c>
      <c r="M947" s="17">
        <v>1929</v>
      </c>
      <c r="N947" s="23">
        <v>1.29</v>
      </c>
      <c r="O947" s="16" t="s">
        <v>67</v>
      </c>
      <c r="P947" s="16" t="s">
        <v>63</v>
      </c>
      <c r="Q947" s="16" t="s">
        <v>29</v>
      </c>
      <c r="R947" s="16" t="s">
        <v>4014</v>
      </c>
      <c r="S947" s="12" t="s">
        <v>4513</v>
      </c>
      <c r="T947" s="13">
        <v>46045</v>
      </c>
      <c r="U947" s="19"/>
      <c r="V947" s="53">
        <f>M947-Z947-AB947-AD947-AF947-AH947-AJ947-AL947-AN947-AP947-AR947-AT947-AV947-AX947-AZ947-BB947-BD947-BF947-BH947-U947</f>
        <v>-1.2000000000000455</v>
      </c>
      <c r="W947" s="22" t="s">
        <v>4531</v>
      </c>
      <c r="X947" s="16" t="s">
        <v>29</v>
      </c>
      <c r="Y947" s="9"/>
      <c r="Z947" s="19">
        <v>1930.2</v>
      </c>
      <c r="AA947" s="252">
        <v>46048</v>
      </c>
    </row>
    <row r="948" spans="1:49" s="28" customFormat="1" ht="20.25" customHeight="1">
      <c r="A948" s="11">
        <v>46020</v>
      </c>
      <c r="B948" s="16" t="s">
        <v>4461</v>
      </c>
      <c r="C948" s="16" t="s">
        <v>1568</v>
      </c>
      <c r="D948" s="16" t="s">
        <v>212</v>
      </c>
      <c r="E948" s="16" t="s">
        <v>25</v>
      </c>
      <c r="F948" s="16" t="s">
        <v>4484</v>
      </c>
      <c r="G948" s="16" t="s">
        <v>71</v>
      </c>
      <c r="H948" s="16" t="s">
        <v>31</v>
      </c>
      <c r="I948" s="16"/>
      <c r="J948" s="16" t="s">
        <v>27</v>
      </c>
      <c r="K948" s="16" t="s">
        <v>218</v>
      </c>
      <c r="L948" s="16" t="s">
        <v>35</v>
      </c>
      <c r="M948" s="17">
        <v>1294</v>
      </c>
      <c r="N948" s="23">
        <v>1.29</v>
      </c>
      <c r="O948" s="16" t="s">
        <v>67</v>
      </c>
      <c r="P948" s="16" t="s">
        <v>63</v>
      </c>
      <c r="Q948" s="16" t="s">
        <v>29</v>
      </c>
      <c r="R948" s="16" t="s">
        <v>4505</v>
      </c>
      <c r="S948" s="12" t="s">
        <v>4513</v>
      </c>
      <c r="T948" s="13">
        <v>46045</v>
      </c>
      <c r="U948" s="19"/>
      <c r="V948" s="53">
        <f>M948-Z948-AB948-AD948-AF948-AH948-AJ948-AL948-AN948-AP948-AR948-AT948-AV948-AX948-AZ948-BB948-BD948-BF948-BH948-U948</f>
        <v>-1</v>
      </c>
      <c r="W948" s="22" t="s">
        <v>4532</v>
      </c>
      <c r="X948" s="16" t="s">
        <v>29</v>
      </c>
      <c r="Y948" s="9"/>
      <c r="Z948" s="19">
        <v>1295</v>
      </c>
      <c r="AA948" s="252">
        <v>46034</v>
      </c>
    </row>
    <row r="949" spans="1:49" s="36" customFormat="1" ht="20.25" customHeight="1">
      <c r="A949" s="7">
        <v>46020</v>
      </c>
      <c r="B949" s="19" t="s">
        <v>4462</v>
      </c>
      <c r="C949" s="19" t="s">
        <v>228</v>
      </c>
      <c r="D949" s="19" t="s">
        <v>212</v>
      </c>
      <c r="E949" s="19" t="s">
        <v>25</v>
      </c>
      <c r="F949" s="19" t="s">
        <v>4485</v>
      </c>
      <c r="G949" s="19" t="s">
        <v>71</v>
      </c>
      <c r="H949" s="19" t="s">
        <v>31</v>
      </c>
      <c r="I949" s="270"/>
      <c r="J949" s="270" t="s">
        <v>27</v>
      </c>
      <c r="K949" s="19" t="s">
        <v>913</v>
      </c>
      <c r="L949" s="270" t="s">
        <v>35</v>
      </c>
      <c r="M949" s="20">
        <v>3031.82</v>
      </c>
      <c r="N949" s="25">
        <v>1.29</v>
      </c>
      <c r="O949" s="19" t="s">
        <v>4094</v>
      </c>
      <c r="P949" s="19" t="s">
        <v>63</v>
      </c>
      <c r="Q949" s="19" t="s">
        <v>4506</v>
      </c>
      <c r="R949" s="19" t="s">
        <v>4507</v>
      </c>
      <c r="S949" s="45" t="s">
        <v>4513</v>
      </c>
      <c r="T949" s="8">
        <v>46037</v>
      </c>
      <c r="U949" s="19"/>
      <c r="V949" s="55">
        <f>M949-Z949-AB949-AD949-AF949-AH949-AJ949-AL949-AN949-AP949-AR949-AT949-AV949-AX949-AZ949-BB949-BD949-BF949-BH949-U949</f>
        <v>-0.27999999999974534</v>
      </c>
      <c r="W949" s="15" t="s">
        <v>4533</v>
      </c>
      <c r="X949" s="19" t="s">
        <v>29</v>
      </c>
      <c r="Y949" s="10"/>
      <c r="Z949" s="19">
        <f>1342.6+1689.5</f>
        <v>3032.1</v>
      </c>
      <c r="AA949" s="123">
        <v>46036</v>
      </c>
    </row>
    <row r="950" spans="1:49" s="36" customFormat="1" ht="20.25" customHeight="1">
      <c r="A950" s="7">
        <v>46020</v>
      </c>
      <c r="B950" s="19" t="s">
        <v>4463</v>
      </c>
      <c r="C950" s="19" t="s">
        <v>228</v>
      </c>
      <c r="D950" s="19" t="s">
        <v>212</v>
      </c>
      <c r="E950" s="19" t="s">
        <v>25</v>
      </c>
      <c r="F950" s="19" t="s">
        <v>4486</v>
      </c>
      <c r="G950" s="19" t="s">
        <v>71</v>
      </c>
      <c r="H950" s="19" t="s">
        <v>31</v>
      </c>
      <c r="I950" s="301"/>
      <c r="J950" s="301" t="s">
        <v>27</v>
      </c>
      <c r="K950" s="19" t="s">
        <v>255</v>
      </c>
      <c r="L950" s="301" t="s">
        <v>35</v>
      </c>
      <c r="M950" s="20">
        <v>821.82</v>
      </c>
      <c r="N950" s="25">
        <v>1.29</v>
      </c>
      <c r="O950" s="19" t="s">
        <v>67</v>
      </c>
      <c r="P950" s="19" t="s">
        <v>63</v>
      </c>
      <c r="Q950" s="19" t="s">
        <v>4508</v>
      </c>
      <c r="R950" s="19" t="s">
        <v>3686</v>
      </c>
      <c r="S950" s="45" t="s">
        <v>4431</v>
      </c>
      <c r="T950" s="8">
        <v>46041</v>
      </c>
      <c r="U950" s="19"/>
      <c r="V950" s="55">
        <f>M950-Z950-AB950-AD950-AF950-AH950-AJ950-AL950-AN950-AP950-AR950-AT950-AV950-AX950-AZ950-BB950-BD950-BF950-BH950-U950</f>
        <v>-3.0799999999999272</v>
      </c>
      <c r="W950" s="15" t="s">
        <v>4534</v>
      </c>
      <c r="X950" s="19" t="s">
        <v>29</v>
      </c>
      <c r="Y950" s="10"/>
      <c r="Z950" s="19">
        <f>235+589.9</f>
        <v>824.9</v>
      </c>
      <c r="AA950" s="123">
        <v>46042</v>
      </c>
    </row>
    <row r="951" spans="1:49" s="282" customFormat="1" ht="20.25" customHeight="1">
      <c r="A951" s="272">
        <v>46020</v>
      </c>
      <c r="B951" s="273" t="s">
        <v>4464</v>
      </c>
      <c r="C951" s="273" t="s">
        <v>382</v>
      </c>
      <c r="D951" s="273" t="s">
        <v>212</v>
      </c>
      <c r="E951" s="273" t="s">
        <v>25</v>
      </c>
      <c r="F951" s="273" t="s">
        <v>4487</v>
      </c>
      <c r="G951" s="273" t="s">
        <v>71</v>
      </c>
      <c r="H951" s="273" t="s">
        <v>31</v>
      </c>
      <c r="I951" s="273"/>
      <c r="J951" s="273" t="s">
        <v>27</v>
      </c>
      <c r="K951" s="273" t="s">
        <v>3482</v>
      </c>
      <c r="L951" s="273" t="s">
        <v>35</v>
      </c>
      <c r="M951" s="274"/>
      <c r="N951" s="275">
        <v>1.29</v>
      </c>
      <c r="O951" s="273" t="s">
        <v>67</v>
      </c>
      <c r="P951" s="273" t="s">
        <v>63</v>
      </c>
      <c r="Q951" s="273" t="s">
        <v>4509</v>
      </c>
      <c r="R951" s="273" t="s">
        <v>4510</v>
      </c>
      <c r="S951" s="276" t="s">
        <v>4431</v>
      </c>
      <c r="T951" s="277">
        <v>46041</v>
      </c>
      <c r="U951" s="278"/>
      <c r="V951" s="279">
        <f>M951-Z951-AB951-AD951-AF951-AH951-AJ951-AL951-AN951-AP951-AR951-AT951-AV951-AX951-AZ951-BB951-BD951-BF951-BH951-U951</f>
        <v>0</v>
      </c>
      <c r="W951" s="280" t="s">
        <v>4535</v>
      </c>
      <c r="X951" s="273" t="s">
        <v>29</v>
      </c>
      <c r="Y951" s="322"/>
      <c r="Z951" s="322"/>
    </row>
    <row r="952" spans="1:49" s="282" customFormat="1" ht="20.25" customHeight="1">
      <c r="A952" s="272">
        <v>46020</v>
      </c>
      <c r="B952" s="273" t="s">
        <v>4465</v>
      </c>
      <c r="C952" s="273" t="s">
        <v>382</v>
      </c>
      <c r="D952" s="273" t="s">
        <v>212</v>
      </c>
      <c r="E952" s="273" t="s">
        <v>25</v>
      </c>
      <c r="F952" s="273" t="s">
        <v>4488</v>
      </c>
      <c r="G952" s="273" t="s">
        <v>71</v>
      </c>
      <c r="H952" s="273" t="s">
        <v>31</v>
      </c>
      <c r="I952" s="273"/>
      <c r="J952" s="273" t="s">
        <v>27</v>
      </c>
      <c r="K952" s="273" t="s">
        <v>4427</v>
      </c>
      <c r="L952" s="273" t="s">
        <v>35</v>
      </c>
      <c r="M952" s="274"/>
      <c r="N952" s="275">
        <v>1.29</v>
      </c>
      <c r="O952" s="273" t="s">
        <v>67</v>
      </c>
      <c r="P952" s="273" t="s">
        <v>63</v>
      </c>
      <c r="Q952" s="273" t="s">
        <v>4509</v>
      </c>
      <c r="R952" s="273" t="s">
        <v>4510</v>
      </c>
      <c r="S952" s="276" t="s">
        <v>4513</v>
      </c>
      <c r="T952" s="277">
        <v>46045</v>
      </c>
      <c r="U952" s="278"/>
      <c r="V952" s="279">
        <f>M952-Z952-AB952-AD952-AF952-AH952-AJ952-AL952-AN952-AP952-AR952-AT952-AV952-AX952-AZ952-BB952-BD952-BF952-BH952-U952</f>
        <v>0</v>
      </c>
      <c r="W952" s="280" t="s">
        <v>4536</v>
      </c>
      <c r="X952" s="273" t="s">
        <v>29</v>
      </c>
      <c r="Y952" s="322"/>
      <c r="Z952" s="322"/>
    </row>
    <row r="953" spans="1:49" s="28" customFormat="1" ht="20.25" customHeight="1">
      <c r="A953" s="11">
        <v>46020</v>
      </c>
      <c r="B953" s="16" t="s">
        <v>4466</v>
      </c>
      <c r="C953" s="16" t="s">
        <v>382</v>
      </c>
      <c r="D953" s="16" t="s">
        <v>212</v>
      </c>
      <c r="E953" s="16" t="s">
        <v>25</v>
      </c>
      <c r="F953" s="16" t="s">
        <v>4489</v>
      </c>
      <c r="G953" s="16" t="s">
        <v>71</v>
      </c>
      <c r="H953" s="16" t="s">
        <v>31</v>
      </c>
      <c r="I953" s="16"/>
      <c r="J953" s="16" t="s">
        <v>27</v>
      </c>
      <c r="K953" s="16" t="s">
        <v>3199</v>
      </c>
      <c r="L953" s="16" t="s">
        <v>35</v>
      </c>
      <c r="M953" s="17">
        <v>679.86</v>
      </c>
      <c r="N953" s="23">
        <v>1.29</v>
      </c>
      <c r="O953" s="16" t="s">
        <v>67</v>
      </c>
      <c r="P953" s="16" t="s">
        <v>63</v>
      </c>
      <c r="Q953" s="16" t="s">
        <v>29</v>
      </c>
      <c r="R953" s="16" t="s">
        <v>29</v>
      </c>
      <c r="S953" s="12" t="s">
        <v>4212</v>
      </c>
      <c r="T953" s="13">
        <v>46031</v>
      </c>
      <c r="U953" s="19"/>
      <c r="V953" s="53">
        <f>M953-Z953-AB953-AD953-AF953-AH953-AJ953-AL953-AN953-AP953-AR953-AT953-AV953-AX953-AZ953-BB953-BD953-BF953-BH953-U953</f>
        <v>-0.13999999999995794</v>
      </c>
      <c r="W953" s="22" t="s">
        <v>4537</v>
      </c>
      <c r="X953" s="16" t="s">
        <v>29</v>
      </c>
      <c r="Y953" s="9"/>
      <c r="Z953" s="19">
        <v>567.9</v>
      </c>
      <c r="AA953" s="252">
        <v>46027</v>
      </c>
      <c r="AB953" s="19">
        <v>112.1</v>
      </c>
      <c r="AC953" s="252">
        <v>46042</v>
      </c>
    </row>
    <row r="954" spans="1:49" s="28" customFormat="1" ht="20.25" customHeight="1">
      <c r="A954" s="11">
        <v>46020</v>
      </c>
      <c r="B954" s="16" t="s">
        <v>4467</v>
      </c>
      <c r="C954" s="16" t="s">
        <v>535</v>
      </c>
      <c r="D954" s="16" t="s">
        <v>212</v>
      </c>
      <c r="E954" s="16" t="s">
        <v>25</v>
      </c>
      <c r="F954" s="16" t="s">
        <v>4490</v>
      </c>
      <c r="G954" s="16" t="s">
        <v>71</v>
      </c>
      <c r="H954" s="16" t="s">
        <v>26</v>
      </c>
      <c r="I954" s="16"/>
      <c r="J954" s="16" t="s">
        <v>27</v>
      </c>
      <c r="K954" s="16" t="s">
        <v>4494</v>
      </c>
      <c r="L954" s="16" t="s">
        <v>35</v>
      </c>
      <c r="M954" s="17">
        <v>95</v>
      </c>
      <c r="N954" s="23">
        <v>1.29</v>
      </c>
      <c r="O954" s="16" t="s">
        <v>67</v>
      </c>
      <c r="P954" s="16" t="s">
        <v>63</v>
      </c>
      <c r="Q954" s="16" t="s">
        <v>4511</v>
      </c>
      <c r="R954" s="16" t="s">
        <v>3567</v>
      </c>
      <c r="S954" s="12" t="s">
        <v>4237</v>
      </c>
      <c r="T954" s="13">
        <v>46034</v>
      </c>
      <c r="U954" s="19"/>
      <c r="V954" s="53">
        <f>M954-Z954-AB954-AD954-AF954-AH954-AJ954-AL954-AN954-AP954-AR954-AT954-AV954-AX954-AZ954-BB954-BD954-BF954-BH954-U954</f>
        <v>-7.5</v>
      </c>
      <c r="W954" s="22" t="s">
        <v>4538</v>
      </c>
      <c r="X954" s="16" t="s">
        <v>29</v>
      </c>
      <c r="Y954" s="9" t="s">
        <v>4661</v>
      </c>
      <c r="Z954" s="19">
        <v>102.5</v>
      </c>
      <c r="AA954" s="252">
        <v>46029</v>
      </c>
    </row>
    <row r="955" spans="1:49" s="28" customFormat="1" ht="20.25" customHeight="1">
      <c r="A955" s="11">
        <v>46020</v>
      </c>
      <c r="B955" s="16" t="s">
        <v>4468</v>
      </c>
      <c r="C955" s="16" t="s">
        <v>290</v>
      </c>
      <c r="D955" s="16" t="s">
        <v>212</v>
      </c>
      <c r="E955" s="16" t="s">
        <v>25</v>
      </c>
      <c r="F955" s="16" t="s">
        <v>4491</v>
      </c>
      <c r="G955" s="16" t="s">
        <v>71</v>
      </c>
      <c r="H955" s="16" t="s">
        <v>31</v>
      </c>
      <c r="I955" s="16"/>
      <c r="J955" s="16" t="s">
        <v>27</v>
      </c>
      <c r="K955" s="16" t="s">
        <v>1328</v>
      </c>
      <c r="L955" s="16" t="s">
        <v>35</v>
      </c>
      <c r="M955" s="17">
        <v>45</v>
      </c>
      <c r="N955" s="23">
        <v>1.29</v>
      </c>
      <c r="O955" s="16" t="s">
        <v>67</v>
      </c>
      <c r="P955" s="16" t="s">
        <v>63</v>
      </c>
      <c r="Q955" s="16" t="s">
        <v>29</v>
      </c>
      <c r="R955" s="16" t="s">
        <v>29</v>
      </c>
      <c r="S955" s="12" t="s">
        <v>4431</v>
      </c>
      <c r="T955" s="13">
        <v>46041</v>
      </c>
      <c r="U955" s="19"/>
      <c r="V955" s="53">
        <f>M955-Z955-AB955-AD955-AF955-AH955-AJ955-AL955-AN955-AP955-AR955-AT955-AV955-AX955-AZ955-BB955-BD955-BF955-BH955-U955</f>
        <v>-1.1000000000000014</v>
      </c>
      <c r="W955" s="22" t="s">
        <v>4539</v>
      </c>
      <c r="X955" s="16" t="s">
        <v>29</v>
      </c>
      <c r="Y955" s="9"/>
      <c r="Z955" s="19">
        <v>46.1</v>
      </c>
      <c r="AA955" s="252">
        <v>46044</v>
      </c>
    </row>
    <row r="956" spans="1:49" s="28" customFormat="1" ht="20.25" customHeight="1">
      <c r="A956" s="11">
        <v>46020</v>
      </c>
      <c r="B956" s="16" t="s">
        <v>4469</v>
      </c>
      <c r="C956" s="16" t="s">
        <v>290</v>
      </c>
      <c r="D956" s="16" t="s">
        <v>212</v>
      </c>
      <c r="E956" s="16" t="s">
        <v>25</v>
      </c>
      <c r="F956" s="16" t="s">
        <v>4492</v>
      </c>
      <c r="G956" s="16" t="s">
        <v>71</v>
      </c>
      <c r="H956" s="16" t="s">
        <v>31</v>
      </c>
      <c r="I956" s="1"/>
      <c r="J956" s="1" t="s">
        <v>27</v>
      </c>
      <c r="K956" s="16" t="s">
        <v>218</v>
      </c>
      <c r="L956" s="1" t="s">
        <v>35</v>
      </c>
      <c r="M956" s="17">
        <v>270</v>
      </c>
      <c r="N956" s="23">
        <v>1.29</v>
      </c>
      <c r="O956" s="16" t="s">
        <v>67</v>
      </c>
      <c r="P956" s="16" t="s">
        <v>63</v>
      </c>
      <c r="Q956" s="16" t="s">
        <v>3716</v>
      </c>
      <c r="R956" s="16" t="s">
        <v>4512</v>
      </c>
      <c r="S956" s="12" t="s">
        <v>4431</v>
      </c>
      <c r="T956" s="13">
        <v>46041</v>
      </c>
      <c r="U956" s="19"/>
      <c r="V956" s="53">
        <f>M956-Z956-AB956-AD956-AF956-AH956-AJ956-AL956-AN956-AP956-AR956-AT956-AV956-AX956-AZ956-BB956-BD956-BF956-BH956-U956</f>
        <v>-1.6000000000000227</v>
      </c>
      <c r="W956" s="22" t="s">
        <v>4540</v>
      </c>
      <c r="X956" s="16" t="s">
        <v>29</v>
      </c>
      <c r="Y956" s="9"/>
      <c r="Z956" s="19">
        <v>271.60000000000002</v>
      </c>
      <c r="AA956" s="252">
        <v>46034</v>
      </c>
    </row>
    <row r="957" spans="1:49" s="28" customFormat="1" ht="20.25" customHeight="1">
      <c r="A957" s="11">
        <v>46020</v>
      </c>
      <c r="B957" s="16" t="s">
        <v>4470</v>
      </c>
      <c r="C957" s="16" t="s">
        <v>290</v>
      </c>
      <c r="D957" s="16" t="s">
        <v>212</v>
      </c>
      <c r="E957" s="16" t="s">
        <v>25</v>
      </c>
      <c r="F957" s="16" t="s">
        <v>4493</v>
      </c>
      <c r="G957" s="16" t="s">
        <v>71</v>
      </c>
      <c r="H957" s="16" t="s">
        <v>31</v>
      </c>
      <c r="I957" s="16"/>
      <c r="J957" s="16" t="s">
        <v>27</v>
      </c>
      <c r="K957" s="16" t="s">
        <v>4495</v>
      </c>
      <c r="L957" s="16" t="s">
        <v>35</v>
      </c>
      <c r="M957" s="17">
        <v>310</v>
      </c>
      <c r="N957" s="23">
        <v>1.29</v>
      </c>
      <c r="O957" s="16" t="s">
        <v>67</v>
      </c>
      <c r="P957" s="16" t="s">
        <v>63</v>
      </c>
      <c r="Q957" s="16" t="s">
        <v>2570</v>
      </c>
      <c r="R957" s="16" t="s">
        <v>624</v>
      </c>
      <c r="S957" s="12" t="s">
        <v>4431</v>
      </c>
      <c r="T957" s="13">
        <v>46041</v>
      </c>
      <c r="U957" s="19"/>
      <c r="V957" s="53">
        <f>M957-Z957-AB957-AD957-AF957-AH957-AJ957-AL957-AN957-AP957-AR957-AT957-AV957-AX957-AZ957-BB957-BD957-BF957-BH957-U957</f>
        <v>-0.80000000000001137</v>
      </c>
      <c r="W957" s="22" t="s">
        <v>4541</v>
      </c>
      <c r="X957" s="16" t="s">
        <v>29</v>
      </c>
      <c r="Y957" s="9"/>
      <c r="Z957" s="19">
        <v>310.8</v>
      </c>
      <c r="AA957" s="252">
        <v>46044</v>
      </c>
    </row>
    <row r="958" spans="1:49" s="28" customFormat="1" ht="20.25" customHeight="1">
      <c r="A958" s="11">
        <v>46021</v>
      </c>
      <c r="B958" s="16" t="s">
        <v>4562</v>
      </c>
      <c r="C958" s="16" t="s">
        <v>535</v>
      </c>
      <c r="D958" s="16" t="s">
        <v>212</v>
      </c>
      <c r="E958" s="16" t="s">
        <v>25</v>
      </c>
      <c r="F958" s="16" t="s">
        <v>4565</v>
      </c>
      <c r="G958" s="16" t="s">
        <v>71</v>
      </c>
      <c r="H958" s="16" t="s">
        <v>26</v>
      </c>
      <c r="I958" s="16"/>
      <c r="J958" s="16" t="s">
        <v>27</v>
      </c>
      <c r="K958" s="16" t="s">
        <v>4568</v>
      </c>
      <c r="L958" s="16" t="s">
        <v>35</v>
      </c>
      <c r="M958" s="17">
        <v>350</v>
      </c>
      <c r="N958" s="23">
        <v>1.29</v>
      </c>
      <c r="O958" s="16" t="s">
        <v>67</v>
      </c>
      <c r="P958" s="16" t="s">
        <v>63</v>
      </c>
      <c r="Q958" s="16" t="s">
        <v>4511</v>
      </c>
      <c r="R958" s="16" t="s">
        <v>3567</v>
      </c>
      <c r="S958" s="12" t="s">
        <v>4569</v>
      </c>
      <c r="T958" s="13">
        <v>46042</v>
      </c>
      <c r="U958" s="19"/>
      <c r="V958" s="53">
        <f>M958-Z958-AB958-AD958-AF958-AH958-AJ958-AL958-AN958-AP958-AR958-AT958-AV958-AX958-AZ958-BB958-BD958-BF958-BH958-U958</f>
        <v>-3.3999999999999773</v>
      </c>
      <c r="W958" s="22" t="s">
        <v>4570</v>
      </c>
      <c r="X958" s="16"/>
      <c r="Y958" s="9" t="s">
        <v>4661</v>
      </c>
      <c r="Z958" s="19">
        <v>353.4</v>
      </c>
      <c r="AA958" s="252">
        <v>46029</v>
      </c>
    </row>
    <row r="959" spans="1:49" s="28" customFormat="1" ht="20.25" customHeight="1">
      <c r="A959" s="11">
        <v>46021</v>
      </c>
      <c r="B959" s="16" t="s">
        <v>4563</v>
      </c>
      <c r="C959" s="16" t="s">
        <v>290</v>
      </c>
      <c r="D959" s="16" t="s">
        <v>212</v>
      </c>
      <c r="E959" s="16" t="s">
        <v>25</v>
      </c>
      <c r="F959" s="16" t="s">
        <v>4566</v>
      </c>
      <c r="G959" s="16" t="s">
        <v>71</v>
      </c>
      <c r="H959" s="16" t="s">
        <v>31</v>
      </c>
      <c r="I959" s="16"/>
      <c r="J959" s="16" t="s">
        <v>27</v>
      </c>
      <c r="K959" s="16" t="s">
        <v>218</v>
      </c>
      <c r="L959" s="16" t="s">
        <v>35</v>
      </c>
      <c r="M959" s="17">
        <v>1103</v>
      </c>
      <c r="N959" s="23">
        <v>1.29</v>
      </c>
      <c r="O959" s="16" t="s">
        <v>67</v>
      </c>
      <c r="P959" s="16" t="s">
        <v>63</v>
      </c>
      <c r="Q959" s="16" t="s">
        <v>29</v>
      </c>
      <c r="R959" s="16" t="s">
        <v>29</v>
      </c>
      <c r="S959" s="12" t="s">
        <v>4431</v>
      </c>
      <c r="T959" s="13">
        <v>46041</v>
      </c>
      <c r="U959" s="19"/>
      <c r="V959" s="53">
        <f>M959-Z959-AB959-AD959-AF959-AH959-AJ959-AL959-AN959-AP959-AR959-AT959-AV959-AX959-AZ959-BB959-BD959-BF959-BH959-U959</f>
        <v>-0.70000000000004547</v>
      </c>
      <c r="W959" s="22" t="s">
        <v>4571</v>
      </c>
      <c r="X959" s="16"/>
      <c r="Y959" s="9"/>
      <c r="Z959" s="19">
        <f>320.8+782.9</f>
        <v>1103.7</v>
      </c>
      <c r="AA959" s="252">
        <v>46041</v>
      </c>
    </row>
    <row r="960" spans="1:49" s="28" customFormat="1" ht="20.25" customHeight="1">
      <c r="A960" s="11">
        <v>46021</v>
      </c>
      <c r="B960" s="16" t="s">
        <v>4564</v>
      </c>
      <c r="C960" s="16" t="s">
        <v>382</v>
      </c>
      <c r="D960" s="16" t="s">
        <v>212</v>
      </c>
      <c r="E960" s="16" t="s">
        <v>25</v>
      </c>
      <c r="F960" s="16" t="s">
        <v>4567</v>
      </c>
      <c r="G960" s="16" t="s">
        <v>71</v>
      </c>
      <c r="H960" s="16" t="s">
        <v>26</v>
      </c>
      <c r="I960" s="16"/>
      <c r="J960" s="16" t="s">
        <v>27</v>
      </c>
      <c r="K960" s="16" t="s">
        <v>218</v>
      </c>
      <c r="L960" s="16" t="s">
        <v>35</v>
      </c>
      <c r="M960" s="17">
        <v>16415.990000000002</v>
      </c>
      <c r="N960" s="23">
        <v>1.29</v>
      </c>
      <c r="O960" s="16" t="s">
        <v>67</v>
      </c>
      <c r="P960" s="16" t="s">
        <v>63</v>
      </c>
      <c r="Q960" s="16" t="s">
        <v>4509</v>
      </c>
      <c r="R960" s="16" t="s">
        <v>810</v>
      </c>
      <c r="S960" s="12" t="s">
        <v>4258</v>
      </c>
      <c r="T960" s="13">
        <v>46035</v>
      </c>
      <c r="U960" s="19"/>
      <c r="V960" s="53">
        <f>M960-Z960-AB960-AD960-AF960-AH960-AJ960-AL960-AN960-AP960-AR960-AT960-AV960-AX960-AZ960-BB960-BD960-BF960-BH960-U960</f>
        <v>-0.50999999999930878</v>
      </c>
      <c r="W960" s="22" t="s">
        <v>4572</v>
      </c>
      <c r="X960" s="16"/>
      <c r="Y960" s="9"/>
      <c r="Z960" s="19">
        <f>2702.5+41.1+4551.6+1090.6+4118.9</f>
        <v>12504.7</v>
      </c>
      <c r="AA960" s="252">
        <v>46035</v>
      </c>
      <c r="AB960" s="19">
        <v>3911.8</v>
      </c>
      <c r="AC960" s="252">
        <v>46042</v>
      </c>
    </row>
    <row r="961" spans="1:35" s="36" customFormat="1" ht="20.25" customHeight="1">
      <c r="A961" s="7">
        <v>46022</v>
      </c>
      <c r="B961" s="19" t="s">
        <v>4591</v>
      </c>
      <c r="C961" s="19" t="s">
        <v>228</v>
      </c>
      <c r="D961" s="19" t="s">
        <v>212</v>
      </c>
      <c r="E961" s="19" t="s">
        <v>25</v>
      </c>
      <c r="F961" s="19" t="s">
        <v>4594</v>
      </c>
      <c r="G961" s="19" t="s">
        <v>71</v>
      </c>
      <c r="H961" s="19" t="s">
        <v>31</v>
      </c>
      <c r="I961" s="270"/>
      <c r="J961" s="270" t="s">
        <v>27</v>
      </c>
      <c r="K961" s="19" t="s">
        <v>1476</v>
      </c>
      <c r="L961" s="270" t="s">
        <v>35</v>
      </c>
      <c r="M961" s="20">
        <v>1252.52</v>
      </c>
      <c r="N961" s="25">
        <v>1.29</v>
      </c>
      <c r="O961" s="19" t="s">
        <v>67</v>
      </c>
      <c r="P961" s="19" t="s">
        <v>63</v>
      </c>
      <c r="Q961" s="19" t="s">
        <v>1226</v>
      </c>
      <c r="R961" s="19" t="s">
        <v>4597</v>
      </c>
      <c r="S961" s="45" t="s">
        <v>4513</v>
      </c>
      <c r="T961" s="8">
        <v>46037</v>
      </c>
      <c r="U961" s="19"/>
      <c r="V961" s="55">
        <f>M961-Z961-AB961-AD961-AF961-AH961-AJ961-AL961-AN961-AP961-AR961-AT961-AV961-AX961-AZ961-BB961-BD961-BF961-BH961-U961</f>
        <v>-0.98000000000001819</v>
      </c>
      <c r="W961" s="15" t="s">
        <v>4600</v>
      </c>
      <c r="X961" s="19"/>
      <c r="Y961" s="10"/>
      <c r="Z961" s="19">
        <v>1253.5</v>
      </c>
      <c r="AA961" s="123">
        <v>46036</v>
      </c>
    </row>
    <row r="962" spans="1:35" s="36" customFormat="1" ht="20.25" customHeight="1">
      <c r="A962" s="7">
        <v>46022</v>
      </c>
      <c r="B962" s="19" t="s">
        <v>4592</v>
      </c>
      <c r="C962" s="19" t="s">
        <v>228</v>
      </c>
      <c r="D962" s="19" t="s">
        <v>212</v>
      </c>
      <c r="E962" s="19" t="s">
        <v>25</v>
      </c>
      <c r="F962" s="19" t="s">
        <v>4595</v>
      </c>
      <c r="G962" s="19" t="s">
        <v>71</v>
      </c>
      <c r="H962" s="19" t="s">
        <v>31</v>
      </c>
      <c r="I962" s="19"/>
      <c r="J962" s="19" t="s">
        <v>27</v>
      </c>
      <c r="K962" s="19" t="s">
        <v>1116</v>
      </c>
      <c r="L962" s="19" t="s">
        <v>35</v>
      </c>
      <c r="M962" s="20">
        <v>3201.76</v>
      </c>
      <c r="N962" s="25">
        <v>1.29</v>
      </c>
      <c r="O962" s="19" t="s">
        <v>67</v>
      </c>
      <c r="P962" s="19" t="s">
        <v>63</v>
      </c>
      <c r="Q962" s="19" t="s">
        <v>2024</v>
      </c>
      <c r="R962" s="19" t="s">
        <v>4598</v>
      </c>
      <c r="S962" s="45" t="s">
        <v>4513</v>
      </c>
      <c r="T962" s="8">
        <v>46045</v>
      </c>
      <c r="U962" s="19"/>
      <c r="V962" s="55">
        <f>M962-Z962-AB962-AD962-AF962-AH962-AJ962-AL962-AN962-AP962-AR962-AT962-AV962-AX962-AZ962-BB962-BD962-BF962-BH962-U962</f>
        <v>-4.8399999999995771</v>
      </c>
      <c r="W962" s="15" t="s">
        <v>4601</v>
      </c>
      <c r="X962" s="19"/>
      <c r="Y962" s="10"/>
      <c r="Z962" s="19">
        <v>2475.6999999999998</v>
      </c>
      <c r="AA962" s="123">
        <v>46042</v>
      </c>
      <c r="AB962" s="19">
        <v>730.9</v>
      </c>
      <c r="AC962" s="123">
        <v>46049</v>
      </c>
    </row>
    <row r="963" spans="1:35" s="36" customFormat="1" ht="20.25" customHeight="1">
      <c r="A963" s="7">
        <v>46022</v>
      </c>
      <c r="B963" s="19" t="s">
        <v>4593</v>
      </c>
      <c r="C963" s="19" t="s">
        <v>228</v>
      </c>
      <c r="D963" s="19" t="s">
        <v>212</v>
      </c>
      <c r="E963" s="19" t="s">
        <v>25</v>
      </c>
      <c r="F963" s="19" t="s">
        <v>4596</v>
      </c>
      <c r="G963" s="19" t="s">
        <v>71</v>
      </c>
      <c r="H963" s="19" t="s">
        <v>31</v>
      </c>
      <c r="I963" s="301"/>
      <c r="J963" s="301" t="s">
        <v>27</v>
      </c>
      <c r="K963" s="19" t="s">
        <v>1116</v>
      </c>
      <c r="L963" s="301" t="s">
        <v>35</v>
      </c>
      <c r="M963" s="20">
        <v>5217.09</v>
      </c>
      <c r="N963" s="25">
        <v>1.29</v>
      </c>
      <c r="O963" s="19" t="s">
        <v>67</v>
      </c>
      <c r="P963" s="19" t="s">
        <v>63</v>
      </c>
      <c r="Q963" s="19" t="s">
        <v>2024</v>
      </c>
      <c r="R963" s="19" t="s">
        <v>4599</v>
      </c>
      <c r="S963" s="45" t="s">
        <v>4513</v>
      </c>
      <c r="T963" s="8">
        <v>46045</v>
      </c>
      <c r="U963" s="19"/>
      <c r="V963" s="55">
        <f>M963-Z963-AB963-AD963-AF963-AH963-AJ963-AL963-AN963-AP963-AR963-AT963-AV963-AX963-AZ963-BB963-BD963-BF963-BH963-U963</f>
        <v>-2.610000000000241</v>
      </c>
      <c r="W963" s="15" t="s">
        <v>4602</v>
      </c>
      <c r="X963" s="19"/>
      <c r="Y963" s="10"/>
      <c r="Z963" s="19">
        <f>1396.9+841+2632.2</f>
        <v>4870.1000000000004</v>
      </c>
      <c r="AA963" s="123">
        <v>46049</v>
      </c>
      <c r="AB963" s="19">
        <f>104.9+244.7</f>
        <v>349.6</v>
      </c>
      <c r="AC963" s="123">
        <v>46058</v>
      </c>
    </row>
    <row r="964" spans="1:35" s="28" customFormat="1" ht="20.25" customHeight="1">
      <c r="A964" s="11">
        <v>46027</v>
      </c>
      <c r="B964" s="16" t="s">
        <v>4612</v>
      </c>
      <c r="C964" s="16" t="s">
        <v>2624</v>
      </c>
      <c r="D964" s="16" t="s">
        <v>212</v>
      </c>
      <c r="E964" s="16" t="s">
        <v>25</v>
      </c>
      <c r="F964" s="16" t="s">
        <v>4618</v>
      </c>
      <c r="G964" s="16" t="s">
        <v>71</v>
      </c>
      <c r="H964" s="16" t="s">
        <v>31</v>
      </c>
      <c r="I964" s="16"/>
      <c r="J964" s="16" t="s">
        <v>27</v>
      </c>
      <c r="K964" s="16" t="s">
        <v>3778</v>
      </c>
      <c r="L964" s="16" t="s">
        <v>35</v>
      </c>
      <c r="M964" s="17">
        <v>300</v>
      </c>
      <c r="N964" s="23">
        <v>1.29</v>
      </c>
      <c r="O964" s="16" t="s">
        <v>67</v>
      </c>
      <c r="P964" s="16" t="s">
        <v>63</v>
      </c>
      <c r="Q964" s="16" t="s">
        <v>29</v>
      </c>
      <c r="R964" s="16" t="s">
        <v>2000</v>
      </c>
      <c r="S964" s="12" t="s">
        <v>4627</v>
      </c>
      <c r="T964" s="13">
        <v>46048</v>
      </c>
      <c r="U964" s="19"/>
      <c r="V964" s="53">
        <f>M964-Z964-AB964-AD964-AF964-AH964-AJ964-AL964-AN964-AP964-AR964-AT964-AV964-AX964-AZ964-BB964-BD964-BF964-BH964-U964</f>
        <v>-4.3000000000000114</v>
      </c>
      <c r="W964" s="22" t="s">
        <v>4628</v>
      </c>
      <c r="X964" s="16"/>
      <c r="Y964" s="9"/>
      <c r="Z964" s="19">
        <v>304.3</v>
      </c>
      <c r="AA964" s="252">
        <v>46042</v>
      </c>
    </row>
    <row r="965" spans="1:35" s="122" customFormat="1" ht="20.25" customHeight="1">
      <c r="A965" s="300">
        <v>46027</v>
      </c>
      <c r="B965" s="301" t="s">
        <v>4612</v>
      </c>
      <c r="C965" s="301" t="s">
        <v>2624</v>
      </c>
      <c r="D965" s="301" t="s">
        <v>212</v>
      </c>
      <c r="E965" s="301" t="s">
        <v>25</v>
      </c>
      <c r="F965" s="301" t="s">
        <v>4618</v>
      </c>
      <c r="G965" s="301" t="s">
        <v>71</v>
      </c>
      <c r="H965" s="301" t="s">
        <v>31</v>
      </c>
      <c r="I965" s="301"/>
      <c r="J965" s="301" t="s">
        <v>27</v>
      </c>
      <c r="K965" s="301" t="s">
        <v>4624</v>
      </c>
      <c r="L965" s="301" t="s">
        <v>35</v>
      </c>
      <c r="M965" s="302">
        <v>2000</v>
      </c>
      <c r="N965" s="303">
        <v>1.29</v>
      </c>
      <c r="O965" s="301" t="s">
        <v>67</v>
      </c>
      <c r="P965" s="301" t="s">
        <v>63</v>
      </c>
      <c r="Q965" s="301" t="s">
        <v>29</v>
      </c>
      <c r="R965" s="301" t="s">
        <v>2000</v>
      </c>
      <c r="S965" s="304" t="s">
        <v>4627</v>
      </c>
      <c r="T965" s="305">
        <v>46048</v>
      </c>
      <c r="U965" s="301"/>
      <c r="V965" s="306">
        <f>M965-Z965-AB965-AD965-AF965-AH965-AJ965-AL965-AN965-AP965-AR965-AT965-AV965-AX965-AZ965-BB965-BD965-BF965-BH965-U965</f>
        <v>-1.7000000000000455</v>
      </c>
      <c r="W965" s="307" t="s">
        <v>4629</v>
      </c>
      <c r="X965" s="301"/>
      <c r="Y965" s="335"/>
      <c r="Z965" s="301">
        <v>166.2</v>
      </c>
      <c r="AA965" s="312">
        <v>46042</v>
      </c>
      <c r="AB965" s="301">
        <f>44.2+1791.3</f>
        <v>1835.5</v>
      </c>
      <c r="AC965" s="312">
        <v>46057</v>
      </c>
    </row>
    <row r="966" spans="1:35" s="36" customFormat="1" ht="20.25" customHeight="1">
      <c r="A966" s="7">
        <v>46027</v>
      </c>
      <c r="B966" s="19" t="s">
        <v>4613</v>
      </c>
      <c r="C966" s="19" t="s">
        <v>290</v>
      </c>
      <c r="D966" s="19" t="s">
        <v>212</v>
      </c>
      <c r="E966" s="19" t="s">
        <v>25</v>
      </c>
      <c r="F966" s="19" t="s">
        <v>4619</v>
      </c>
      <c r="G966" s="19" t="s">
        <v>71</v>
      </c>
      <c r="H966" s="19" t="s">
        <v>31</v>
      </c>
      <c r="I966" s="301"/>
      <c r="J966" s="301" t="s">
        <v>27</v>
      </c>
      <c r="K966" s="19" t="s">
        <v>239</v>
      </c>
      <c r="L966" s="301" t="s">
        <v>35</v>
      </c>
      <c r="M966" s="20">
        <v>5500</v>
      </c>
      <c r="N966" s="25">
        <v>1.29</v>
      </c>
      <c r="O966" s="19" t="s">
        <v>67</v>
      </c>
      <c r="P966" s="19" t="s">
        <v>63</v>
      </c>
      <c r="Q966" s="19" t="s">
        <v>3716</v>
      </c>
      <c r="R966" s="19" t="s">
        <v>4625</v>
      </c>
      <c r="S966" s="45" t="s">
        <v>4627</v>
      </c>
      <c r="T966" s="8">
        <v>46048</v>
      </c>
      <c r="U966" s="19"/>
      <c r="V966" s="55">
        <f>M966-Z966-AB966-AD966-AF966-AH966-AJ966-AL966-AN966-AP966-AR966-AT966-AV966-AX966-AZ966-BB966-BD966-BF966-BH966-U966</f>
        <v>-2.1999999999998181</v>
      </c>
      <c r="W966" s="15" t="s">
        <v>4630</v>
      </c>
      <c r="X966" s="19" t="s">
        <v>5202</v>
      </c>
      <c r="Y966" s="10"/>
      <c r="Z966" s="19">
        <f>3074.6+192.6</f>
        <v>3267.2</v>
      </c>
      <c r="AA966" s="123">
        <v>46058</v>
      </c>
      <c r="AB966" s="19">
        <v>2235</v>
      </c>
      <c r="AC966" s="123">
        <v>46065</v>
      </c>
    </row>
    <row r="967" spans="1:35" s="28" customFormat="1" ht="20.25" customHeight="1">
      <c r="A967" s="11">
        <v>46027</v>
      </c>
      <c r="B967" s="16" t="s">
        <v>4614</v>
      </c>
      <c r="C967" s="16" t="s">
        <v>267</v>
      </c>
      <c r="D967" s="16" t="s">
        <v>212</v>
      </c>
      <c r="E967" s="16" t="s">
        <v>25</v>
      </c>
      <c r="F967" s="16" t="s">
        <v>4620</v>
      </c>
      <c r="G967" s="16" t="s">
        <v>71</v>
      </c>
      <c r="H967" s="16" t="s">
        <v>26</v>
      </c>
      <c r="I967" s="1"/>
      <c r="J967" s="1" t="s">
        <v>27</v>
      </c>
      <c r="K967" s="16" t="s">
        <v>218</v>
      </c>
      <c r="L967" s="1" t="s">
        <v>35</v>
      </c>
      <c r="M967" s="17">
        <v>75</v>
      </c>
      <c r="N967" s="23">
        <v>1.29</v>
      </c>
      <c r="O967" s="16" t="s">
        <v>67</v>
      </c>
      <c r="P967" s="16" t="s">
        <v>63</v>
      </c>
      <c r="Q967" s="16" t="s">
        <v>29</v>
      </c>
      <c r="R967" s="16" t="s">
        <v>4626</v>
      </c>
      <c r="S967" s="12" t="s">
        <v>4431</v>
      </c>
      <c r="T967" s="13">
        <v>46041</v>
      </c>
      <c r="U967" s="19"/>
      <c r="V967" s="53">
        <f>M967-Z967-AB967-AD967-AF967-AH967-AJ967-AL967-AN967-AP967-AR967-AT967-AV967-AX967-AZ967-BB967-BD967-BF967-BH967-U967</f>
        <v>-0.59999999999999432</v>
      </c>
      <c r="W967" s="22" t="s">
        <v>4631</v>
      </c>
      <c r="X967" s="16"/>
      <c r="Y967" s="9"/>
      <c r="Z967" s="19">
        <v>75.599999999999994</v>
      </c>
      <c r="AA967" s="252">
        <v>46034</v>
      </c>
    </row>
    <row r="968" spans="1:35" s="28" customFormat="1" ht="20.25" customHeight="1">
      <c r="A968" s="11">
        <v>46027</v>
      </c>
      <c r="B968" s="16" t="s">
        <v>4615</v>
      </c>
      <c r="C968" s="16" t="s">
        <v>1568</v>
      </c>
      <c r="D968" s="16" t="s">
        <v>212</v>
      </c>
      <c r="E968" s="16" t="s">
        <v>25</v>
      </c>
      <c r="F968" s="16" t="s">
        <v>4621</v>
      </c>
      <c r="G968" s="16" t="s">
        <v>71</v>
      </c>
      <c r="H968" s="16" t="s">
        <v>26</v>
      </c>
      <c r="I968" s="16"/>
      <c r="J968" s="16" t="s">
        <v>27</v>
      </c>
      <c r="K968" s="16" t="s">
        <v>4303</v>
      </c>
      <c r="L968" s="16" t="s">
        <v>35</v>
      </c>
      <c r="M968" s="17">
        <v>500</v>
      </c>
      <c r="N968" s="23">
        <v>1.29</v>
      </c>
      <c r="O968" s="16" t="s">
        <v>67</v>
      </c>
      <c r="P968" s="16" t="s">
        <v>63</v>
      </c>
      <c r="Q968" s="16" t="s">
        <v>29</v>
      </c>
      <c r="R968" s="16" t="s">
        <v>3937</v>
      </c>
      <c r="S968" s="12" t="s">
        <v>4627</v>
      </c>
      <c r="T968" s="13">
        <v>46048</v>
      </c>
      <c r="U968" s="19"/>
      <c r="V968" s="53">
        <f>M968-Z968-AB968-AD968-AF968-AH968-AJ968-AL968-AN968-AP968-AR968-AT968-AV968-AX968-AZ968-BB968-BD968-BF968-BH968-U968</f>
        <v>-0.10000000000002274</v>
      </c>
      <c r="W968" s="22" t="s">
        <v>4632</v>
      </c>
      <c r="X968" s="16"/>
      <c r="Y968" s="9"/>
      <c r="Z968" s="19">
        <v>500.1</v>
      </c>
      <c r="AA968" s="252">
        <v>46034</v>
      </c>
    </row>
    <row r="969" spans="1:35" s="28" customFormat="1" ht="20.25" customHeight="1">
      <c r="A969" s="11">
        <v>46027</v>
      </c>
      <c r="B969" s="16" t="s">
        <v>4616</v>
      </c>
      <c r="C969" s="16" t="s">
        <v>1568</v>
      </c>
      <c r="D969" s="16" t="s">
        <v>212</v>
      </c>
      <c r="E969" s="16" t="s">
        <v>25</v>
      </c>
      <c r="F969" s="16" t="s">
        <v>4622</v>
      </c>
      <c r="G969" s="16" t="s">
        <v>71</v>
      </c>
      <c r="H969" s="16" t="s">
        <v>26</v>
      </c>
      <c r="I969" s="16"/>
      <c r="J969" s="16" t="s">
        <v>27</v>
      </c>
      <c r="K969" s="16" t="s">
        <v>218</v>
      </c>
      <c r="L969" s="16" t="s">
        <v>35</v>
      </c>
      <c r="M969" s="17">
        <v>2253</v>
      </c>
      <c r="N969" s="23">
        <v>1.29</v>
      </c>
      <c r="O969" s="16" t="s">
        <v>67</v>
      </c>
      <c r="P969" s="16" t="s">
        <v>63</v>
      </c>
      <c r="Q969" s="16" t="s">
        <v>29</v>
      </c>
      <c r="R969" s="16" t="s">
        <v>3138</v>
      </c>
      <c r="S969" s="12" t="s">
        <v>4627</v>
      </c>
      <c r="T969" s="13">
        <v>46048</v>
      </c>
      <c r="U969" s="19"/>
      <c r="V969" s="53">
        <f>M969-Z969-AB969-AD969-AF969-AH969-AJ969-AL969-AN969-AP969-AR969-AT969-AV969-AX969-AZ969-BB969-BD969-BF969-BH969-U969</f>
        <v>-8.3000000000001819</v>
      </c>
      <c r="W969" s="22" t="s">
        <v>4633</v>
      </c>
      <c r="X969" s="16"/>
      <c r="Y969" s="9"/>
      <c r="Z969" s="19">
        <v>2261.3000000000002</v>
      </c>
      <c r="AA969" s="252">
        <v>46037</v>
      </c>
    </row>
    <row r="970" spans="1:35" s="28" customFormat="1" ht="20.25" customHeight="1">
      <c r="A970" s="11">
        <v>46027</v>
      </c>
      <c r="B970" s="16" t="s">
        <v>4617</v>
      </c>
      <c r="C970" s="16" t="s">
        <v>304</v>
      </c>
      <c r="D970" s="16" t="s">
        <v>212</v>
      </c>
      <c r="E970" s="16" t="s">
        <v>25</v>
      </c>
      <c r="F970" s="16" t="s">
        <v>4623</v>
      </c>
      <c r="G970" s="16" t="s">
        <v>71</v>
      </c>
      <c r="H970" s="16" t="s">
        <v>31</v>
      </c>
      <c r="I970" s="16"/>
      <c r="J970" s="16" t="s">
        <v>27</v>
      </c>
      <c r="K970" s="16" t="s">
        <v>1996</v>
      </c>
      <c r="L970" s="16" t="s">
        <v>35</v>
      </c>
      <c r="M970" s="17">
        <v>360</v>
      </c>
      <c r="N970" s="23">
        <v>1.29</v>
      </c>
      <c r="O970" s="16" t="s">
        <v>67</v>
      </c>
      <c r="P970" s="16" t="s">
        <v>63</v>
      </c>
      <c r="Q970" s="16" t="s">
        <v>29</v>
      </c>
      <c r="R970" s="16" t="s">
        <v>3113</v>
      </c>
      <c r="S970" s="12" t="s">
        <v>4431</v>
      </c>
      <c r="T970" s="13">
        <v>46041</v>
      </c>
      <c r="U970" s="19"/>
      <c r="V970" s="53">
        <f>M970-Z970-AB970-AD970-AF970-AH970-AJ970-AL970-AN970-AP970-AR970-AT970-AV970-AX970-AZ970-BB970-BD970-BF970-BH970-U970</f>
        <v>-7.1999999999999886</v>
      </c>
      <c r="W970" s="22" t="s">
        <v>4634</v>
      </c>
      <c r="X970" s="16"/>
      <c r="Y970" s="9"/>
      <c r="Z970" s="19">
        <v>41.7</v>
      </c>
      <c r="AA970" s="252">
        <v>46036</v>
      </c>
      <c r="AB970" s="19">
        <v>325.5</v>
      </c>
      <c r="AC970" s="252">
        <v>46049</v>
      </c>
    </row>
    <row r="971" spans="1:35" s="28" customFormat="1" ht="20.25" customHeight="1">
      <c r="A971" s="11">
        <v>46028</v>
      </c>
      <c r="B971" s="16" t="s">
        <v>4642</v>
      </c>
      <c r="C971" s="16" t="s">
        <v>438</v>
      </c>
      <c r="D971" s="16" t="s">
        <v>212</v>
      </c>
      <c r="E971" s="16" t="s">
        <v>25</v>
      </c>
      <c r="F971" s="16">
        <v>4004201383</v>
      </c>
      <c r="G971" s="16" t="s">
        <v>71</v>
      </c>
      <c r="H971" s="16" t="s">
        <v>31</v>
      </c>
      <c r="I971" s="1"/>
      <c r="J971" s="1" t="s">
        <v>27</v>
      </c>
      <c r="K971" s="16" t="s">
        <v>1476</v>
      </c>
      <c r="L971" s="1" t="s">
        <v>35</v>
      </c>
      <c r="M971" s="17">
        <v>1484</v>
      </c>
      <c r="N971" s="6">
        <v>1.29</v>
      </c>
      <c r="O971" s="1" t="s">
        <v>67</v>
      </c>
      <c r="P971" s="1" t="s">
        <v>63</v>
      </c>
      <c r="Q971" s="1" t="s">
        <v>29</v>
      </c>
      <c r="R971" s="1" t="s">
        <v>29</v>
      </c>
      <c r="S971" s="121" t="s">
        <v>4646</v>
      </c>
      <c r="T971" s="13">
        <v>46049</v>
      </c>
      <c r="U971" s="19"/>
      <c r="V971" s="53">
        <f>M971-Z971-AB971-AD971-AF971-AH971-AJ971-AL971-AN971-AP971-AR971-AT971-AV971-AX971-AZ971-BB971-BD971-BF971-BH971-U971</f>
        <v>-2.0999999999999091</v>
      </c>
      <c r="W971" s="22" t="s">
        <v>4647</v>
      </c>
      <c r="X971" s="16" t="s">
        <v>1537</v>
      </c>
      <c r="Y971" s="9"/>
      <c r="Z971" s="19">
        <v>1486.1</v>
      </c>
      <c r="AA971" s="252">
        <v>46031</v>
      </c>
    </row>
    <row r="972" spans="1:35" s="36" customFormat="1" ht="20.25" customHeight="1">
      <c r="A972" s="7">
        <v>46028</v>
      </c>
      <c r="B972" s="19" t="s">
        <v>4643</v>
      </c>
      <c r="C972" s="19" t="s">
        <v>535</v>
      </c>
      <c r="D972" s="19" t="s">
        <v>212</v>
      </c>
      <c r="E972" s="19" t="s">
        <v>25</v>
      </c>
      <c r="F972" s="19" t="s">
        <v>4644</v>
      </c>
      <c r="G972" s="19" t="s">
        <v>71</v>
      </c>
      <c r="H972" s="19" t="s">
        <v>26</v>
      </c>
      <c r="I972" s="301"/>
      <c r="J972" s="301" t="s">
        <v>27</v>
      </c>
      <c r="K972" s="19" t="s">
        <v>4624</v>
      </c>
      <c r="L972" s="301" t="s">
        <v>35</v>
      </c>
      <c r="M972" s="20">
        <v>50</v>
      </c>
      <c r="N972" s="25">
        <v>1.29</v>
      </c>
      <c r="O972" s="19" t="s">
        <v>67</v>
      </c>
      <c r="P972" s="19" t="s">
        <v>63</v>
      </c>
      <c r="Q972" s="19" t="s">
        <v>4645</v>
      </c>
      <c r="R972" s="19" t="s">
        <v>29</v>
      </c>
      <c r="S972" s="45" t="s">
        <v>4646</v>
      </c>
      <c r="T972" s="8">
        <v>46049</v>
      </c>
      <c r="U972" s="19"/>
      <c r="V972" s="55">
        <f>M972-Z972-AB972-AD972-AF972-AH972-AJ972-AL972-AN972-AP972-AR972-AT972-AV972-AX972-AZ972-BB972-BD972-BF972-BH972-U972</f>
        <v>-2.1000000000000014</v>
      </c>
      <c r="W972" s="15" t="s">
        <v>4648</v>
      </c>
      <c r="X972" s="19" t="s">
        <v>29</v>
      </c>
      <c r="Y972" s="10"/>
      <c r="Z972" s="19">
        <v>52.1</v>
      </c>
      <c r="AA972" s="123">
        <v>46037</v>
      </c>
    </row>
    <row r="973" spans="1:35" s="36" customFormat="1" ht="20.25" customHeight="1">
      <c r="A973" s="7">
        <v>46031</v>
      </c>
      <c r="B973" s="19" t="s">
        <v>4679</v>
      </c>
      <c r="C973" s="19" t="s">
        <v>1568</v>
      </c>
      <c r="D973" s="19" t="s">
        <v>212</v>
      </c>
      <c r="E973" s="19" t="s">
        <v>25</v>
      </c>
      <c r="F973" s="19" t="s">
        <v>4681</v>
      </c>
      <c r="G973" s="19" t="s">
        <v>71</v>
      </c>
      <c r="H973" s="19" t="s">
        <v>26</v>
      </c>
      <c r="I973" s="63"/>
      <c r="J973" s="63" t="s">
        <v>27</v>
      </c>
      <c r="K973" s="19" t="s">
        <v>332</v>
      </c>
      <c r="L973" s="63" t="s">
        <v>35</v>
      </c>
      <c r="M973" s="20">
        <v>1689</v>
      </c>
      <c r="N973" s="394">
        <v>1.29</v>
      </c>
      <c r="O973" s="63" t="s">
        <v>67</v>
      </c>
      <c r="P973" s="63" t="s">
        <v>63</v>
      </c>
      <c r="Q973" s="63" t="s">
        <v>29</v>
      </c>
      <c r="R973" s="63" t="s">
        <v>3143</v>
      </c>
      <c r="S973" s="395" t="s">
        <v>4683</v>
      </c>
      <c r="T973" s="8">
        <v>46051</v>
      </c>
      <c r="U973" s="19"/>
      <c r="V973" s="55">
        <f>M973-Z973-AB973-AD973-AF973-AH973-AJ973-AL973-AN973-AP973-AR973-AT973-AV973-AX973-AZ973-BB973-BD973-BF973-BH973-U973</f>
        <v>-2.5</v>
      </c>
      <c r="W973" s="15" t="s">
        <v>4684</v>
      </c>
      <c r="X973" s="19"/>
      <c r="Y973" s="10"/>
      <c r="Z973" s="19">
        <f>731.1+960.4</f>
        <v>1691.5</v>
      </c>
      <c r="AA973" s="123">
        <v>46055</v>
      </c>
    </row>
    <row r="974" spans="1:35" s="28" customFormat="1" ht="20.25" customHeight="1">
      <c r="A974" s="11">
        <v>46031</v>
      </c>
      <c r="B974" s="16" t="s">
        <v>4679</v>
      </c>
      <c r="C974" s="16" t="s">
        <v>1568</v>
      </c>
      <c r="D974" s="16" t="s">
        <v>212</v>
      </c>
      <c r="E974" s="16" t="s">
        <v>25</v>
      </c>
      <c r="F974" s="16" t="s">
        <v>4681</v>
      </c>
      <c r="G974" s="16" t="s">
        <v>71</v>
      </c>
      <c r="H974" s="16" t="s">
        <v>31</v>
      </c>
      <c r="I974" s="1"/>
      <c r="J974" s="1" t="s">
        <v>27</v>
      </c>
      <c r="K974" s="16" t="s">
        <v>975</v>
      </c>
      <c r="L974" s="1" t="s">
        <v>35</v>
      </c>
      <c r="M974" s="17">
        <v>1570</v>
      </c>
      <c r="N974" s="23">
        <v>1.29</v>
      </c>
      <c r="O974" s="16" t="s">
        <v>67</v>
      </c>
      <c r="P974" s="16" t="s">
        <v>63</v>
      </c>
      <c r="Q974" s="16" t="s">
        <v>29</v>
      </c>
      <c r="R974" s="16" t="s">
        <v>4014</v>
      </c>
      <c r="S974" s="12" t="s">
        <v>4683</v>
      </c>
      <c r="T974" s="13">
        <v>46051</v>
      </c>
      <c r="U974" s="19"/>
      <c r="V974" s="53">
        <f>M974-Z974-AB974-AD974-AF974-AH974-AJ974-AL974-AN974-AP974-AR974-AT974-AV974-AX974-AZ974-BB974-BD974-BF974-BH974-U974</f>
        <v>-6.9000000000000909</v>
      </c>
      <c r="W974" s="22" t="s">
        <v>4685</v>
      </c>
      <c r="X974" s="16"/>
      <c r="Y974" s="9"/>
      <c r="Z974" s="19">
        <v>1576.9</v>
      </c>
      <c r="AA974" s="252">
        <v>46057</v>
      </c>
    </row>
    <row r="975" spans="1:35" s="36" customFormat="1" ht="20.25" customHeight="1">
      <c r="A975" s="7">
        <v>46031</v>
      </c>
      <c r="B975" s="19" t="s">
        <v>4680</v>
      </c>
      <c r="C975" s="19" t="s">
        <v>400</v>
      </c>
      <c r="D975" s="19" t="s">
        <v>212</v>
      </c>
      <c r="E975" s="19" t="s">
        <v>25</v>
      </c>
      <c r="F975" s="19" t="s">
        <v>4682</v>
      </c>
      <c r="G975" s="19" t="s">
        <v>71</v>
      </c>
      <c r="H975" s="19" t="s">
        <v>31</v>
      </c>
      <c r="I975" s="270"/>
      <c r="J975" s="270" t="s">
        <v>27</v>
      </c>
      <c r="K975" s="19" t="s">
        <v>483</v>
      </c>
      <c r="L975" s="270" t="s">
        <v>35</v>
      </c>
      <c r="M975" s="20">
        <v>8738.07</v>
      </c>
      <c r="N975" s="25">
        <v>1.29</v>
      </c>
      <c r="O975" s="19" t="s">
        <v>67</v>
      </c>
      <c r="P975" s="19" t="s">
        <v>63</v>
      </c>
      <c r="Q975" s="19" t="s">
        <v>362</v>
      </c>
      <c r="R975" s="19" t="s">
        <v>235</v>
      </c>
      <c r="S975" s="45" t="s">
        <v>4683</v>
      </c>
      <c r="T975" s="8">
        <v>46056</v>
      </c>
      <c r="U975" s="19"/>
      <c r="V975" s="55">
        <f>M975-Z975-AB975-AD975-AF975-AH975-AJ975-AL975-AN975-AP975-AR975-AT975-AV975-AX975-AZ975-BB975-BD975-BF975-BH975-U975</f>
        <v>-3.6300000000001091</v>
      </c>
      <c r="W975" s="15" t="s">
        <v>4686</v>
      </c>
      <c r="X975" s="8">
        <v>46072</v>
      </c>
      <c r="Y975" s="10"/>
      <c r="Z975" s="19">
        <v>246.3</v>
      </c>
      <c r="AA975" s="123">
        <v>46056</v>
      </c>
      <c r="AB975" s="19">
        <f>1293.6+895</f>
        <v>2188.6</v>
      </c>
      <c r="AC975" s="123">
        <v>46064</v>
      </c>
      <c r="AD975" s="19">
        <v>1209.5</v>
      </c>
      <c r="AE975" s="123">
        <v>46066</v>
      </c>
      <c r="AF975" s="19">
        <v>1923.4</v>
      </c>
      <c r="AG975" s="123">
        <v>46071</v>
      </c>
      <c r="AH975" s="19">
        <v>3173.9</v>
      </c>
      <c r="AI975" s="123">
        <v>46073</v>
      </c>
    </row>
    <row r="976" spans="1:35" s="36" customFormat="1" ht="20.25" customHeight="1">
      <c r="A976" s="7">
        <v>46034</v>
      </c>
      <c r="B976" s="19" t="s">
        <v>4694</v>
      </c>
      <c r="C976" s="19" t="s">
        <v>304</v>
      </c>
      <c r="D976" s="19" t="s">
        <v>212</v>
      </c>
      <c r="E976" s="19" t="s">
        <v>25</v>
      </c>
      <c r="F976" s="19" t="s">
        <v>4697</v>
      </c>
      <c r="G976" s="19" t="s">
        <v>71</v>
      </c>
      <c r="H976" s="19" t="s">
        <v>31</v>
      </c>
      <c r="I976" s="301"/>
      <c r="J976" s="301" t="s">
        <v>27</v>
      </c>
      <c r="K976" s="19" t="s">
        <v>3296</v>
      </c>
      <c r="L976" s="301" t="s">
        <v>35</v>
      </c>
      <c r="M976" s="20">
        <f>50-3.4</f>
        <v>46.6</v>
      </c>
      <c r="N976" s="25">
        <v>1.29</v>
      </c>
      <c r="O976" s="19" t="s">
        <v>67</v>
      </c>
      <c r="P976" s="19" t="s">
        <v>63</v>
      </c>
      <c r="Q976" s="19" t="s">
        <v>29</v>
      </c>
      <c r="R976" s="19" t="s">
        <v>1580</v>
      </c>
      <c r="S976" s="45" t="s">
        <v>4627</v>
      </c>
      <c r="T976" s="8">
        <v>46048</v>
      </c>
      <c r="U976" s="19"/>
      <c r="V976" s="55">
        <f>M976-Z976-AB976-AD976-AF976-AH976-AJ976-AL976-AN976-AP976-AR976-AT976-AV976-AX976-AZ976-BB976-BD976-BF976-BH976-U976</f>
        <v>0</v>
      </c>
      <c r="W976" s="15" t="s">
        <v>4701</v>
      </c>
      <c r="X976" s="19"/>
      <c r="Y976" s="10"/>
      <c r="Z976" s="19">
        <f>22.1+24.5</f>
        <v>46.6</v>
      </c>
      <c r="AA976" s="123">
        <v>46049</v>
      </c>
    </row>
    <row r="977" spans="1:37" s="36" customFormat="1" ht="20.25" customHeight="1">
      <c r="A977" s="7">
        <v>46034</v>
      </c>
      <c r="B977" s="19" t="s">
        <v>4695</v>
      </c>
      <c r="C977" s="19" t="s">
        <v>267</v>
      </c>
      <c r="D977" s="19" t="s">
        <v>212</v>
      </c>
      <c r="E977" s="19" t="s">
        <v>25</v>
      </c>
      <c r="F977" s="19" t="s">
        <v>4698</v>
      </c>
      <c r="G977" s="19" t="s">
        <v>71</v>
      </c>
      <c r="H977" s="19" t="s">
        <v>31</v>
      </c>
      <c r="I977" s="19"/>
      <c r="J977" s="19" t="s">
        <v>27</v>
      </c>
      <c r="K977" s="19" t="s">
        <v>3836</v>
      </c>
      <c r="L977" s="19" t="s">
        <v>35</v>
      </c>
      <c r="M977" s="20">
        <v>2000</v>
      </c>
      <c r="N977" s="25">
        <v>1.29</v>
      </c>
      <c r="O977" s="19" t="s">
        <v>67</v>
      </c>
      <c r="P977" s="19" t="s">
        <v>63</v>
      </c>
      <c r="Q977" s="19" t="s">
        <v>29</v>
      </c>
      <c r="R977" s="19" t="s">
        <v>1277</v>
      </c>
      <c r="S977" s="45" t="s">
        <v>4683</v>
      </c>
      <c r="T977" s="8">
        <v>46051</v>
      </c>
      <c r="U977" s="19"/>
      <c r="V977" s="55">
        <f>M977-Z977-AB977-AD977-AF977-AH977-AJ977-AL977-AN977-AP977-AR977-AT977-AV977-AX977-AZ977-BB977-BD977-BF977-BH977-U977</f>
        <v>-0.59999999999999432</v>
      </c>
      <c r="W977" s="15" t="s">
        <v>4702</v>
      </c>
      <c r="X977" s="19"/>
      <c r="Y977" s="10"/>
      <c r="Z977" s="19">
        <v>300</v>
      </c>
      <c r="AA977" s="123">
        <v>46049</v>
      </c>
      <c r="AB977" s="19">
        <v>505.5</v>
      </c>
      <c r="AC977" s="123">
        <v>46058</v>
      </c>
      <c r="AD977" s="19">
        <v>550.9</v>
      </c>
      <c r="AE977" s="123">
        <v>46062</v>
      </c>
      <c r="AF977" s="19">
        <f>245.5+202.6</f>
        <v>448.1</v>
      </c>
      <c r="AG977" s="123">
        <v>46072</v>
      </c>
      <c r="AH977" s="19">
        <v>196.1</v>
      </c>
      <c r="AI977" s="123">
        <v>46083</v>
      </c>
    </row>
    <row r="978" spans="1:37" s="36" customFormat="1" ht="20.25" customHeight="1">
      <c r="A978" s="7">
        <v>46034</v>
      </c>
      <c r="B978" s="19" t="s">
        <v>4696</v>
      </c>
      <c r="C978" s="19" t="s">
        <v>267</v>
      </c>
      <c r="D978" s="19" t="s">
        <v>212</v>
      </c>
      <c r="E978" s="19" t="s">
        <v>25</v>
      </c>
      <c r="F978" s="19" t="s">
        <v>4699</v>
      </c>
      <c r="G978" s="19" t="s">
        <v>71</v>
      </c>
      <c r="H978" s="19" t="s">
        <v>31</v>
      </c>
      <c r="I978" s="19"/>
      <c r="J978" s="19" t="s">
        <v>27</v>
      </c>
      <c r="K978" s="19" t="s">
        <v>340</v>
      </c>
      <c r="L978" s="19" t="s">
        <v>35</v>
      </c>
      <c r="M978" s="20">
        <v>5000</v>
      </c>
      <c r="N978" s="25">
        <v>1.29</v>
      </c>
      <c r="O978" s="19" t="s">
        <v>67</v>
      </c>
      <c r="P978" s="19" t="s">
        <v>63</v>
      </c>
      <c r="Q978" s="19" t="s">
        <v>29</v>
      </c>
      <c r="R978" s="19" t="s">
        <v>4700</v>
      </c>
      <c r="S978" s="45" t="s">
        <v>4683</v>
      </c>
      <c r="T978" s="8">
        <v>46051</v>
      </c>
      <c r="U978" s="19"/>
      <c r="V978" s="55">
        <f>M978-Z978-AB978-AD978-AF978-AH978-AJ978-AL978-AN978-AP978-AR978-AT978-AV978-AX978-AZ978-BB978-BD978-BF978-BH978-U978</f>
        <v>-1.7999999999992724</v>
      </c>
      <c r="W978" s="15" t="s">
        <v>4703</v>
      </c>
      <c r="X978" s="19"/>
      <c r="Y978" s="10"/>
      <c r="Z978" s="19">
        <f>1878.3+227.8+2895.7</f>
        <v>5001.7999999999993</v>
      </c>
      <c r="AA978" s="123">
        <v>46051</v>
      </c>
    </row>
    <row r="979" spans="1:37" s="28" customFormat="1" ht="20.25" customHeight="1">
      <c r="A979" s="11">
        <v>46035</v>
      </c>
      <c r="B979" s="16" t="s">
        <v>4719</v>
      </c>
      <c r="C979" s="16" t="s">
        <v>2624</v>
      </c>
      <c r="D979" s="16" t="s">
        <v>212</v>
      </c>
      <c r="E979" s="16" t="s">
        <v>25</v>
      </c>
      <c r="F979" s="16" t="s">
        <v>4731</v>
      </c>
      <c r="G979" s="16" t="s">
        <v>71</v>
      </c>
      <c r="H979" s="16" t="s">
        <v>31</v>
      </c>
      <c r="I979" s="16"/>
      <c r="J979" s="16" t="s">
        <v>27</v>
      </c>
      <c r="K979" s="16" t="s">
        <v>273</v>
      </c>
      <c r="L979" s="16" t="s">
        <v>35</v>
      </c>
      <c r="M979" s="17">
        <v>380.2</v>
      </c>
      <c r="N979" s="23">
        <v>1.29</v>
      </c>
      <c r="O979" s="16" t="s">
        <v>67</v>
      </c>
      <c r="P979" s="16" t="s">
        <v>63</v>
      </c>
      <c r="Q979" s="16" t="s">
        <v>29</v>
      </c>
      <c r="R979" s="16" t="s">
        <v>4744</v>
      </c>
      <c r="S979" s="12" t="s">
        <v>734</v>
      </c>
      <c r="T979" s="13">
        <v>46058</v>
      </c>
      <c r="U979" s="19"/>
      <c r="V979" s="53">
        <f>M979-Z979-AB979-AD979-AF979-AH979-AJ979-AL979-AN979-AP979-AR979-AT979-AV979-AX979-AZ979-BB979-BD979-BF979-BH979-U979</f>
        <v>-8.5</v>
      </c>
      <c r="W979" s="22" t="s">
        <v>4754</v>
      </c>
      <c r="X979" s="16"/>
      <c r="Y979" s="9"/>
      <c r="Z979" s="19">
        <f>349.9+38.8</f>
        <v>388.7</v>
      </c>
      <c r="AA979" s="252">
        <v>46057</v>
      </c>
    </row>
    <row r="980" spans="1:37" s="28" customFormat="1" ht="20.25" customHeight="1">
      <c r="A980" s="11">
        <v>46035</v>
      </c>
      <c r="B980" s="16" t="s">
        <v>4720</v>
      </c>
      <c r="C980" s="16" t="s">
        <v>290</v>
      </c>
      <c r="D980" s="16" t="s">
        <v>212</v>
      </c>
      <c r="E980" s="16" t="s">
        <v>25</v>
      </c>
      <c r="F980" s="16" t="s">
        <v>4732</v>
      </c>
      <c r="G980" s="16" t="s">
        <v>71</v>
      </c>
      <c r="H980" s="16" t="s">
        <v>31</v>
      </c>
      <c r="I980" s="1"/>
      <c r="J980" s="1" t="s">
        <v>27</v>
      </c>
      <c r="K980" s="16" t="s">
        <v>239</v>
      </c>
      <c r="L980" s="1" t="s">
        <v>35</v>
      </c>
      <c r="M980" s="17">
        <v>265</v>
      </c>
      <c r="N980" s="23">
        <v>1.29</v>
      </c>
      <c r="O980" s="16" t="s">
        <v>1063</v>
      </c>
      <c r="P980" s="16" t="s">
        <v>63</v>
      </c>
      <c r="Q980" s="16" t="s">
        <v>4745</v>
      </c>
      <c r="R980" s="16" t="s">
        <v>4746</v>
      </c>
      <c r="S980" s="12" t="s">
        <v>4646</v>
      </c>
      <c r="T980" s="13">
        <v>46049</v>
      </c>
      <c r="U980" s="19"/>
      <c r="V980" s="53">
        <f>M980-Z980-AB980-AD980-AF980-AH980-AJ980-AL980-AN980-AP980-AR980-AT980-AV980-AX980-AZ980-BB980-BD980-BF980-BH980-U980</f>
        <v>-0.5</v>
      </c>
      <c r="W980" s="22" t="s">
        <v>4755</v>
      </c>
      <c r="X980" s="16"/>
      <c r="Y980" s="9" t="s">
        <v>5025</v>
      </c>
      <c r="Z980" s="19">
        <v>265.5</v>
      </c>
      <c r="AA980" s="252">
        <v>46058</v>
      </c>
    </row>
    <row r="981" spans="1:37" s="28" customFormat="1" ht="20.25" customHeight="1">
      <c r="A981" s="11">
        <v>46035</v>
      </c>
      <c r="B981" s="16" t="s">
        <v>4721</v>
      </c>
      <c r="C981" s="16" t="s">
        <v>290</v>
      </c>
      <c r="D981" s="16" t="s">
        <v>212</v>
      </c>
      <c r="E981" s="16" t="s">
        <v>25</v>
      </c>
      <c r="F981" s="16" t="s">
        <v>4733</v>
      </c>
      <c r="G981" s="16" t="s">
        <v>71</v>
      </c>
      <c r="H981" s="16" t="s">
        <v>31</v>
      </c>
      <c r="I981" s="1"/>
      <c r="J981" s="1" t="s">
        <v>27</v>
      </c>
      <c r="K981" s="16" t="s">
        <v>239</v>
      </c>
      <c r="L981" s="1" t="s">
        <v>35</v>
      </c>
      <c r="M981" s="17">
        <v>55</v>
      </c>
      <c r="N981" s="23">
        <v>1.29</v>
      </c>
      <c r="O981" s="16" t="s">
        <v>1063</v>
      </c>
      <c r="P981" s="16" t="s">
        <v>63</v>
      </c>
      <c r="Q981" s="16" t="s">
        <v>4745</v>
      </c>
      <c r="R981" s="16" t="s">
        <v>4746</v>
      </c>
      <c r="S981" s="12" t="s">
        <v>4646</v>
      </c>
      <c r="T981" s="13">
        <v>46049</v>
      </c>
      <c r="U981" s="19"/>
      <c r="V981" s="53">
        <f>M981-Z981-AB981-AD981-AF981-AH981-AJ981-AL981-AN981-AP981-AR981-AT981-AV981-AX981-AZ981-BB981-BD981-BF981-BH981-U981</f>
        <v>-4.2999999999999972</v>
      </c>
      <c r="W981" s="22" t="s">
        <v>4756</v>
      </c>
      <c r="X981" s="16"/>
      <c r="Y981" s="9" t="s">
        <v>5025</v>
      </c>
      <c r="Z981" s="19">
        <v>59.3</v>
      </c>
      <c r="AA981" s="252">
        <v>46058</v>
      </c>
    </row>
    <row r="982" spans="1:37" s="28" customFormat="1" ht="20.25" customHeight="1">
      <c r="A982" s="11">
        <v>46035</v>
      </c>
      <c r="B982" s="16" t="s">
        <v>4722</v>
      </c>
      <c r="C982" s="16" t="s">
        <v>290</v>
      </c>
      <c r="D982" s="16" t="s">
        <v>212</v>
      </c>
      <c r="E982" s="16" t="s">
        <v>25</v>
      </c>
      <c r="F982" s="16" t="s">
        <v>4734</v>
      </c>
      <c r="G982" s="16" t="s">
        <v>71</v>
      </c>
      <c r="H982" s="16" t="s">
        <v>31</v>
      </c>
      <c r="I982" s="1"/>
      <c r="J982" s="1" t="s">
        <v>27</v>
      </c>
      <c r="K982" s="16" t="s">
        <v>239</v>
      </c>
      <c r="L982" s="1" t="s">
        <v>35</v>
      </c>
      <c r="M982" s="17">
        <v>485</v>
      </c>
      <c r="N982" s="6">
        <v>1.29</v>
      </c>
      <c r="O982" s="1" t="s">
        <v>67</v>
      </c>
      <c r="P982" s="1" t="s">
        <v>63</v>
      </c>
      <c r="Q982" s="1" t="s">
        <v>4745</v>
      </c>
      <c r="R982" s="16" t="s">
        <v>4746</v>
      </c>
      <c r="S982" s="12" t="s">
        <v>4646</v>
      </c>
      <c r="T982" s="13">
        <v>46049</v>
      </c>
      <c r="U982" s="19"/>
      <c r="V982" s="53">
        <f>M982-Z982-AB982-AD982-AF982-AH982-AJ982-AL982-AN982-AP982-AR982-AT982-AV982-AX982-AZ982-BB982-BD982-BF982-BH982-U982</f>
        <v>-3.6999999999999886</v>
      </c>
      <c r="W982" s="22" t="s">
        <v>4757</v>
      </c>
      <c r="X982" s="16"/>
      <c r="Y982" s="9" t="s">
        <v>5025</v>
      </c>
      <c r="Z982" s="19">
        <v>488.7</v>
      </c>
      <c r="AA982" s="252">
        <v>46058</v>
      </c>
    </row>
    <row r="983" spans="1:37" s="28" customFormat="1" ht="20.25" customHeight="1">
      <c r="A983" s="11">
        <v>46035</v>
      </c>
      <c r="B983" s="16" t="s">
        <v>4723</v>
      </c>
      <c r="C983" s="16" t="s">
        <v>290</v>
      </c>
      <c r="D983" s="16" t="s">
        <v>212</v>
      </c>
      <c r="E983" s="16" t="s">
        <v>25</v>
      </c>
      <c r="F983" s="16" t="s">
        <v>4735</v>
      </c>
      <c r="G983" s="16" t="s">
        <v>71</v>
      </c>
      <c r="H983" s="16" t="s">
        <v>31</v>
      </c>
      <c r="I983" s="1"/>
      <c r="J983" s="1" t="s">
        <v>27</v>
      </c>
      <c r="K983" s="16" t="s">
        <v>239</v>
      </c>
      <c r="L983" s="1" t="s">
        <v>35</v>
      </c>
      <c r="M983" s="17">
        <v>635</v>
      </c>
      <c r="N983" s="23">
        <v>1.29</v>
      </c>
      <c r="O983" s="16" t="s">
        <v>1063</v>
      </c>
      <c r="P983" s="16" t="s">
        <v>63</v>
      </c>
      <c r="Q983" s="16" t="s">
        <v>4747</v>
      </c>
      <c r="R983" s="16" t="s">
        <v>4748</v>
      </c>
      <c r="S983" s="12" t="s">
        <v>4646</v>
      </c>
      <c r="T983" s="13">
        <v>46049</v>
      </c>
      <c r="U983" s="19"/>
      <c r="V983" s="53">
        <f>M983-Z983-AB983-AD983-AF983-AH983-AJ983-AL983-AN983-AP983-AR983-AT983-AV983-AX983-AZ983-BB983-BD983-BF983-BH983-U983</f>
        <v>-0.60000000000002274</v>
      </c>
      <c r="W983" s="22" t="s">
        <v>4758</v>
      </c>
      <c r="X983" s="16"/>
      <c r="Y983" s="9" t="s">
        <v>5025</v>
      </c>
      <c r="Z983" s="19">
        <v>635.6</v>
      </c>
      <c r="AA983" s="252">
        <v>46058</v>
      </c>
    </row>
    <row r="984" spans="1:37" s="36" customFormat="1" ht="20.25" customHeight="1">
      <c r="A984" s="7">
        <v>46035</v>
      </c>
      <c r="B984" s="19" t="s">
        <v>4724</v>
      </c>
      <c r="C984" s="19" t="s">
        <v>243</v>
      </c>
      <c r="D984" s="19" t="s">
        <v>212</v>
      </c>
      <c r="E984" s="19" t="s">
        <v>25</v>
      </c>
      <c r="F984" s="19" t="s">
        <v>4736</v>
      </c>
      <c r="G984" s="19" t="s">
        <v>71</v>
      </c>
      <c r="H984" s="19" t="s">
        <v>31</v>
      </c>
      <c r="I984" s="19"/>
      <c r="J984" s="19" t="s">
        <v>27</v>
      </c>
      <c r="K984" s="19" t="s">
        <v>4495</v>
      </c>
      <c r="L984" s="19" t="s">
        <v>35</v>
      </c>
      <c r="M984" s="20">
        <v>259</v>
      </c>
      <c r="N984" s="25">
        <v>1.29</v>
      </c>
      <c r="O984" s="19" t="s">
        <v>67</v>
      </c>
      <c r="P984" s="19" t="s">
        <v>63</v>
      </c>
      <c r="Q984" s="19" t="s">
        <v>2126</v>
      </c>
      <c r="R984" s="19" t="s">
        <v>2186</v>
      </c>
      <c r="S984" s="45" t="s">
        <v>734</v>
      </c>
      <c r="T984" s="8">
        <v>46058</v>
      </c>
      <c r="U984" s="19"/>
      <c r="V984" s="55">
        <f>M984-Z984-AB984-AD984-AF984-AH984-AJ984-AL984-AN984-AP984-AR984-AT984-AV984-AX984-AZ984-BB984-BD984-BF984-BH984-U984</f>
        <v>-3.3999999999999773</v>
      </c>
      <c r="W984" s="15" t="s">
        <v>4759</v>
      </c>
      <c r="X984" s="19"/>
      <c r="Y984" s="10" t="s">
        <v>4815</v>
      </c>
      <c r="Z984" s="19">
        <v>262.39999999999998</v>
      </c>
      <c r="AA984" s="123">
        <v>46049</v>
      </c>
    </row>
    <row r="985" spans="1:37" s="36" customFormat="1" ht="20.25" customHeight="1">
      <c r="A985" s="7">
        <v>46035</v>
      </c>
      <c r="B985" s="19" t="s">
        <v>4725</v>
      </c>
      <c r="C985" s="19" t="s">
        <v>243</v>
      </c>
      <c r="D985" s="19" t="s">
        <v>212</v>
      </c>
      <c r="E985" s="19" t="s">
        <v>25</v>
      </c>
      <c r="F985" s="19" t="s">
        <v>4737</v>
      </c>
      <c r="G985" s="19" t="s">
        <v>71</v>
      </c>
      <c r="H985" s="19" t="s">
        <v>31</v>
      </c>
      <c r="I985" s="19"/>
      <c r="J985" s="19" t="s">
        <v>27</v>
      </c>
      <c r="K985" s="19" t="s">
        <v>4710</v>
      </c>
      <c r="L985" s="19" t="s">
        <v>35</v>
      </c>
      <c r="M985" s="20">
        <v>109</v>
      </c>
      <c r="N985" s="25">
        <v>1.29</v>
      </c>
      <c r="O985" s="19" t="s">
        <v>67</v>
      </c>
      <c r="P985" s="19" t="s">
        <v>63</v>
      </c>
      <c r="Q985" s="19" t="s">
        <v>2128</v>
      </c>
      <c r="R985" s="19" t="s">
        <v>1295</v>
      </c>
      <c r="S985" s="45" t="s">
        <v>734</v>
      </c>
      <c r="T985" s="8">
        <v>46058</v>
      </c>
      <c r="U985" s="19"/>
      <c r="V985" s="55">
        <f>M985-Z985-AB985-AD985-AF985-AH985-AJ985-AL985-AN985-AP985-AR985-AT985-AV985-AX985-AZ985-BB985-BD985-BF985-BH985-U985</f>
        <v>-4.9000000000000057</v>
      </c>
      <c r="W985" s="15" t="s">
        <v>4760</v>
      </c>
      <c r="X985" s="19"/>
      <c r="Y985" s="10" t="s">
        <v>4815</v>
      </c>
      <c r="Z985" s="19">
        <v>113.9</v>
      </c>
      <c r="AA985" s="123">
        <v>46049</v>
      </c>
    </row>
    <row r="986" spans="1:37" s="28" customFormat="1" ht="20.25" customHeight="1">
      <c r="A986" s="11">
        <v>46035</v>
      </c>
      <c r="B986" s="16" t="s">
        <v>4726</v>
      </c>
      <c r="C986" s="16" t="s">
        <v>304</v>
      </c>
      <c r="D986" s="16" t="s">
        <v>212</v>
      </c>
      <c r="E986" s="16" t="s">
        <v>25</v>
      </c>
      <c r="F986" s="16" t="s">
        <v>4738</v>
      </c>
      <c r="G986" s="16" t="s">
        <v>71</v>
      </c>
      <c r="H986" s="16" t="s">
        <v>31</v>
      </c>
      <c r="I986" s="16"/>
      <c r="J986" s="16" t="s">
        <v>27</v>
      </c>
      <c r="K986" s="16" t="s">
        <v>2123</v>
      </c>
      <c r="L986" s="16" t="s">
        <v>35</v>
      </c>
      <c r="M986" s="17">
        <v>3000</v>
      </c>
      <c r="N986" s="23">
        <v>1.29</v>
      </c>
      <c r="O986" s="16" t="s">
        <v>67</v>
      </c>
      <c r="P986" s="16" t="s">
        <v>63</v>
      </c>
      <c r="Q986" s="16" t="s">
        <v>29</v>
      </c>
      <c r="R986" s="16" t="s">
        <v>29</v>
      </c>
      <c r="S986" s="12" t="s">
        <v>4752</v>
      </c>
      <c r="T986" s="13">
        <v>46050</v>
      </c>
      <c r="U986" s="19"/>
      <c r="V986" s="53">
        <f>M986-Z986-AB986-AD986-AF986-AH986-AJ986-AL986-AN986-AP986-AR986-AT986-AV986-AX986-AZ986-BB986-BD986-BF986-BH986-U986</f>
        <v>-6.5000000000000568</v>
      </c>
      <c r="W986" s="22" t="s">
        <v>4761</v>
      </c>
      <c r="X986" s="16"/>
      <c r="Y986" s="9"/>
      <c r="Z986" s="19">
        <v>161.9</v>
      </c>
      <c r="AA986" s="252">
        <v>46051</v>
      </c>
      <c r="AB986" s="19">
        <f>288.1+2166.9</f>
        <v>2455</v>
      </c>
      <c r="AC986" s="252">
        <v>46056</v>
      </c>
      <c r="AD986" s="19">
        <v>126.4</v>
      </c>
      <c r="AE986" s="252">
        <v>46058</v>
      </c>
      <c r="AF986" s="19">
        <f>36.2+227</f>
        <v>263.2</v>
      </c>
      <c r="AG986" s="252">
        <v>46062</v>
      </c>
    </row>
    <row r="987" spans="1:37" s="36" customFormat="1" ht="20.25" customHeight="1">
      <c r="A987" s="7">
        <v>46035</v>
      </c>
      <c r="B987" s="19" t="s">
        <v>4727</v>
      </c>
      <c r="C987" s="19" t="s">
        <v>400</v>
      </c>
      <c r="D987" s="19" t="s">
        <v>212</v>
      </c>
      <c r="E987" s="19" t="s">
        <v>25</v>
      </c>
      <c r="F987" s="19" t="s">
        <v>4739</v>
      </c>
      <c r="G987" s="19" t="s">
        <v>71</v>
      </c>
      <c r="H987" s="19" t="s">
        <v>31</v>
      </c>
      <c r="I987" s="19"/>
      <c r="J987" s="19" t="s">
        <v>27</v>
      </c>
      <c r="K987" s="19" t="s">
        <v>4108</v>
      </c>
      <c r="L987" s="19" t="s">
        <v>35</v>
      </c>
      <c r="M987" s="20">
        <v>2000</v>
      </c>
      <c r="N987" s="25">
        <v>1.29</v>
      </c>
      <c r="O987" s="19" t="s">
        <v>67</v>
      </c>
      <c r="P987" s="19" t="s">
        <v>63</v>
      </c>
      <c r="Q987" s="19" t="s">
        <v>2494</v>
      </c>
      <c r="R987" s="19" t="s">
        <v>4749</v>
      </c>
      <c r="S987" s="45" t="s">
        <v>4627</v>
      </c>
      <c r="T987" s="8">
        <v>46058</v>
      </c>
      <c r="U987" s="19"/>
      <c r="V987" s="55">
        <f>M987-Z987-AB987-AD987-AF987-AH987-AJ987-AL987-AN987-AP987-AR987-AT987-AV987-AX987-AZ987-BB987-BD987-BF987-BH987-U987</f>
        <v>-7.5999999999999091</v>
      </c>
      <c r="W987" s="15" t="s">
        <v>4762</v>
      </c>
      <c r="X987" s="8">
        <v>46064</v>
      </c>
      <c r="Y987" s="10"/>
      <c r="Z987" s="19">
        <v>132.1</v>
      </c>
      <c r="AA987" s="123">
        <v>46049</v>
      </c>
      <c r="AB987" s="19">
        <f>1031.6+843.9</f>
        <v>1875.5</v>
      </c>
      <c r="AC987" s="123">
        <v>46064</v>
      </c>
    </row>
    <row r="988" spans="1:37" s="28" customFormat="1" ht="20.25" customHeight="1">
      <c r="A988" s="11">
        <v>46035</v>
      </c>
      <c r="B988" s="16" t="s">
        <v>4727</v>
      </c>
      <c r="C988" s="16" t="s">
        <v>400</v>
      </c>
      <c r="D988" s="16" t="s">
        <v>212</v>
      </c>
      <c r="E988" s="16" t="s">
        <v>25</v>
      </c>
      <c r="F988" s="16" t="s">
        <v>4739</v>
      </c>
      <c r="G988" s="16" t="s">
        <v>71</v>
      </c>
      <c r="H988" s="16" t="s">
        <v>31</v>
      </c>
      <c r="I988" s="1"/>
      <c r="J988" s="1" t="s">
        <v>27</v>
      </c>
      <c r="K988" s="16" t="s">
        <v>1328</v>
      </c>
      <c r="L988" s="1" t="s">
        <v>35</v>
      </c>
      <c r="M988" s="17">
        <v>728.4</v>
      </c>
      <c r="N988" s="6">
        <v>1.29</v>
      </c>
      <c r="O988" s="1" t="s">
        <v>67</v>
      </c>
      <c r="P988" s="1" t="s">
        <v>63</v>
      </c>
      <c r="Q988" s="1" t="s">
        <v>2494</v>
      </c>
      <c r="R988" s="1" t="s">
        <v>3954</v>
      </c>
      <c r="S988" s="121" t="s">
        <v>4627</v>
      </c>
      <c r="T988" s="5">
        <v>46058</v>
      </c>
      <c r="U988" s="19"/>
      <c r="V988" s="53">
        <f>M988-Z988-AB988-AD988-AF988-AH988-AJ988-AL988-AN988-AP988-AR988-AT988-AV988-AX988-AZ988-BB988-BD988-BF988-BH988-U988</f>
        <v>-1.8000000000000114</v>
      </c>
      <c r="W988" s="22" t="s">
        <v>4763</v>
      </c>
      <c r="X988" s="16" t="s">
        <v>5203</v>
      </c>
      <c r="Y988" s="9"/>
      <c r="Z988" s="19">
        <v>447.3</v>
      </c>
      <c r="AA988" s="252">
        <v>46091</v>
      </c>
      <c r="AB988" s="19">
        <v>282.89999999999998</v>
      </c>
      <c r="AC988" s="252">
        <v>46111</v>
      </c>
    </row>
    <row r="989" spans="1:37" s="28" customFormat="1" ht="20.25" customHeight="1">
      <c r="A989" s="11">
        <v>46035</v>
      </c>
      <c r="B989" s="16" t="s">
        <v>4727</v>
      </c>
      <c r="C989" s="16" t="s">
        <v>400</v>
      </c>
      <c r="D989" s="16" t="s">
        <v>212</v>
      </c>
      <c r="E989" s="16" t="s">
        <v>25</v>
      </c>
      <c r="F989" s="16" t="s">
        <v>4739</v>
      </c>
      <c r="G989" s="16" t="s">
        <v>71</v>
      </c>
      <c r="H989" s="16" t="s">
        <v>31</v>
      </c>
      <c r="I989" s="16"/>
      <c r="J989" s="16" t="s">
        <v>27</v>
      </c>
      <c r="K989" s="16" t="s">
        <v>3482</v>
      </c>
      <c r="L989" s="16" t="s">
        <v>35</v>
      </c>
      <c r="M989" s="17">
        <v>1331.5</v>
      </c>
      <c r="N989" s="23">
        <v>1.29</v>
      </c>
      <c r="O989" s="16" t="s">
        <v>67</v>
      </c>
      <c r="P989" s="16" t="s">
        <v>63</v>
      </c>
      <c r="Q989" s="16" t="s">
        <v>2494</v>
      </c>
      <c r="R989" s="16" t="s">
        <v>3954</v>
      </c>
      <c r="S989" s="12" t="s">
        <v>4627</v>
      </c>
      <c r="T989" s="13">
        <v>46058</v>
      </c>
      <c r="U989" s="19"/>
      <c r="V989" s="53">
        <f>M989-Z989-AB989-AD989-AF989-AH989-AJ989-AL989-AN989-AP989-AR989-AT989-AV989-AX989-AZ989-BB989-BD989-BF989-BH989-U989</f>
        <v>-2.1000000000000227</v>
      </c>
      <c r="W989" s="22" t="s">
        <v>4764</v>
      </c>
      <c r="X989" s="16" t="s">
        <v>5203</v>
      </c>
      <c r="Y989" s="9"/>
      <c r="Z989" s="19">
        <f>384.3+361.3</f>
        <v>745.6</v>
      </c>
      <c r="AA989" s="252">
        <v>46111</v>
      </c>
      <c r="AB989" s="19">
        <v>368.7</v>
      </c>
      <c r="AC989" s="252">
        <v>46113</v>
      </c>
      <c r="AD989" s="19">
        <v>219.3</v>
      </c>
      <c r="AE989" s="252">
        <v>46118</v>
      </c>
    </row>
    <row r="990" spans="1:37" s="122" customFormat="1" ht="20.25" customHeight="1">
      <c r="A990" s="300">
        <v>46035</v>
      </c>
      <c r="B990" s="301" t="s">
        <v>4727</v>
      </c>
      <c r="C990" s="301" t="s">
        <v>400</v>
      </c>
      <c r="D990" s="301" t="s">
        <v>212</v>
      </c>
      <c r="E990" s="301" t="s">
        <v>25</v>
      </c>
      <c r="F990" s="301" t="s">
        <v>4739</v>
      </c>
      <c r="G990" s="301" t="s">
        <v>71</v>
      </c>
      <c r="H990" s="301" t="s">
        <v>31</v>
      </c>
      <c r="I990" s="301"/>
      <c r="J990" s="301" t="s">
        <v>27</v>
      </c>
      <c r="K990" s="301" t="s">
        <v>1012</v>
      </c>
      <c r="L990" s="301" t="s">
        <v>35</v>
      </c>
      <c r="M990" s="302">
        <v>15000</v>
      </c>
      <c r="N990" s="303">
        <v>1.29</v>
      </c>
      <c r="O990" s="301" t="s">
        <v>67</v>
      </c>
      <c r="P990" s="301" t="s">
        <v>63</v>
      </c>
      <c r="Q990" s="301" t="s">
        <v>2494</v>
      </c>
      <c r="R990" s="301" t="s">
        <v>4502</v>
      </c>
      <c r="S990" s="304" t="s">
        <v>4627</v>
      </c>
      <c r="T990" s="305">
        <v>46058</v>
      </c>
      <c r="U990" s="19"/>
      <c r="V990" s="306">
        <f>M990-Z990-AB990-AD990-AF990-AH990-AJ990-AL990-AN990-AP990-AR990-AT990-AV990-AX990-AZ990-BB990-BD990-BF990-BH990-U990</f>
        <v>-1.5999999999996817</v>
      </c>
      <c r="W990" s="307" t="s">
        <v>4765</v>
      </c>
      <c r="X990" s="301" t="s">
        <v>5204</v>
      </c>
      <c r="Y990" s="335"/>
      <c r="Z990" s="301">
        <v>2490.3000000000002</v>
      </c>
      <c r="AA990" s="312">
        <v>46056</v>
      </c>
      <c r="AB990" s="301">
        <f>856.5+3562.8+1835.5</f>
        <v>6254.8</v>
      </c>
      <c r="AC990" s="312">
        <v>46071</v>
      </c>
      <c r="AD990" s="301">
        <v>1765.3</v>
      </c>
      <c r="AE990" s="312">
        <v>46079</v>
      </c>
      <c r="AF990" s="301">
        <f>162.1+614.2</f>
        <v>776.30000000000007</v>
      </c>
      <c r="AG990" s="312">
        <v>46086</v>
      </c>
      <c r="AH990" s="19">
        <v>1856.7</v>
      </c>
      <c r="AI990" s="312">
        <v>46091</v>
      </c>
      <c r="AJ990" s="19">
        <f>1278.1+580.1</f>
        <v>1858.1999999999998</v>
      </c>
      <c r="AK990" s="312">
        <v>46094</v>
      </c>
    </row>
    <row r="991" spans="1:37" s="28" customFormat="1" ht="20.25" customHeight="1">
      <c r="A991" s="11">
        <v>46035</v>
      </c>
      <c r="B991" s="16" t="s">
        <v>4727</v>
      </c>
      <c r="C991" s="16" t="s">
        <v>400</v>
      </c>
      <c r="D991" s="16" t="s">
        <v>212</v>
      </c>
      <c r="E991" s="16" t="s">
        <v>25</v>
      </c>
      <c r="F991" s="16" t="s">
        <v>4739</v>
      </c>
      <c r="G991" s="16" t="s">
        <v>71</v>
      </c>
      <c r="H991" s="16" t="s">
        <v>31</v>
      </c>
      <c r="I991" s="16"/>
      <c r="J991" s="16" t="s">
        <v>27</v>
      </c>
      <c r="K991" s="16" t="s">
        <v>1328</v>
      </c>
      <c r="L991" s="16" t="s">
        <v>35</v>
      </c>
      <c r="M991" s="17">
        <v>940.1</v>
      </c>
      <c r="N991" s="23">
        <v>1.29</v>
      </c>
      <c r="O991" s="16" t="s">
        <v>67</v>
      </c>
      <c r="P991" s="16" t="s">
        <v>63</v>
      </c>
      <c r="Q991" s="16" t="s">
        <v>2494</v>
      </c>
      <c r="R991" s="16" t="s">
        <v>4305</v>
      </c>
      <c r="S991" s="12" t="s">
        <v>4627</v>
      </c>
      <c r="T991" s="13">
        <v>46058</v>
      </c>
      <c r="U991" s="19"/>
      <c r="V991" s="53">
        <f>M991-Z991-AB991-AD991-AF991-AH991-AJ991-AL991-AN991-AP991-AR991-AT991-AV991-AX991-AZ991-BB991-BD991-BF991-BH991-U991</f>
        <v>-2.3999999999999773</v>
      </c>
      <c r="W991" s="22" t="s">
        <v>4766</v>
      </c>
      <c r="X991" s="16" t="s">
        <v>5203</v>
      </c>
      <c r="Y991" s="9"/>
      <c r="Z991" s="19">
        <v>942.5</v>
      </c>
      <c r="AA991" s="252">
        <v>46118</v>
      </c>
    </row>
    <row r="992" spans="1:37" s="28" customFormat="1" ht="20.25" customHeight="1">
      <c r="A992" s="11">
        <v>46035</v>
      </c>
      <c r="B992" s="16" t="s">
        <v>4728</v>
      </c>
      <c r="C992" s="16" t="s">
        <v>304</v>
      </c>
      <c r="D992" s="16" t="s">
        <v>212</v>
      </c>
      <c r="E992" s="16" t="s">
        <v>25</v>
      </c>
      <c r="F992" s="16" t="s">
        <v>4740</v>
      </c>
      <c r="G992" s="16" t="s">
        <v>71</v>
      </c>
      <c r="H992" s="16" t="s">
        <v>31</v>
      </c>
      <c r="I992" s="16"/>
      <c r="J992" s="16" t="s">
        <v>27</v>
      </c>
      <c r="K992" s="16" t="s">
        <v>588</v>
      </c>
      <c r="L992" s="16" t="s">
        <v>35</v>
      </c>
      <c r="M992" s="17">
        <v>360</v>
      </c>
      <c r="N992" s="23">
        <v>1.29</v>
      </c>
      <c r="O992" s="16" t="s">
        <v>67</v>
      </c>
      <c r="P992" s="16" t="s">
        <v>63</v>
      </c>
      <c r="Q992" s="16" t="s">
        <v>29</v>
      </c>
      <c r="R992" s="16" t="s">
        <v>4079</v>
      </c>
      <c r="S992" s="12" t="s">
        <v>4753</v>
      </c>
      <c r="T992" s="13">
        <v>46056</v>
      </c>
      <c r="U992" s="19"/>
      <c r="V992" s="53">
        <f>M992-Z992-AB992-AD992-AF992-AH992-AJ992-AL992-AN992-AP992-AR992-AT992-AV992-AX992-AZ992-BB992-BD992-BF992-BH992-U992</f>
        <v>-1.1999999999999886</v>
      </c>
      <c r="W992" s="22" t="s">
        <v>4767</v>
      </c>
      <c r="X992" s="16"/>
      <c r="Y992" s="9"/>
      <c r="Z992" s="19">
        <f>26.8+103.8</f>
        <v>130.6</v>
      </c>
      <c r="AA992" s="252">
        <v>46049</v>
      </c>
      <c r="AB992" s="19">
        <v>230.6</v>
      </c>
      <c r="AC992" s="252">
        <v>46056</v>
      </c>
    </row>
    <row r="993" spans="1:37" s="36" customFormat="1" ht="20.25" customHeight="1">
      <c r="A993" s="7">
        <v>46035</v>
      </c>
      <c r="B993" s="19" t="s">
        <v>4729</v>
      </c>
      <c r="C993" s="19" t="s">
        <v>304</v>
      </c>
      <c r="D993" s="19" t="s">
        <v>212</v>
      </c>
      <c r="E993" s="19" t="s">
        <v>25</v>
      </c>
      <c r="F993" s="19" t="s">
        <v>4741</v>
      </c>
      <c r="G993" s="19" t="s">
        <v>71</v>
      </c>
      <c r="H993" s="19" t="s">
        <v>31</v>
      </c>
      <c r="I993" s="19"/>
      <c r="J993" s="19" t="s">
        <v>27</v>
      </c>
      <c r="K993" s="19" t="s">
        <v>332</v>
      </c>
      <c r="L993" s="19" t="s">
        <v>35</v>
      </c>
      <c r="M993" s="20">
        <v>8980</v>
      </c>
      <c r="N993" s="25">
        <v>1.29</v>
      </c>
      <c r="O993" s="19" t="s">
        <v>67</v>
      </c>
      <c r="P993" s="19" t="s">
        <v>63</v>
      </c>
      <c r="Q993" s="19" t="s">
        <v>29</v>
      </c>
      <c r="R993" s="19" t="s">
        <v>4750</v>
      </c>
      <c r="S993" s="45" t="s">
        <v>4431</v>
      </c>
      <c r="T993" s="8">
        <v>46041</v>
      </c>
      <c r="U993" s="19"/>
      <c r="V993" s="55">
        <f>M993-Z993-AB993-AD993-AF993-AH993-AJ993-AL993-AN993-AP993-AR993-AT993-AV993-AX993-AZ993-BB993-BD993-BF993-BH993-U993</f>
        <v>-0.40000000000009095</v>
      </c>
      <c r="W993" s="15" t="s">
        <v>4768</v>
      </c>
      <c r="X993" s="19"/>
      <c r="Y993" s="10"/>
      <c r="Z993" s="19">
        <v>1914.3</v>
      </c>
      <c r="AA993" s="123">
        <v>46049</v>
      </c>
      <c r="AB993" s="19">
        <f>1213.9+539.4+1512.6</f>
        <v>3265.9</v>
      </c>
      <c r="AC993" s="123">
        <v>46051</v>
      </c>
      <c r="AD993" s="19">
        <v>771.6</v>
      </c>
      <c r="AE993" s="123">
        <v>46058</v>
      </c>
      <c r="AF993" s="19">
        <f>453.2+783.9+280.6</f>
        <v>1517.6999999999998</v>
      </c>
      <c r="AG993" s="123">
        <v>46062</v>
      </c>
      <c r="AH993" s="19">
        <f>607.9+397.1+505.9</f>
        <v>1510.9</v>
      </c>
      <c r="AI993" s="123">
        <v>46064</v>
      </c>
    </row>
    <row r="994" spans="1:37" s="36" customFormat="1" ht="20.25" customHeight="1">
      <c r="A994" s="7">
        <v>46035</v>
      </c>
      <c r="B994" s="19" t="s">
        <v>4730</v>
      </c>
      <c r="C994" s="19" t="s">
        <v>304</v>
      </c>
      <c r="D994" s="19" t="s">
        <v>212</v>
      </c>
      <c r="E994" s="19" t="s">
        <v>25</v>
      </c>
      <c r="F994" s="19" t="s">
        <v>4742</v>
      </c>
      <c r="G994" s="19" t="s">
        <v>71</v>
      </c>
      <c r="H994" s="19" t="s">
        <v>31</v>
      </c>
      <c r="I994" s="19"/>
      <c r="J994" s="19" t="s">
        <v>27</v>
      </c>
      <c r="K994" s="19" t="s">
        <v>4743</v>
      </c>
      <c r="L994" s="19" t="s">
        <v>35</v>
      </c>
      <c r="M994" s="20">
        <v>8285</v>
      </c>
      <c r="N994" s="25">
        <v>1.29</v>
      </c>
      <c r="O994" s="19" t="s">
        <v>67</v>
      </c>
      <c r="P994" s="19" t="s">
        <v>63</v>
      </c>
      <c r="Q994" s="19" t="s">
        <v>29</v>
      </c>
      <c r="R994" s="19" t="s">
        <v>4751</v>
      </c>
      <c r="S994" s="45" t="s">
        <v>734</v>
      </c>
      <c r="T994" s="8">
        <v>46058</v>
      </c>
      <c r="U994" s="19"/>
      <c r="V994" s="55">
        <f>M994-Z994-AB994-AD994-AF994-AH994-AJ994-AL994-AN994-AP994-AR994-AT994-AV994-AX994-AZ994-BB994-BD994-BF994-BH994-U994</f>
        <v>-1.3999999999996362</v>
      </c>
      <c r="W994" s="15" t="s">
        <v>4769</v>
      </c>
      <c r="X994" s="19"/>
      <c r="Y994" s="10"/>
      <c r="Z994" s="19">
        <v>1567.8</v>
      </c>
      <c r="AA994" s="123">
        <v>46051</v>
      </c>
      <c r="AB994" s="19">
        <f>1077.8+1047.1</f>
        <v>2124.8999999999996</v>
      </c>
      <c r="AC994" s="123">
        <v>46056</v>
      </c>
      <c r="AD994" s="19">
        <f>719.2+750.1</f>
        <v>1469.3000000000002</v>
      </c>
      <c r="AE994" s="123">
        <v>46058</v>
      </c>
      <c r="AF994" s="19">
        <f>221.1+2268.5+634.8</f>
        <v>3124.3999999999996</v>
      </c>
      <c r="AG994" s="123">
        <v>46062</v>
      </c>
    </row>
    <row r="995" spans="1:37" s="28" customFormat="1" ht="20.25" customHeight="1">
      <c r="A995" s="11">
        <v>46036</v>
      </c>
      <c r="B995" s="16" t="s">
        <v>4799</v>
      </c>
      <c r="C995" s="16" t="s">
        <v>304</v>
      </c>
      <c r="D995" s="16" t="s">
        <v>212</v>
      </c>
      <c r="E995" s="16" t="s">
        <v>25</v>
      </c>
      <c r="F995" s="16" t="s">
        <v>4802</v>
      </c>
      <c r="G995" s="16" t="s">
        <v>71</v>
      </c>
      <c r="H995" s="16" t="s">
        <v>31</v>
      </c>
      <c r="I995" s="16"/>
      <c r="J995" s="16" t="s">
        <v>27</v>
      </c>
      <c r="K995" s="16" t="s">
        <v>3598</v>
      </c>
      <c r="L995" s="16" t="s">
        <v>35</v>
      </c>
      <c r="M995" s="17">
        <v>100</v>
      </c>
      <c r="N995" s="23">
        <v>1.29</v>
      </c>
      <c r="O995" s="16" t="s">
        <v>67</v>
      </c>
      <c r="P995" s="16" t="s">
        <v>63</v>
      </c>
      <c r="Q995" s="16" t="s">
        <v>29</v>
      </c>
      <c r="R995" s="16" t="s">
        <v>4364</v>
      </c>
      <c r="S995" s="12" t="s">
        <v>4752</v>
      </c>
      <c r="T995" s="13">
        <v>46050</v>
      </c>
      <c r="U995" s="19"/>
      <c r="V995" s="53">
        <f>M995-Z995-AB995-AD995-AF995-AH995-AJ995-AL995-AN995-AP995-AR995-AT995-AV995-AX995-AZ995-BB995-BD995-BF995-BH995-U995</f>
        <v>3.5527136788005009E-15</v>
      </c>
      <c r="W995" s="22" t="s">
        <v>4805</v>
      </c>
      <c r="X995" s="16"/>
      <c r="Y995" s="9"/>
      <c r="Z995" s="19">
        <v>67.8</v>
      </c>
      <c r="AA995" s="252">
        <v>46049</v>
      </c>
      <c r="AB995" s="19">
        <v>10</v>
      </c>
      <c r="AC995" s="252">
        <v>46051</v>
      </c>
      <c r="AD995" s="19">
        <v>22.2</v>
      </c>
      <c r="AE995" s="252">
        <v>46056</v>
      </c>
    </row>
    <row r="996" spans="1:37" s="36" customFormat="1" ht="20.25" customHeight="1">
      <c r="A996" s="7">
        <v>46036</v>
      </c>
      <c r="B996" s="19" t="s">
        <v>4800</v>
      </c>
      <c r="C996" s="19" t="s">
        <v>304</v>
      </c>
      <c r="D996" s="19" t="s">
        <v>212</v>
      </c>
      <c r="E996" s="19" t="s">
        <v>25</v>
      </c>
      <c r="F996" s="19" t="s">
        <v>4803</v>
      </c>
      <c r="G996" s="19" t="s">
        <v>71</v>
      </c>
      <c r="H996" s="19" t="s">
        <v>31</v>
      </c>
      <c r="I996" s="19"/>
      <c r="J996" s="19" t="s">
        <v>27</v>
      </c>
      <c r="K996" s="19" t="s">
        <v>340</v>
      </c>
      <c r="L996" s="19" t="s">
        <v>35</v>
      </c>
      <c r="M996" s="20">
        <v>100</v>
      </c>
      <c r="N996" s="25">
        <v>1.29</v>
      </c>
      <c r="O996" s="19" t="s">
        <v>67</v>
      </c>
      <c r="P996" s="19" t="s">
        <v>63</v>
      </c>
      <c r="Q996" s="19" t="s">
        <v>29</v>
      </c>
      <c r="R996" s="19" t="s">
        <v>4700</v>
      </c>
      <c r="S996" s="45" t="s">
        <v>4752</v>
      </c>
      <c r="T996" s="8">
        <v>46050</v>
      </c>
      <c r="U996" s="19"/>
      <c r="V996" s="55">
        <f>M996-Z996-AB996-AD996-AF996-AH996-AJ996-AL996-AN996-AP996-AR996-AT996-AV996-AX996-AZ996-BB996-BD996-BF996-BH996-U996</f>
        <v>-0.90000000000000568</v>
      </c>
      <c r="W996" s="15" t="s">
        <v>4806</v>
      </c>
      <c r="X996" s="19"/>
      <c r="Y996" s="10"/>
      <c r="Z996" s="19">
        <v>100.9</v>
      </c>
      <c r="AA996" s="123">
        <v>46049</v>
      </c>
    </row>
    <row r="997" spans="1:37" s="28" customFormat="1" ht="20.25" customHeight="1">
      <c r="A997" s="11">
        <v>46036</v>
      </c>
      <c r="B997" s="16" t="s">
        <v>4801</v>
      </c>
      <c r="C997" s="16" t="s">
        <v>267</v>
      </c>
      <c r="D997" s="16" t="s">
        <v>212</v>
      </c>
      <c r="E997" s="16" t="s">
        <v>25</v>
      </c>
      <c r="F997" s="16" t="s">
        <v>4804</v>
      </c>
      <c r="G997" s="16" t="s">
        <v>71</v>
      </c>
      <c r="H997" s="16" t="s">
        <v>31</v>
      </c>
      <c r="I997" s="1"/>
      <c r="J997" s="1" t="s">
        <v>27</v>
      </c>
      <c r="K997" s="16" t="s">
        <v>3598</v>
      </c>
      <c r="L997" s="1" t="s">
        <v>35</v>
      </c>
      <c r="M997" s="17">
        <v>2740</v>
      </c>
      <c r="N997" s="6">
        <v>1.29</v>
      </c>
      <c r="O997" s="1" t="s">
        <v>67</v>
      </c>
      <c r="P997" s="1" t="s">
        <v>63</v>
      </c>
      <c r="Q997" s="1" t="s">
        <v>29</v>
      </c>
      <c r="R997" s="1" t="s">
        <v>4700</v>
      </c>
      <c r="S997" s="121" t="s">
        <v>4752</v>
      </c>
      <c r="T997" s="13">
        <v>46050</v>
      </c>
      <c r="U997" s="19"/>
      <c r="V997" s="53">
        <f>M997-Z997-AB997-AD997-AF997-AH997-AJ997-AL997-AN997-AP997-AR997-AT997-AV997-AX997-AZ997-BB997-BD997-BF997-BH997-U997</f>
        <v>-2.1999999999998181</v>
      </c>
      <c r="W997" s="22" t="s">
        <v>4807</v>
      </c>
      <c r="X997" s="16"/>
      <c r="Y997" s="9"/>
      <c r="Z997" s="19">
        <v>2742.2</v>
      </c>
      <c r="AA997" s="252">
        <v>46056</v>
      </c>
    </row>
    <row r="998" spans="1:37" s="28" customFormat="1" ht="20.25" customHeight="1">
      <c r="A998" s="11">
        <v>46037</v>
      </c>
      <c r="B998" s="16" t="s">
        <v>4816</v>
      </c>
      <c r="C998" s="16" t="s">
        <v>535</v>
      </c>
      <c r="D998" s="16" t="s">
        <v>212</v>
      </c>
      <c r="E998" s="16" t="s">
        <v>25</v>
      </c>
      <c r="F998" s="16" t="s">
        <v>4819</v>
      </c>
      <c r="G998" s="16" t="s">
        <v>71</v>
      </c>
      <c r="H998" s="16" t="s">
        <v>26</v>
      </c>
      <c r="I998" s="16"/>
      <c r="J998" s="16" t="s">
        <v>27</v>
      </c>
      <c r="K998" s="16" t="s">
        <v>4822</v>
      </c>
      <c r="L998" s="16" t="s">
        <v>35</v>
      </c>
      <c r="M998" s="17">
        <v>20</v>
      </c>
      <c r="N998" s="23">
        <v>1.27</v>
      </c>
      <c r="O998" s="16" t="s">
        <v>67</v>
      </c>
      <c r="P998" s="16" t="s">
        <v>63</v>
      </c>
      <c r="Q998" s="16" t="s">
        <v>3564</v>
      </c>
      <c r="R998" s="16" t="s">
        <v>3567</v>
      </c>
      <c r="S998" s="12" t="s">
        <v>4823</v>
      </c>
      <c r="T998" s="13">
        <v>46044</v>
      </c>
      <c r="U998" s="19"/>
      <c r="V998" s="53">
        <f>M998-Z998-AB998-AD998-AF998-AH998-AJ998-AL998-AN998-AP998-AR998-AT998-AV998-AX998-AZ998-BB998-BD998-BF998-BH998-U998</f>
        <v>-3.5</v>
      </c>
      <c r="W998" s="22" t="s">
        <v>4824</v>
      </c>
      <c r="X998" s="16"/>
      <c r="Y998" s="9"/>
      <c r="Z998" s="19">
        <v>23.5</v>
      </c>
      <c r="AA998" s="252">
        <v>46049</v>
      </c>
    </row>
    <row r="999" spans="1:37" s="28" customFormat="1" ht="20.25" customHeight="1">
      <c r="A999" s="11">
        <v>46037</v>
      </c>
      <c r="B999" s="16" t="s">
        <v>4817</v>
      </c>
      <c r="C999" s="16" t="s">
        <v>304</v>
      </c>
      <c r="D999" s="16" t="s">
        <v>212</v>
      </c>
      <c r="E999" s="16" t="s">
        <v>25</v>
      </c>
      <c r="F999" s="16" t="s">
        <v>4820</v>
      </c>
      <c r="G999" s="16" t="s">
        <v>71</v>
      </c>
      <c r="H999" s="16" t="s">
        <v>31</v>
      </c>
      <c r="I999" s="16"/>
      <c r="J999" s="16" t="s">
        <v>27</v>
      </c>
      <c r="K999" s="16" t="s">
        <v>1796</v>
      </c>
      <c r="L999" s="16" t="s">
        <v>35</v>
      </c>
      <c r="M999" s="17">
        <f>25-1.8</f>
        <v>23.2</v>
      </c>
      <c r="N999" s="23">
        <v>1.29</v>
      </c>
      <c r="O999" s="16" t="s">
        <v>67</v>
      </c>
      <c r="P999" s="16" t="s">
        <v>63</v>
      </c>
      <c r="Q999" s="16" t="s">
        <v>29</v>
      </c>
      <c r="R999" s="16" t="s">
        <v>2413</v>
      </c>
      <c r="S999" s="12" t="s">
        <v>4683</v>
      </c>
      <c r="T999" s="13">
        <v>46051</v>
      </c>
      <c r="U999" s="19"/>
      <c r="V999" s="53">
        <f>M999-Z999-AB999-AD999-AF999-AH999-AJ999-AL999-AN999-AP999-AR999-AT999-AV999-AX999-AZ999-BB999-BD999-BF999-BH999-U999</f>
        <v>0</v>
      </c>
      <c r="W999" s="22" t="s">
        <v>4825</v>
      </c>
      <c r="X999" s="16"/>
      <c r="Y999" s="9"/>
      <c r="Z999" s="19">
        <v>23.2</v>
      </c>
      <c r="AA999" s="252">
        <v>46062</v>
      </c>
    </row>
    <row r="1000" spans="1:37" s="28" customFormat="1" ht="20.25" customHeight="1">
      <c r="A1000" s="11">
        <v>46037</v>
      </c>
      <c r="B1000" s="16" t="s">
        <v>4818</v>
      </c>
      <c r="C1000" s="16" t="s">
        <v>304</v>
      </c>
      <c r="D1000" s="16" t="s">
        <v>212</v>
      </c>
      <c r="E1000" s="16" t="s">
        <v>25</v>
      </c>
      <c r="F1000" s="16" t="s">
        <v>4821</v>
      </c>
      <c r="G1000" s="16" t="s">
        <v>71</v>
      </c>
      <c r="H1000" s="16" t="s">
        <v>31</v>
      </c>
      <c r="I1000" s="16"/>
      <c r="J1000" s="16" t="s">
        <v>27</v>
      </c>
      <c r="K1000" s="16" t="s">
        <v>588</v>
      </c>
      <c r="L1000" s="16" t="s">
        <v>35</v>
      </c>
      <c r="M1000" s="17">
        <v>25</v>
      </c>
      <c r="N1000" s="23">
        <v>1.29</v>
      </c>
      <c r="O1000" s="16" t="s">
        <v>67</v>
      </c>
      <c r="P1000" s="16" t="s">
        <v>63</v>
      </c>
      <c r="Q1000" s="16" t="s">
        <v>29</v>
      </c>
      <c r="R1000" s="16" t="s">
        <v>4079</v>
      </c>
      <c r="S1000" s="12" t="s">
        <v>4683</v>
      </c>
      <c r="T1000" s="13">
        <v>46051</v>
      </c>
      <c r="U1000" s="19"/>
      <c r="V1000" s="53">
        <f>M1000-Z1000-AB1000-AD1000-AF1000-AH1000-AJ1000-AL1000-AN1000-AP1000-AR1000-AT1000-AV1000-AX1000-AZ1000-BB1000-BD1000-BF1000-BH1000-U1000</f>
        <v>-1.6999999999999993</v>
      </c>
      <c r="W1000" s="22" t="s">
        <v>4826</v>
      </c>
      <c r="X1000" s="16"/>
      <c r="Y1000" s="9"/>
      <c r="Z1000" s="19">
        <v>26.7</v>
      </c>
      <c r="AA1000" s="252">
        <v>46049</v>
      </c>
    </row>
    <row r="1001" spans="1:37" s="28" customFormat="1" ht="20.25" customHeight="1">
      <c r="A1001" s="11">
        <v>46041</v>
      </c>
      <c r="B1001" s="16" t="s">
        <v>4850</v>
      </c>
      <c r="C1001" s="16" t="s">
        <v>267</v>
      </c>
      <c r="D1001" s="16" t="s">
        <v>212</v>
      </c>
      <c r="E1001" s="16" t="s">
        <v>34</v>
      </c>
      <c r="F1001" s="16" t="s">
        <v>4853</v>
      </c>
      <c r="G1001" s="16" t="s">
        <v>71</v>
      </c>
      <c r="H1001" s="16" t="s">
        <v>26</v>
      </c>
      <c r="I1001" s="16"/>
      <c r="J1001" s="16" t="s">
        <v>27</v>
      </c>
      <c r="K1001" s="16" t="s">
        <v>239</v>
      </c>
      <c r="L1001" s="16" t="s">
        <v>35</v>
      </c>
      <c r="M1001" s="17">
        <v>125</v>
      </c>
      <c r="N1001" s="23">
        <v>1.29</v>
      </c>
      <c r="O1001" s="16" t="s">
        <v>1063</v>
      </c>
      <c r="P1001" s="16" t="s">
        <v>63</v>
      </c>
      <c r="Q1001" s="16" t="s">
        <v>29</v>
      </c>
      <c r="R1001" s="16" t="s">
        <v>4856</v>
      </c>
      <c r="S1001" s="12" t="s">
        <v>4859</v>
      </c>
      <c r="T1001" s="13">
        <v>46055</v>
      </c>
      <c r="U1001" s="19"/>
      <c r="V1001" s="53">
        <f>M1001-Z1001-AB1001-AD1001-AF1001-AH1001-AJ1001-AL1001-AN1001-AP1001-AR1001-AT1001-AV1001-AX1001-AZ1001-BB1001-BD1001-BF1001-BH1001-U1001</f>
        <v>-2.2999999999999972</v>
      </c>
      <c r="W1001" s="22" t="s">
        <v>4860</v>
      </c>
      <c r="X1001" s="16"/>
      <c r="Y1001" s="9"/>
      <c r="Z1001" s="19">
        <v>127.3</v>
      </c>
      <c r="AA1001" s="252">
        <v>46051</v>
      </c>
    </row>
    <row r="1002" spans="1:37" s="28" customFormat="1" ht="20.25" customHeight="1">
      <c r="A1002" s="11">
        <v>46041</v>
      </c>
      <c r="B1002" s="16" t="s">
        <v>4851</v>
      </c>
      <c r="C1002" s="16" t="s">
        <v>267</v>
      </c>
      <c r="D1002" s="16" t="s">
        <v>212</v>
      </c>
      <c r="E1002" s="16" t="s">
        <v>34</v>
      </c>
      <c r="F1002" s="16" t="s">
        <v>4854</v>
      </c>
      <c r="G1002" s="16" t="s">
        <v>71</v>
      </c>
      <c r="H1002" s="16" t="s">
        <v>26</v>
      </c>
      <c r="I1002" s="1"/>
      <c r="J1002" s="1" t="s">
        <v>27</v>
      </c>
      <c r="K1002" s="16" t="s">
        <v>1346</v>
      </c>
      <c r="L1002" s="1" t="s">
        <v>35</v>
      </c>
      <c r="M1002" s="17">
        <v>125</v>
      </c>
      <c r="N1002" s="6">
        <v>1.29</v>
      </c>
      <c r="O1002" s="1" t="s">
        <v>67</v>
      </c>
      <c r="P1002" s="1" t="s">
        <v>63</v>
      </c>
      <c r="Q1002" s="1" t="s">
        <v>29</v>
      </c>
      <c r="R1002" s="1" t="s">
        <v>4857</v>
      </c>
      <c r="S1002" s="121" t="s">
        <v>4859</v>
      </c>
      <c r="T1002" s="13">
        <v>46055</v>
      </c>
      <c r="U1002" s="19"/>
      <c r="V1002" s="53">
        <f>M1002-Z1002-AB1002-AD1002-AF1002-AH1002-AJ1002-AL1002-AN1002-AP1002-AR1002-AT1002-AV1002-AX1002-AZ1002-BB1002-BD1002-BF1002-BH1002-U1002</f>
        <v>-3.5999999999999943</v>
      </c>
      <c r="W1002" s="22" t="s">
        <v>4861</v>
      </c>
      <c r="X1002" s="16"/>
      <c r="Y1002" s="9"/>
      <c r="Z1002" s="19">
        <f>6.1+122.5</f>
        <v>128.6</v>
      </c>
      <c r="AA1002" s="252">
        <v>46056</v>
      </c>
    </row>
    <row r="1003" spans="1:37" s="28" customFormat="1" ht="20.25" customHeight="1">
      <c r="A1003" s="11">
        <v>46041</v>
      </c>
      <c r="B1003" s="16" t="s">
        <v>4852</v>
      </c>
      <c r="C1003" s="16" t="s">
        <v>267</v>
      </c>
      <c r="D1003" s="16" t="s">
        <v>212</v>
      </c>
      <c r="E1003" s="16" t="s">
        <v>34</v>
      </c>
      <c r="F1003" s="16" t="s">
        <v>4855</v>
      </c>
      <c r="G1003" s="16" t="s">
        <v>71</v>
      </c>
      <c r="H1003" s="16" t="s">
        <v>31</v>
      </c>
      <c r="I1003" s="16"/>
      <c r="J1003" s="16" t="s">
        <v>27</v>
      </c>
      <c r="K1003" s="16" t="s">
        <v>3837</v>
      </c>
      <c r="L1003" s="16" t="s">
        <v>35</v>
      </c>
      <c r="M1003" s="17">
        <v>25</v>
      </c>
      <c r="N1003" s="23">
        <v>1.29</v>
      </c>
      <c r="O1003" s="16" t="s">
        <v>67</v>
      </c>
      <c r="P1003" s="16" t="s">
        <v>63</v>
      </c>
      <c r="Q1003" s="16" t="s">
        <v>29</v>
      </c>
      <c r="R1003" s="16" t="s">
        <v>4858</v>
      </c>
      <c r="S1003" s="12" t="s">
        <v>4859</v>
      </c>
      <c r="T1003" s="13">
        <v>46055</v>
      </c>
      <c r="U1003" s="19"/>
      <c r="V1003" s="53">
        <f>M1003-Z1003-AB1003-AD1003-AF1003-AH1003-AJ1003-AL1003-AN1003-AP1003-AR1003-AT1003-AV1003-AX1003-AZ1003-BB1003-BD1003-BF1003-BH1003-U1003</f>
        <v>-4.6999999999999993</v>
      </c>
      <c r="W1003" s="22" t="s">
        <v>4862</v>
      </c>
      <c r="X1003" s="16"/>
      <c r="Y1003" s="9"/>
      <c r="Z1003" s="19">
        <v>29.7</v>
      </c>
      <c r="AA1003" s="252">
        <v>46051</v>
      </c>
    </row>
    <row r="1004" spans="1:37" s="28" customFormat="1" ht="20.25" customHeight="1">
      <c r="A1004" s="11">
        <v>46043</v>
      </c>
      <c r="B1004" s="16" t="s">
        <v>4868</v>
      </c>
      <c r="C1004" s="16" t="s">
        <v>267</v>
      </c>
      <c r="D1004" s="16" t="s">
        <v>212</v>
      </c>
      <c r="E1004" s="16" t="s">
        <v>34</v>
      </c>
      <c r="F1004" s="16" t="s">
        <v>4870</v>
      </c>
      <c r="G1004" s="16" t="s">
        <v>71</v>
      </c>
      <c r="H1004" s="16" t="s">
        <v>31</v>
      </c>
      <c r="I1004" s="1"/>
      <c r="J1004" s="1" t="s">
        <v>27</v>
      </c>
      <c r="K1004" s="16" t="s">
        <v>3858</v>
      </c>
      <c r="L1004" s="1" t="s">
        <v>35</v>
      </c>
      <c r="M1004" s="17">
        <v>25</v>
      </c>
      <c r="N1004" s="6">
        <v>1.29</v>
      </c>
      <c r="O1004" s="1" t="s">
        <v>67</v>
      </c>
      <c r="P1004" s="1" t="s">
        <v>63</v>
      </c>
      <c r="Q1004" s="1" t="s">
        <v>29</v>
      </c>
      <c r="R1004" s="1" t="s">
        <v>4750</v>
      </c>
      <c r="S1004" s="121" t="s">
        <v>4872</v>
      </c>
      <c r="T1004" s="13">
        <v>46057</v>
      </c>
      <c r="U1004" s="19"/>
      <c r="V1004" s="53">
        <f>M1004-Z1004-AB1004-AD1004-AF1004-AH1004-AJ1004-AL1004-AN1004-AP1004-AR1004-AT1004-AV1004-AX1004-AZ1004-BB1004-BD1004-BF1004-BH1004-U1004</f>
        <v>-2.3999999999999986</v>
      </c>
      <c r="W1004" s="22" t="s">
        <v>4873</v>
      </c>
      <c r="X1004" s="16"/>
      <c r="Y1004" s="9"/>
      <c r="Z1004" s="19">
        <v>27.4</v>
      </c>
      <c r="AA1004" s="252">
        <v>46056</v>
      </c>
    </row>
    <row r="1005" spans="1:37" s="28" customFormat="1" ht="20.25" customHeight="1">
      <c r="A1005" s="11">
        <v>46043</v>
      </c>
      <c r="B1005" s="16" t="s">
        <v>4869</v>
      </c>
      <c r="C1005" s="16" t="s">
        <v>290</v>
      </c>
      <c r="D1005" s="16" t="s">
        <v>212</v>
      </c>
      <c r="E1005" s="16" t="s">
        <v>34</v>
      </c>
      <c r="F1005" s="16" t="s">
        <v>4871</v>
      </c>
      <c r="G1005" s="16" t="s">
        <v>71</v>
      </c>
      <c r="H1005" s="16" t="s">
        <v>31</v>
      </c>
      <c r="I1005" s="1"/>
      <c r="J1005" s="1" t="s">
        <v>27</v>
      </c>
      <c r="K1005" s="16" t="s">
        <v>239</v>
      </c>
      <c r="L1005" s="1" t="s">
        <v>35</v>
      </c>
      <c r="M1005" s="17">
        <v>50</v>
      </c>
      <c r="N1005" s="6">
        <v>1.29</v>
      </c>
      <c r="O1005" s="1" t="s">
        <v>67</v>
      </c>
      <c r="P1005" s="1" t="s">
        <v>63</v>
      </c>
      <c r="Q1005" s="1" t="s">
        <v>29</v>
      </c>
      <c r="R1005" s="1" t="s">
        <v>29</v>
      </c>
      <c r="S1005" s="121" t="s">
        <v>4872</v>
      </c>
      <c r="T1005" s="13">
        <v>46057</v>
      </c>
      <c r="U1005" s="19"/>
      <c r="V1005" s="53">
        <f>M1005-Z1005-AB1005-AD1005-AF1005-AH1005-AJ1005-AL1005-AN1005-AP1005-AR1005-AT1005-AV1005-AX1005-AZ1005-BB1005-BD1005-BF1005-BH1005-U1005</f>
        <v>-3.2999999999999972</v>
      </c>
      <c r="W1005" s="22" t="s">
        <v>4874</v>
      </c>
      <c r="X1005" s="16"/>
      <c r="Y1005" s="9" t="s">
        <v>5025</v>
      </c>
      <c r="Z1005" s="19">
        <v>53.3</v>
      </c>
      <c r="AA1005" s="252">
        <v>46058</v>
      </c>
    </row>
    <row r="1006" spans="1:37" s="36" customFormat="1" ht="20.25" customHeight="1">
      <c r="A1006" s="7">
        <v>46044</v>
      </c>
      <c r="B1006" s="19" t="s">
        <v>4897</v>
      </c>
      <c r="C1006" s="19" t="s">
        <v>400</v>
      </c>
      <c r="D1006" s="19" t="s">
        <v>212</v>
      </c>
      <c r="E1006" s="19" t="s">
        <v>25</v>
      </c>
      <c r="F1006" s="19" t="s">
        <v>4899</v>
      </c>
      <c r="G1006" s="19" t="s">
        <v>71</v>
      </c>
      <c r="H1006" s="19" t="s">
        <v>31</v>
      </c>
      <c r="I1006" s="19"/>
      <c r="J1006" s="19" t="s">
        <v>27</v>
      </c>
      <c r="K1006" s="19" t="s">
        <v>345</v>
      </c>
      <c r="L1006" s="19" t="s">
        <v>35</v>
      </c>
      <c r="M1006" s="20">
        <v>20000</v>
      </c>
      <c r="N1006" s="25">
        <v>1.29</v>
      </c>
      <c r="O1006" s="19" t="s">
        <v>67</v>
      </c>
      <c r="P1006" s="19" t="s">
        <v>63</v>
      </c>
      <c r="Q1006" s="19" t="s">
        <v>1562</v>
      </c>
      <c r="R1006" s="19" t="s">
        <v>4901</v>
      </c>
      <c r="S1006" s="45" t="s">
        <v>4902</v>
      </c>
      <c r="T1006" s="8">
        <v>46062</v>
      </c>
      <c r="U1006" s="19"/>
      <c r="V1006" s="55">
        <f>M1006-Z1006-AB1006-AD1006-AF1006-AH1006-AJ1006-AL1006-AN1006-AP1006-AR1006-AT1006-AV1006-AX1006-AZ1006-BB1006-BD1006-BF1006-BH1006-U1006</f>
        <v>-3.299999999999045</v>
      </c>
      <c r="W1006" s="15" t="s">
        <v>4904</v>
      </c>
      <c r="X1006" s="8">
        <v>46064</v>
      </c>
      <c r="Y1006" s="10" t="s">
        <v>5327</v>
      </c>
      <c r="Z1006" s="19">
        <v>984.2</v>
      </c>
      <c r="AA1006" s="123">
        <v>46056</v>
      </c>
      <c r="AB1006" s="19">
        <v>3714.4</v>
      </c>
      <c r="AC1006" s="123">
        <v>46063</v>
      </c>
      <c r="AD1006" s="19">
        <f>1255.3+4960.9</f>
        <v>6216.2</v>
      </c>
      <c r="AE1006" s="123">
        <v>46066</v>
      </c>
      <c r="AF1006" s="19">
        <v>3464.7</v>
      </c>
      <c r="AG1006" s="123">
        <v>46071</v>
      </c>
      <c r="AH1006" s="19">
        <f>1390.8+2328.2</f>
        <v>3719</v>
      </c>
      <c r="AI1006" s="123">
        <v>46073</v>
      </c>
      <c r="AJ1006" s="19">
        <v>1904.8</v>
      </c>
      <c r="AK1006" s="123">
        <v>46077</v>
      </c>
    </row>
    <row r="1007" spans="1:37" s="36" customFormat="1" ht="20.25" customHeight="1">
      <c r="A1007" s="7">
        <v>46044</v>
      </c>
      <c r="B1007" s="19" t="s">
        <v>4898</v>
      </c>
      <c r="C1007" s="19" t="s">
        <v>304</v>
      </c>
      <c r="D1007" s="19" t="s">
        <v>212</v>
      </c>
      <c r="E1007" s="19" t="s">
        <v>25</v>
      </c>
      <c r="F1007" s="19" t="s">
        <v>4900</v>
      </c>
      <c r="G1007" s="19" t="s">
        <v>71</v>
      </c>
      <c r="H1007" s="19" t="s">
        <v>31</v>
      </c>
      <c r="I1007" s="301"/>
      <c r="J1007" s="301" t="s">
        <v>27</v>
      </c>
      <c r="K1007" s="19" t="s">
        <v>372</v>
      </c>
      <c r="L1007" s="301" t="s">
        <v>35</v>
      </c>
      <c r="M1007" s="20">
        <v>8220</v>
      </c>
      <c r="N1007" s="25">
        <v>1.29</v>
      </c>
      <c r="O1007" s="19" t="s">
        <v>67</v>
      </c>
      <c r="P1007" s="19" t="s">
        <v>63</v>
      </c>
      <c r="Q1007" s="19" t="s">
        <v>29</v>
      </c>
      <c r="R1007" s="19" t="s">
        <v>4364</v>
      </c>
      <c r="S1007" s="45" t="s">
        <v>4903</v>
      </c>
      <c r="T1007" s="8">
        <v>46065</v>
      </c>
      <c r="U1007" s="19"/>
      <c r="V1007" s="55">
        <f>M1007-Z1007-AB1007-AD1007-AF1007-AH1007-AJ1007-AL1007-AN1007-AP1007-AR1007-AT1007-AV1007-AX1007-AZ1007-BB1007-BD1007-BF1007-BH1007-U1007</f>
        <v>-2.6999999999998181</v>
      </c>
      <c r="W1007" s="15" t="s">
        <v>4905</v>
      </c>
      <c r="X1007" s="19"/>
      <c r="Y1007" s="10" t="s">
        <v>5327</v>
      </c>
      <c r="Z1007" s="19">
        <v>2865.3</v>
      </c>
      <c r="AA1007" s="123">
        <v>46072</v>
      </c>
      <c r="AB1007" s="19">
        <f>973.9+4190.7+192.8</f>
        <v>5357.4</v>
      </c>
      <c r="AC1007" s="123">
        <v>46083</v>
      </c>
    </row>
    <row r="1008" spans="1:37" s="28" customFormat="1" ht="20.25" customHeight="1">
      <c r="A1008" s="11">
        <v>46045</v>
      </c>
      <c r="B1008" s="16" t="s">
        <v>4906</v>
      </c>
      <c r="C1008" s="16" t="s">
        <v>304</v>
      </c>
      <c r="D1008" s="16" t="s">
        <v>212</v>
      </c>
      <c r="E1008" s="16" t="s">
        <v>25</v>
      </c>
      <c r="F1008" s="16" t="s">
        <v>4907</v>
      </c>
      <c r="G1008" s="16" t="s">
        <v>71</v>
      </c>
      <c r="H1008" s="16" t="s">
        <v>31</v>
      </c>
      <c r="I1008" s="16"/>
      <c r="J1008" s="16" t="s">
        <v>27</v>
      </c>
      <c r="K1008" s="16" t="s">
        <v>250</v>
      </c>
      <c r="L1008" s="16" t="s">
        <v>35</v>
      </c>
      <c r="M1008" s="17">
        <v>75</v>
      </c>
      <c r="N1008" s="23">
        <v>1.29</v>
      </c>
      <c r="O1008" s="16" t="s">
        <v>67</v>
      </c>
      <c r="P1008" s="16" t="s">
        <v>63</v>
      </c>
      <c r="Q1008" s="16" t="s">
        <v>29</v>
      </c>
      <c r="R1008" s="16" t="s">
        <v>29</v>
      </c>
      <c r="S1008" s="12" t="s">
        <v>4902</v>
      </c>
      <c r="T1008" s="13">
        <v>46059</v>
      </c>
      <c r="U1008" s="19"/>
      <c r="V1008" s="53">
        <f>M1008-Z1008-AB1008-AD1008-AF1008-AH1008-AJ1008-AL1008-AN1008-AP1008-AR1008-AT1008-AV1008-AX1008-AZ1008-BB1008-BD1008-BF1008-BH1008-U1008</f>
        <v>-0.40000000000000568</v>
      </c>
      <c r="W1008" s="22" t="s">
        <v>4908</v>
      </c>
      <c r="X1008" s="16"/>
      <c r="Y1008" s="9"/>
      <c r="Z1008" s="19">
        <v>75.400000000000006</v>
      </c>
      <c r="AA1008" s="252">
        <v>46056</v>
      </c>
    </row>
    <row r="1009" spans="1:33" s="122" customFormat="1" ht="20.25" customHeight="1">
      <c r="A1009" s="300">
        <v>46049</v>
      </c>
      <c r="B1009" s="301" t="s">
        <v>4921</v>
      </c>
      <c r="C1009" s="301" t="s">
        <v>382</v>
      </c>
      <c r="D1009" s="301" t="s">
        <v>212</v>
      </c>
      <c r="E1009" s="301" t="s">
        <v>25</v>
      </c>
      <c r="F1009" s="301" t="s">
        <v>4922</v>
      </c>
      <c r="G1009" s="301" t="s">
        <v>71</v>
      </c>
      <c r="H1009" s="301" t="s">
        <v>31</v>
      </c>
      <c r="I1009" s="301"/>
      <c r="J1009" s="301" t="s">
        <v>27</v>
      </c>
      <c r="K1009" s="301" t="s">
        <v>2462</v>
      </c>
      <c r="L1009" s="301" t="s">
        <v>35</v>
      </c>
      <c r="M1009" s="302">
        <v>34622.32</v>
      </c>
      <c r="N1009" s="303">
        <v>1.29</v>
      </c>
      <c r="O1009" s="301" t="s">
        <v>67</v>
      </c>
      <c r="P1009" s="301" t="s">
        <v>63</v>
      </c>
      <c r="Q1009" s="301" t="s">
        <v>1221</v>
      </c>
      <c r="R1009" s="301" t="s">
        <v>1222</v>
      </c>
      <c r="S1009" s="304" t="s">
        <v>4923</v>
      </c>
      <c r="T1009" s="305">
        <v>46073</v>
      </c>
      <c r="U1009" s="19"/>
      <c r="V1009" s="306">
        <f>M1009-Z1009-AB1009-AD1009-AF1009-AH1009-AJ1009-AL1009-AN1009-AP1009-AR1009-AT1009-AV1009-AX1009-AZ1009-BB1009-BD1009-BF1009-BH1009-U1009</f>
        <v>-8.000000000174623E-2</v>
      </c>
      <c r="W1009" s="307" t="s">
        <v>4924</v>
      </c>
      <c r="X1009" s="301"/>
      <c r="Y1009" s="335"/>
      <c r="Z1009" s="301">
        <f>4032.9+1393.8+3125.7+1412.5+1323.9+2113.9+1363.6+2648.8+2838.9+1485.4</f>
        <v>21739.4</v>
      </c>
      <c r="AA1009" s="312">
        <v>46085</v>
      </c>
      <c r="AB1009" s="19">
        <f>3008.7+1793.1+350.3+7730.9</f>
        <v>12883</v>
      </c>
      <c r="AC1009" s="312">
        <v>46092</v>
      </c>
    </row>
    <row r="1010" spans="1:33" s="36" customFormat="1" ht="20.25" customHeight="1">
      <c r="A1010" s="7">
        <v>46050</v>
      </c>
      <c r="B1010" s="19" t="s">
        <v>4925</v>
      </c>
      <c r="C1010" s="19" t="s">
        <v>400</v>
      </c>
      <c r="D1010" s="19" t="s">
        <v>212</v>
      </c>
      <c r="E1010" s="19" t="s">
        <v>25</v>
      </c>
      <c r="F1010" s="19" t="s">
        <v>4930</v>
      </c>
      <c r="G1010" s="19" t="s">
        <v>71</v>
      </c>
      <c r="H1010" s="19" t="s">
        <v>31</v>
      </c>
      <c r="I1010" s="301"/>
      <c r="J1010" s="301" t="s">
        <v>27</v>
      </c>
      <c r="K1010" s="19" t="s">
        <v>923</v>
      </c>
      <c r="L1010" s="301" t="s">
        <v>35</v>
      </c>
      <c r="M1010" s="20">
        <v>171.24</v>
      </c>
      <c r="N1010" s="25">
        <v>1.29</v>
      </c>
      <c r="O1010" s="19" t="s">
        <v>67</v>
      </c>
      <c r="P1010" s="19" t="s">
        <v>63</v>
      </c>
      <c r="Q1010" s="19" t="s">
        <v>4935</v>
      </c>
      <c r="R1010" s="19" t="s">
        <v>4178</v>
      </c>
      <c r="S1010" s="45" t="s">
        <v>4872</v>
      </c>
      <c r="T1010" s="8">
        <v>46057</v>
      </c>
      <c r="U1010" s="19"/>
      <c r="V1010" s="55">
        <f>M1010-Z1010-AB1010-AD1010-AF1010-AH1010-AJ1010-AL1010-AN1010-AP1010-AR1010-AT1010-AV1010-AX1010-AZ1010-BB1010-BD1010-BF1010-BH1010-U1010</f>
        <v>-1.9599999999999795</v>
      </c>
      <c r="W1010" s="15" t="s">
        <v>4942</v>
      </c>
      <c r="X1010" s="19"/>
      <c r="Y1010" s="10"/>
      <c r="Z1010" s="19">
        <v>173.2</v>
      </c>
      <c r="AA1010" s="123">
        <v>46063</v>
      </c>
    </row>
    <row r="1011" spans="1:33" s="28" customFormat="1" ht="20.25" customHeight="1">
      <c r="A1011" s="11">
        <v>46050</v>
      </c>
      <c r="B1011" s="16" t="s">
        <v>4926</v>
      </c>
      <c r="C1011" s="16" t="s">
        <v>1568</v>
      </c>
      <c r="D1011" s="16" t="s">
        <v>212</v>
      </c>
      <c r="E1011" s="16" t="s">
        <v>25</v>
      </c>
      <c r="F1011" s="16" t="s">
        <v>4931</v>
      </c>
      <c r="G1011" s="16" t="s">
        <v>71</v>
      </c>
      <c r="H1011" s="16" t="s">
        <v>31</v>
      </c>
      <c r="I1011" s="1"/>
      <c r="J1011" s="1" t="s">
        <v>27</v>
      </c>
      <c r="K1011" s="16" t="s">
        <v>218</v>
      </c>
      <c r="L1011" s="1" t="s">
        <v>35</v>
      </c>
      <c r="M1011" s="17">
        <v>7112</v>
      </c>
      <c r="N1011" s="23">
        <v>1.29</v>
      </c>
      <c r="O1011" s="16" t="s">
        <v>67</v>
      </c>
      <c r="P1011" s="16" t="s">
        <v>63</v>
      </c>
      <c r="Q1011" s="16" t="s">
        <v>29</v>
      </c>
      <c r="R1011" s="16" t="s">
        <v>4936</v>
      </c>
      <c r="S1011" s="12" t="s">
        <v>4923</v>
      </c>
      <c r="T1011" s="13">
        <v>46073</v>
      </c>
      <c r="U1011" s="19"/>
      <c r="V1011" s="53">
        <f>M1011-Z1011-AB1011-AD1011-AF1011-AH1011-AJ1011-AL1011-AN1011-AP1011-AR1011-AT1011-AV1011-AX1011-AZ1011-BB1011-BD1011-BF1011-BH1011-U1011</f>
        <v>-0.4000000000005457</v>
      </c>
      <c r="W1011" s="22" t="s">
        <v>4943</v>
      </c>
      <c r="X1011" s="16"/>
      <c r="Y1011" s="9"/>
      <c r="Z1011" s="19">
        <f>5824.1+1288.3</f>
        <v>7112.4000000000005</v>
      </c>
      <c r="AA1011" s="252">
        <v>46078</v>
      </c>
    </row>
    <row r="1012" spans="1:33" s="36" customFormat="1" ht="20.25" customHeight="1">
      <c r="A1012" s="7">
        <v>46050</v>
      </c>
      <c r="B1012" s="19" t="s">
        <v>4926</v>
      </c>
      <c r="C1012" s="19" t="s">
        <v>1568</v>
      </c>
      <c r="D1012" s="19" t="s">
        <v>212</v>
      </c>
      <c r="E1012" s="19" t="s">
        <v>25</v>
      </c>
      <c r="F1012" s="19" t="s">
        <v>4931</v>
      </c>
      <c r="G1012" s="19" t="s">
        <v>71</v>
      </c>
      <c r="H1012" s="19" t="s">
        <v>31</v>
      </c>
      <c r="I1012" s="1"/>
      <c r="J1012" s="1" t="s">
        <v>27</v>
      </c>
      <c r="K1012" s="19" t="s">
        <v>345</v>
      </c>
      <c r="L1012" s="1" t="s">
        <v>35</v>
      </c>
      <c r="M1012" s="20">
        <v>5545</v>
      </c>
      <c r="N1012" s="25">
        <v>1.29</v>
      </c>
      <c r="O1012" s="19" t="s">
        <v>67</v>
      </c>
      <c r="P1012" s="19" t="s">
        <v>63</v>
      </c>
      <c r="Q1012" s="19" t="s">
        <v>29</v>
      </c>
      <c r="R1012" s="19" t="s">
        <v>4937</v>
      </c>
      <c r="S1012" s="45" t="s">
        <v>4923</v>
      </c>
      <c r="T1012" s="8">
        <v>46073</v>
      </c>
      <c r="U1012" s="19"/>
      <c r="V1012" s="55">
        <f>M1012-Z1012-AB1012-AD1012-AF1012-AH1012-AJ1012-AL1012-AN1012-AP1012-AR1012-AT1012-AV1012-AX1012-AZ1012-BB1012-BD1012-BF1012-BH1012-U1012</f>
        <v>-4.8000000000001819</v>
      </c>
      <c r="W1012" s="15" t="s">
        <v>4944</v>
      </c>
      <c r="X1012" s="19"/>
      <c r="Y1012" s="10"/>
      <c r="Z1012" s="19">
        <v>1423.5</v>
      </c>
      <c r="AA1012" s="123">
        <v>46073</v>
      </c>
      <c r="AB1012" s="19">
        <v>4126.3</v>
      </c>
      <c r="AC1012" s="123">
        <v>46080</v>
      </c>
    </row>
    <row r="1013" spans="1:33" s="36" customFormat="1" ht="20.25" customHeight="1">
      <c r="A1013" s="7">
        <v>46050</v>
      </c>
      <c r="B1013" s="19" t="s">
        <v>4926</v>
      </c>
      <c r="C1013" s="19" t="s">
        <v>1568</v>
      </c>
      <c r="D1013" s="19" t="s">
        <v>212</v>
      </c>
      <c r="E1013" s="19" t="s">
        <v>25</v>
      </c>
      <c r="F1013" s="19" t="s">
        <v>4931</v>
      </c>
      <c r="G1013" s="19" t="s">
        <v>71</v>
      </c>
      <c r="H1013" s="19" t="s">
        <v>31</v>
      </c>
      <c r="I1013" s="63"/>
      <c r="J1013" s="63" t="s">
        <v>27</v>
      </c>
      <c r="K1013" s="19" t="s">
        <v>340</v>
      </c>
      <c r="L1013" s="63" t="s">
        <v>35</v>
      </c>
      <c r="M1013" s="20">
        <v>842</v>
      </c>
      <c r="N1013" s="25">
        <v>1.29</v>
      </c>
      <c r="O1013" s="19" t="s">
        <v>67</v>
      </c>
      <c r="P1013" s="19" t="s">
        <v>63</v>
      </c>
      <c r="Q1013" s="19" t="s">
        <v>29</v>
      </c>
      <c r="R1013" s="19" t="s">
        <v>4938</v>
      </c>
      <c r="S1013" s="45" t="s">
        <v>4923</v>
      </c>
      <c r="T1013" s="8">
        <v>46073</v>
      </c>
      <c r="U1013" s="19"/>
      <c r="V1013" s="55">
        <f>M1013-Z1013-AB1013-AD1013-AF1013-AH1013-AJ1013-AL1013-AN1013-AP1013-AR1013-AT1013-AV1013-AX1013-AZ1013-BB1013-BD1013-BF1013-BH1013-U1013</f>
        <v>-0.5</v>
      </c>
      <c r="W1013" s="15" t="s">
        <v>4945</v>
      </c>
      <c r="X1013" s="19"/>
      <c r="Y1013" s="10"/>
      <c r="Z1013" s="19">
        <v>390.3</v>
      </c>
      <c r="AA1013" s="123">
        <v>46055</v>
      </c>
      <c r="AB1013" s="19">
        <v>176.1</v>
      </c>
      <c r="AC1013" s="123">
        <v>46073</v>
      </c>
      <c r="AD1013" s="19">
        <f>115.4+160.7</f>
        <v>276.10000000000002</v>
      </c>
      <c r="AE1013" s="123">
        <v>46078</v>
      </c>
    </row>
    <row r="1014" spans="1:33" s="28" customFormat="1" ht="20.25" customHeight="1">
      <c r="A1014" s="11">
        <v>46050</v>
      </c>
      <c r="B1014" s="16" t="s">
        <v>4926</v>
      </c>
      <c r="C1014" s="16" t="s">
        <v>1568</v>
      </c>
      <c r="D1014" s="16" t="s">
        <v>212</v>
      </c>
      <c r="E1014" s="16" t="s">
        <v>25</v>
      </c>
      <c r="F1014" s="16" t="s">
        <v>4931</v>
      </c>
      <c r="G1014" s="16" t="s">
        <v>71</v>
      </c>
      <c r="H1014" s="16" t="s">
        <v>31</v>
      </c>
      <c r="I1014" s="16"/>
      <c r="J1014" s="16" t="s">
        <v>27</v>
      </c>
      <c r="K1014" s="16" t="s">
        <v>483</v>
      </c>
      <c r="L1014" s="16" t="s">
        <v>35</v>
      </c>
      <c r="M1014" s="17">
        <v>1811</v>
      </c>
      <c r="N1014" s="23">
        <v>1.29</v>
      </c>
      <c r="O1014" s="16" t="s">
        <v>67</v>
      </c>
      <c r="P1014" s="16" t="s">
        <v>63</v>
      </c>
      <c r="Q1014" s="16" t="s">
        <v>29</v>
      </c>
      <c r="R1014" s="16" t="s">
        <v>775</v>
      </c>
      <c r="S1014" s="12" t="s">
        <v>4923</v>
      </c>
      <c r="T1014" s="13">
        <v>46073</v>
      </c>
      <c r="U1014" s="19"/>
      <c r="V1014" s="53">
        <f>M1014-Z1014-AB1014-AD1014-AF1014-AH1014-AJ1014-AL1014-AN1014-AP1014-AR1014-AT1014-AV1014-AX1014-AZ1014-BB1014-BD1014-BF1014-BH1014-U1014</f>
        <v>-1.1000000000001364</v>
      </c>
      <c r="W1014" s="22" t="s">
        <v>4946</v>
      </c>
      <c r="X1014" s="16"/>
      <c r="Y1014" s="9"/>
      <c r="Z1014" s="19">
        <v>746.4</v>
      </c>
      <c r="AA1014" s="252">
        <v>46073</v>
      </c>
      <c r="AB1014" s="19">
        <v>1065.7</v>
      </c>
      <c r="AC1014" s="252">
        <v>46084</v>
      </c>
    </row>
    <row r="1015" spans="1:33" s="28" customFormat="1" ht="20.25" customHeight="1">
      <c r="A1015" s="11">
        <v>46050</v>
      </c>
      <c r="B1015" s="16" t="s">
        <v>4927</v>
      </c>
      <c r="C1015" s="16" t="s">
        <v>1568</v>
      </c>
      <c r="D1015" s="16" t="s">
        <v>212</v>
      </c>
      <c r="E1015" s="16" t="s">
        <v>25</v>
      </c>
      <c r="F1015" s="16" t="s">
        <v>4932</v>
      </c>
      <c r="G1015" s="16" t="s">
        <v>71</v>
      </c>
      <c r="H1015" s="16" t="s">
        <v>26</v>
      </c>
      <c r="I1015" s="16"/>
      <c r="J1015" s="16" t="s">
        <v>27</v>
      </c>
      <c r="K1015" s="16" t="s">
        <v>239</v>
      </c>
      <c r="L1015" s="16" t="s">
        <v>35</v>
      </c>
      <c r="M1015" s="17">
        <v>851</v>
      </c>
      <c r="N1015" s="23">
        <v>1.29</v>
      </c>
      <c r="O1015" s="16" t="s">
        <v>67</v>
      </c>
      <c r="P1015" s="16" t="s">
        <v>63</v>
      </c>
      <c r="Q1015" s="16" t="s">
        <v>29</v>
      </c>
      <c r="R1015" s="16" t="s">
        <v>3563</v>
      </c>
      <c r="S1015" s="12" t="s">
        <v>4923</v>
      </c>
      <c r="T1015" s="13">
        <v>46073</v>
      </c>
      <c r="U1015" s="19"/>
      <c r="V1015" s="53">
        <f>M1015-Z1015-AB1015-AD1015-AF1015-AH1015-AJ1015-AL1015-AN1015-AP1015-AR1015-AT1015-AV1015-AX1015-AZ1015-BB1015-BD1015-BF1015-BH1015-U1015</f>
        <v>-0.89999999999997726</v>
      </c>
      <c r="W1015" s="22" t="s">
        <v>4947</v>
      </c>
      <c r="X1015" s="16"/>
      <c r="Y1015" s="9"/>
      <c r="Z1015" s="19">
        <v>851.9</v>
      </c>
      <c r="AA1015" s="252">
        <v>46062</v>
      </c>
    </row>
    <row r="1016" spans="1:33" s="36" customFormat="1" ht="20.25" customHeight="1">
      <c r="A1016" s="7">
        <v>46050</v>
      </c>
      <c r="B1016" s="19" t="s">
        <v>4927</v>
      </c>
      <c r="C1016" s="19" t="s">
        <v>1568</v>
      </c>
      <c r="D1016" s="19" t="s">
        <v>212</v>
      </c>
      <c r="E1016" s="19" t="s">
        <v>25</v>
      </c>
      <c r="F1016" s="19" t="s">
        <v>4932</v>
      </c>
      <c r="G1016" s="19" t="s">
        <v>71</v>
      </c>
      <c r="H1016" s="19" t="s">
        <v>26</v>
      </c>
      <c r="I1016" s="63"/>
      <c r="J1016" s="63" t="s">
        <v>27</v>
      </c>
      <c r="K1016" s="19" t="s">
        <v>340</v>
      </c>
      <c r="L1016" s="63" t="s">
        <v>35</v>
      </c>
      <c r="M1016" s="330">
        <v>782</v>
      </c>
      <c r="N1016" s="394">
        <v>1.29</v>
      </c>
      <c r="O1016" s="63" t="s">
        <v>67</v>
      </c>
      <c r="P1016" s="63" t="s">
        <v>63</v>
      </c>
      <c r="Q1016" s="63" t="s">
        <v>29</v>
      </c>
      <c r="R1016" s="63" t="s">
        <v>4939</v>
      </c>
      <c r="S1016" s="395" t="s">
        <v>4923</v>
      </c>
      <c r="T1016" s="8">
        <v>46073</v>
      </c>
      <c r="U1016" s="19"/>
      <c r="V1016" s="55">
        <f>M1016-Z1016-AB1016-AD1016-AF1016-AH1016-AJ1016-AL1016-AN1016-AP1016-AR1016-AT1016-AV1016-AX1016-AZ1016-BB1016-BD1016-BF1016-BH1016-U1016</f>
        <v>-2.7999999999999545</v>
      </c>
      <c r="W1016" s="15" t="s">
        <v>4948</v>
      </c>
      <c r="X1016" s="19"/>
      <c r="Y1016" s="10"/>
      <c r="Z1016" s="19">
        <f>60.3+354.1+370.4</f>
        <v>784.8</v>
      </c>
      <c r="AA1016" s="123">
        <v>46073</v>
      </c>
    </row>
    <row r="1017" spans="1:33" s="28" customFormat="1" ht="20.25" customHeight="1">
      <c r="A1017" s="11">
        <v>46050</v>
      </c>
      <c r="B1017" s="16" t="s">
        <v>4928</v>
      </c>
      <c r="C1017" s="16" t="s">
        <v>298</v>
      </c>
      <c r="D1017" s="16" t="s">
        <v>212</v>
      </c>
      <c r="E1017" s="16" t="s">
        <v>25</v>
      </c>
      <c r="F1017" s="16" t="s">
        <v>4933</v>
      </c>
      <c r="G1017" s="16" t="s">
        <v>71</v>
      </c>
      <c r="H1017" s="16" t="s">
        <v>31</v>
      </c>
      <c r="I1017" s="16"/>
      <c r="J1017" s="16" t="s">
        <v>27</v>
      </c>
      <c r="K1017" s="16" t="s">
        <v>239</v>
      </c>
      <c r="L1017" s="16" t="s">
        <v>35</v>
      </c>
      <c r="M1017" s="17">
        <v>170</v>
      </c>
      <c r="N1017" s="23">
        <v>1.29</v>
      </c>
      <c r="O1017" s="16" t="s">
        <v>67</v>
      </c>
      <c r="P1017" s="16" t="s">
        <v>63</v>
      </c>
      <c r="Q1017" s="16" t="s">
        <v>29</v>
      </c>
      <c r="R1017" s="16" t="s">
        <v>4940</v>
      </c>
      <c r="S1017" s="12" t="s">
        <v>4683</v>
      </c>
      <c r="T1017" s="13">
        <v>46051</v>
      </c>
      <c r="U1017" s="19"/>
      <c r="V1017" s="53">
        <f>M1017-Z1017-AB1017-AD1017-AF1017-AH1017-AJ1017-AL1017-AN1017-AP1017-AR1017-AT1017-AV1017-AX1017-AZ1017-BB1017-BD1017-BF1017-BH1017-U1017</f>
        <v>-0.19999999999998863</v>
      </c>
      <c r="W1017" s="22" t="s">
        <v>4949</v>
      </c>
      <c r="X1017" s="16"/>
      <c r="Y1017" s="9"/>
      <c r="Z1017" s="19">
        <v>170.2</v>
      </c>
      <c r="AA1017" s="252">
        <v>46051</v>
      </c>
    </row>
    <row r="1018" spans="1:33" s="28" customFormat="1" ht="20.25" customHeight="1">
      <c r="A1018" s="11">
        <v>46050</v>
      </c>
      <c r="B1018" s="16" t="s">
        <v>4929</v>
      </c>
      <c r="C1018" s="16" t="s">
        <v>298</v>
      </c>
      <c r="D1018" s="16" t="s">
        <v>212</v>
      </c>
      <c r="E1018" s="16" t="s">
        <v>25</v>
      </c>
      <c r="F1018" s="16" t="s">
        <v>4934</v>
      </c>
      <c r="G1018" s="16" t="s">
        <v>71</v>
      </c>
      <c r="H1018" s="16" t="s">
        <v>31</v>
      </c>
      <c r="I1018" s="16"/>
      <c r="J1018" s="16" t="s">
        <v>27</v>
      </c>
      <c r="K1018" s="16" t="s">
        <v>683</v>
      </c>
      <c r="L1018" s="16" t="s">
        <v>35</v>
      </c>
      <c r="M1018" s="17">
        <v>62</v>
      </c>
      <c r="N1018" s="23">
        <v>1.29</v>
      </c>
      <c r="O1018" s="16" t="s">
        <v>67</v>
      </c>
      <c r="P1018" s="16" t="s">
        <v>63</v>
      </c>
      <c r="Q1018" s="16" t="s">
        <v>29</v>
      </c>
      <c r="R1018" s="16" t="s">
        <v>1618</v>
      </c>
      <c r="S1018" s="12" t="s">
        <v>4941</v>
      </c>
      <c r="T1018" s="13">
        <v>46064</v>
      </c>
      <c r="U1018" s="19"/>
      <c r="V1018" s="53">
        <f>M1018-Z1018-AB1018-AD1018-AF1018-AH1018-AJ1018-AL1018-AN1018-AP1018-AR1018-AT1018-AV1018-AX1018-AZ1018-BB1018-BD1018-BF1018-BH1018-U1018</f>
        <v>-1.8999999999999986</v>
      </c>
      <c r="W1018" s="22" t="s">
        <v>4950</v>
      </c>
      <c r="X1018" s="16"/>
      <c r="Y1018" s="9"/>
      <c r="Z1018" s="19">
        <v>63.9</v>
      </c>
      <c r="AA1018" s="252">
        <v>46051</v>
      </c>
    </row>
    <row r="1019" spans="1:33" s="28" customFormat="1" ht="20.25" customHeight="1">
      <c r="A1019" s="11">
        <v>46051</v>
      </c>
      <c r="B1019" s="16" t="s">
        <v>4968</v>
      </c>
      <c r="C1019" s="16" t="s">
        <v>267</v>
      </c>
      <c r="D1019" s="16" t="s">
        <v>212</v>
      </c>
      <c r="E1019" s="16" t="s">
        <v>25</v>
      </c>
      <c r="F1019" s="16" t="s">
        <v>4983</v>
      </c>
      <c r="G1019" s="16" t="s">
        <v>71</v>
      </c>
      <c r="H1019" s="16" t="s">
        <v>26</v>
      </c>
      <c r="I1019" s="1"/>
      <c r="J1019" s="1" t="s">
        <v>27</v>
      </c>
      <c r="K1019" s="16" t="s">
        <v>239</v>
      </c>
      <c r="L1019" s="1" t="s">
        <v>35</v>
      </c>
      <c r="M1019" s="17">
        <v>725</v>
      </c>
      <c r="N1019" s="6">
        <v>1.29</v>
      </c>
      <c r="O1019" s="1" t="s">
        <v>67</v>
      </c>
      <c r="P1019" s="1" t="s">
        <v>63</v>
      </c>
      <c r="Q1019" s="1" t="s">
        <v>29</v>
      </c>
      <c r="R1019" s="1" t="s">
        <v>4998</v>
      </c>
      <c r="S1019" s="121" t="s">
        <v>5003</v>
      </c>
      <c r="T1019" s="13">
        <v>46076</v>
      </c>
      <c r="U1019" s="19"/>
      <c r="V1019" s="53">
        <f>M1019-Z1019-AB1019-AD1019-AF1019-AH1019-AJ1019-AL1019-AN1019-AP1019-AR1019-AT1019-AV1019-AX1019-AZ1019-BB1019-BD1019-BF1019-BH1019-U1019</f>
        <v>-2.2000000000000455</v>
      </c>
      <c r="W1019" s="22" t="s">
        <v>5007</v>
      </c>
      <c r="X1019" s="16"/>
      <c r="Y1019" s="9"/>
      <c r="Z1019" s="19">
        <v>727.2</v>
      </c>
      <c r="AA1019" s="252">
        <v>46056</v>
      </c>
    </row>
    <row r="1020" spans="1:33" s="28" customFormat="1" ht="20.25" customHeight="1">
      <c r="A1020" s="11">
        <v>46051</v>
      </c>
      <c r="B1020" s="16" t="s">
        <v>4969</v>
      </c>
      <c r="C1020" s="16" t="s">
        <v>267</v>
      </c>
      <c r="D1020" s="16" t="s">
        <v>212</v>
      </c>
      <c r="E1020" s="16" t="s">
        <v>25</v>
      </c>
      <c r="F1020" s="16" t="s">
        <v>4984</v>
      </c>
      <c r="G1020" s="16" t="s">
        <v>71</v>
      </c>
      <c r="H1020" s="16" t="s">
        <v>26</v>
      </c>
      <c r="I1020" s="16"/>
      <c r="J1020" s="16" t="s">
        <v>27</v>
      </c>
      <c r="K1020" s="16" t="s">
        <v>239</v>
      </c>
      <c r="L1020" s="16" t="s">
        <v>35</v>
      </c>
      <c r="M1020" s="17">
        <v>28140</v>
      </c>
      <c r="N1020" s="23">
        <v>1.29</v>
      </c>
      <c r="O1020" s="16" t="s">
        <v>67</v>
      </c>
      <c r="P1020" s="16" t="s">
        <v>63</v>
      </c>
      <c r="Q1020" s="16" t="s">
        <v>29</v>
      </c>
      <c r="R1020" s="16" t="s">
        <v>713</v>
      </c>
      <c r="S1020" s="12" t="s">
        <v>5004</v>
      </c>
      <c r="T1020" s="13">
        <v>46086</v>
      </c>
      <c r="U1020" s="19"/>
      <c r="V1020" s="53">
        <f>M1020-Z1020-AB1020-AD1020-AF1020-AH1020-AJ1020-AL1020-AN1020-AP1020-AR1020-AT1020-AV1020-AX1020-AZ1020-BB1020-BD1020-BF1020-BH1020-U1020</f>
        <v>-0.8000000000001819</v>
      </c>
      <c r="W1020" s="22" t="s">
        <v>5008</v>
      </c>
      <c r="X1020" s="16" t="s">
        <v>5597</v>
      </c>
      <c r="Y1020" s="9"/>
      <c r="Z1020" s="19">
        <v>6475.6</v>
      </c>
      <c r="AA1020" s="252">
        <v>46091</v>
      </c>
      <c r="AB1020" s="19">
        <f>1590.3+2358.8+1637.4+5061.1</f>
        <v>10647.6</v>
      </c>
      <c r="AC1020" s="252">
        <v>46093</v>
      </c>
      <c r="AD1020" s="19">
        <f>2150.8+3683.9+2488.1</f>
        <v>8322.8000000000011</v>
      </c>
      <c r="AE1020" s="252">
        <v>46111</v>
      </c>
      <c r="AF1020" s="19">
        <v>2694.8</v>
      </c>
      <c r="AG1020" s="252">
        <v>46113</v>
      </c>
    </row>
    <row r="1021" spans="1:33" s="36" customFormat="1" ht="20.25" customHeight="1">
      <c r="A1021" s="7">
        <v>46051</v>
      </c>
      <c r="B1021" s="19" t="s">
        <v>4970</v>
      </c>
      <c r="C1021" s="19" t="s">
        <v>267</v>
      </c>
      <c r="D1021" s="19" t="s">
        <v>212</v>
      </c>
      <c r="E1021" s="19" t="s">
        <v>25</v>
      </c>
      <c r="F1021" s="19" t="s">
        <v>4985</v>
      </c>
      <c r="G1021" s="19" t="s">
        <v>71</v>
      </c>
      <c r="H1021" s="19" t="s">
        <v>26</v>
      </c>
      <c r="I1021" s="301"/>
      <c r="J1021" s="301" t="s">
        <v>27</v>
      </c>
      <c r="K1021" s="19" t="s">
        <v>3236</v>
      </c>
      <c r="L1021" s="301" t="s">
        <v>35</v>
      </c>
      <c r="M1021" s="20">
        <v>2045</v>
      </c>
      <c r="N1021" s="25">
        <v>1.29</v>
      </c>
      <c r="O1021" s="19" t="s">
        <v>67</v>
      </c>
      <c r="P1021" s="19" t="s">
        <v>63</v>
      </c>
      <c r="Q1021" s="19" t="s">
        <v>29</v>
      </c>
      <c r="R1021" s="19" t="s">
        <v>4857</v>
      </c>
      <c r="S1021" s="45" t="s">
        <v>5003</v>
      </c>
      <c r="T1021" s="8">
        <v>46076</v>
      </c>
      <c r="U1021" s="19"/>
      <c r="V1021" s="55">
        <f>M1021-Z1021-AB1021-AD1021-AF1021-AH1021-AJ1021-AL1021-AN1021-AP1021-AR1021-AT1021-AV1021-AX1021-AZ1021-BB1021-BD1021-BF1021-BH1021-U1021</f>
        <v>-2.5999999999999091</v>
      </c>
      <c r="W1021" s="15" t="s">
        <v>5009</v>
      </c>
      <c r="X1021" s="19"/>
      <c r="Y1021" s="10"/>
      <c r="Z1021" s="19">
        <f>1768.2+279.4</f>
        <v>2047.6</v>
      </c>
      <c r="AA1021" s="123">
        <v>46072</v>
      </c>
    </row>
    <row r="1022" spans="1:33" s="28" customFormat="1" ht="20.25" customHeight="1">
      <c r="A1022" s="11">
        <v>46051</v>
      </c>
      <c r="B1022" s="16" t="s">
        <v>4971</v>
      </c>
      <c r="C1022" s="16" t="s">
        <v>267</v>
      </c>
      <c r="D1022" s="16" t="s">
        <v>212</v>
      </c>
      <c r="E1022" s="16" t="s">
        <v>25</v>
      </c>
      <c r="F1022" s="16" t="s">
        <v>4986</v>
      </c>
      <c r="G1022" s="16" t="s">
        <v>71</v>
      </c>
      <c r="H1022" s="16" t="s">
        <v>31</v>
      </c>
      <c r="I1022" s="16"/>
      <c r="J1022" s="16" t="s">
        <v>27</v>
      </c>
      <c r="K1022" s="16" t="s">
        <v>683</v>
      </c>
      <c r="L1022" s="16" t="s">
        <v>35</v>
      </c>
      <c r="M1022" s="17">
        <v>5445</v>
      </c>
      <c r="N1022" s="23">
        <v>1.29</v>
      </c>
      <c r="O1022" s="16" t="s">
        <v>67</v>
      </c>
      <c r="P1022" s="16" t="s">
        <v>63</v>
      </c>
      <c r="Q1022" s="16" t="s">
        <v>29</v>
      </c>
      <c r="R1022" s="16" t="s">
        <v>4999</v>
      </c>
      <c r="S1022" s="12" t="s">
        <v>5004</v>
      </c>
      <c r="T1022" s="13">
        <v>46086</v>
      </c>
      <c r="U1022" s="19"/>
      <c r="V1022" s="53">
        <f>M1022-Z1022-AB1022-AD1022-AF1022-AH1022-AJ1022-AL1022-AN1022-AP1022-AR1022-AT1022-AV1022-AX1022-AZ1022-BB1022-BD1022-BF1022-BH1022-U1022</f>
        <v>-0.1999999999998181</v>
      </c>
      <c r="W1022" s="22" t="s">
        <v>5010</v>
      </c>
      <c r="X1022" s="16"/>
      <c r="Y1022" s="9"/>
      <c r="Z1022" s="9">
        <v>2877.2</v>
      </c>
      <c r="AA1022" s="252">
        <v>46056</v>
      </c>
      <c r="AB1022" s="19">
        <v>2568</v>
      </c>
      <c r="AC1022" s="252">
        <v>46091</v>
      </c>
    </row>
    <row r="1023" spans="1:33" s="36" customFormat="1" ht="20.25" customHeight="1">
      <c r="A1023" s="7">
        <v>46051</v>
      </c>
      <c r="B1023" s="19" t="s">
        <v>4972</v>
      </c>
      <c r="C1023" s="19" t="s">
        <v>267</v>
      </c>
      <c r="D1023" s="19" t="s">
        <v>212</v>
      </c>
      <c r="E1023" s="19" t="s">
        <v>25</v>
      </c>
      <c r="F1023" s="19" t="s">
        <v>4987</v>
      </c>
      <c r="G1023" s="19" t="s">
        <v>71</v>
      </c>
      <c r="H1023" s="19" t="s">
        <v>26</v>
      </c>
      <c r="I1023" s="301"/>
      <c r="J1023" s="301" t="s">
        <v>27</v>
      </c>
      <c r="K1023" s="19" t="s">
        <v>1008</v>
      </c>
      <c r="L1023" s="301" t="s">
        <v>35</v>
      </c>
      <c r="M1023" s="20">
        <v>2140</v>
      </c>
      <c r="N1023" s="25">
        <v>1.29</v>
      </c>
      <c r="O1023" s="19" t="s">
        <v>67</v>
      </c>
      <c r="P1023" s="19" t="s">
        <v>63</v>
      </c>
      <c r="Q1023" s="19" t="s">
        <v>29</v>
      </c>
      <c r="R1023" s="19" t="s">
        <v>5000</v>
      </c>
      <c r="S1023" s="45" t="s">
        <v>4941</v>
      </c>
      <c r="T1023" s="8">
        <v>46064</v>
      </c>
      <c r="U1023" s="19"/>
      <c r="V1023" s="55">
        <f>M1023-Z1023-AB1023-AD1023-AF1023-AH1023-AJ1023-AL1023-AN1023-AP1023-AR1023-AT1023-AV1023-AX1023-AZ1023-BB1023-BD1023-BF1023-BH1023-U1023</f>
        <v>-1.7999999999999545</v>
      </c>
      <c r="W1023" s="15" t="s">
        <v>5011</v>
      </c>
      <c r="X1023" s="19"/>
      <c r="Y1023" s="10"/>
      <c r="Z1023" s="19">
        <v>131.6</v>
      </c>
      <c r="AA1023" s="123">
        <v>46056</v>
      </c>
      <c r="AB1023" s="19">
        <v>2010.2</v>
      </c>
      <c r="AC1023" s="123">
        <v>46072</v>
      </c>
    </row>
    <row r="1024" spans="1:33" s="28" customFormat="1" ht="20.25" customHeight="1">
      <c r="A1024" s="11">
        <v>46051</v>
      </c>
      <c r="B1024" s="16" t="s">
        <v>4973</v>
      </c>
      <c r="C1024" s="16" t="s">
        <v>267</v>
      </c>
      <c r="D1024" s="16" t="s">
        <v>212</v>
      </c>
      <c r="E1024" s="16" t="s">
        <v>25</v>
      </c>
      <c r="F1024" s="16" t="s">
        <v>4988</v>
      </c>
      <c r="G1024" s="16" t="s">
        <v>71</v>
      </c>
      <c r="H1024" s="16" t="s">
        <v>26</v>
      </c>
      <c r="I1024" s="16"/>
      <c r="J1024" s="16" t="s">
        <v>27</v>
      </c>
      <c r="K1024" s="16" t="s">
        <v>239</v>
      </c>
      <c r="L1024" s="16" t="s">
        <v>35</v>
      </c>
      <c r="M1024" s="17">
        <v>315</v>
      </c>
      <c r="N1024" s="23">
        <v>1.29</v>
      </c>
      <c r="O1024" s="16" t="s">
        <v>67</v>
      </c>
      <c r="P1024" s="16" t="s">
        <v>63</v>
      </c>
      <c r="Q1024" s="16" t="s">
        <v>29</v>
      </c>
      <c r="R1024" s="16" t="s">
        <v>4626</v>
      </c>
      <c r="S1024" s="12" t="s">
        <v>5005</v>
      </c>
      <c r="T1024" s="13">
        <v>46093</v>
      </c>
      <c r="U1024" s="315"/>
      <c r="V1024" s="53">
        <f>M1024-Z1024-AB1024-AD1024-AF1024-AH1024-AJ1024-AL1024-AN1024-AP1024-AR1024-AT1024-AV1024-AX1024-AZ1024-BB1024-BD1024-BF1024-BH1024-U1024</f>
        <v>-5.4000000000000057</v>
      </c>
      <c r="W1024" s="22" t="s">
        <v>5012</v>
      </c>
      <c r="X1024" s="16"/>
      <c r="Y1024" s="9"/>
      <c r="Z1024" s="19">
        <v>105</v>
      </c>
      <c r="AA1024" s="252">
        <v>46072</v>
      </c>
      <c r="AB1024" s="315">
        <v>215.4</v>
      </c>
      <c r="AC1024" s="252">
        <v>46091</v>
      </c>
    </row>
    <row r="1025" spans="1:29" s="28" customFormat="1" ht="20.25" customHeight="1">
      <c r="A1025" s="11">
        <v>46051</v>
      </c>
      <c r="B1025" s="16" t="s">
        <v>4974</v>
      </c>
      <c r="C1025" s="16" t="s">
        <v>267</v>
      </c>
      <c r="D1025" s="16" t="s">
        <v>212</v>
      </c>
      <c r="E1025" s="16" t="s">
        <v>25</v>
      </c>
      <c r="F1025" s="16" t="s">
        <v>4989</v>
      </c>
      <c r="G1025" s="16" t="s">
        <v>71</v>
      </c>
      <c r="H1025" s="16" t="s">
        <v>31</v>
      </c>
      <c r="I1025" s="16"/>
      <c r="J1025" s="16" t="s">
        <v>27</v>
      </c>
      <c r="K1025" s="16" t="s">
        <v>683</v>
      </c>
      <c r="L1025" s="16" t="s">
        <v>35</v>
      </c>
      <c r="M1025" s="17">
        <v>5035</v>
      </c>
      <c r="N1025" s="23">
        <v>1.29</v>
      </c>
      <c r="O1025" s="16" t="s">
        <v>67</v>
      </c>
      <c r="P1025" s="16" t="s">
        <v>63</v>
      </c>
      <c r="Q1025" s="16" t="s">
        <v>29</v>
      </c>
      <c r="R1025" s="16" t="s">
        <v>4999</v>
      </c>
      <c r="S1025" s="12" t="s">
        <v>5005</v>
      </c>
      <c r="T1025" s="13">
        <v>46093</v>
      </c>
      <c r="U1025" s="315"/>
      <c r="V1025" s="53">
        <f>M1025-Z1025-AB1025-AD1025-AF1025-AH1025-AJ1025-AL1025-AN1025-AP1025-AR1025-AT1025-AV1025-AX1025-AZ1025-BB1025-BD1025-BF1025-BH1025-U1025</f>
        <v>-0.1999999999998181</v>
      </c>
      <c r="W1025" s="22" t="s">
        <v>5013</v>
      </c>
      <c r="X1025" s="16"/>
      <c r="Y1025" s="9"/>
      <c r="Z1025" s="19">
        <v>825.9</v>
      </c>
      <c r="AA1025" s="252">
        <v>46091</v>
      </c>
      <c r="AB1025" s="315">
        <f>818.5+3390.8</f>
        <v>4209.3</v>
      </c>
      <c r="AC1025" s="252">
        <v>46113</v>
      </c>
    </row>
    <row r="1026" spans="1:29" s="28" customFormat="1" ht="20.25" customHeight="1">
      <c r="A1026" s="11">
        <v>46051</v>
      </c>
      <c r="B1026" s="16" t="s">
        <v>4975</v>
      </c>
      <c r="C1026" s="16" t="s">
        <v>267</v>
      </c>
      <c r="D1026" s="16" t="s">
        <v>212</v>
      </c>
      <c r="E1026" s="16" t="s">
        <v>25</v>
      </c>
      <c r="F1026" s="16" t="s">
        <v>4990</v>
      </c>
      <c r="G1026" s="16" t="s">
        <v>71</v>
      </c>
      <c r="H1026" s="16" t="s">
        <v>26</v>
      </c>
      <c r="I1026" s="16"/>
      <c r="J1026" s="16" t="s">
        <v>27</v>
      </c>
      <c r="K1026" s="16" t="s">
        <v>683</v>
      </c>
      <c r="L1026" s="16" t="s">
        <v>35</v>
      </c>
      <c r="M1026" s="17">
        <v>1090</v>
      </c>
      <c r="N1026" s="23">
        <v>1.29</v>
      </c>
      <c r="O1026" s="16" t="s">
        <v>67</v>
      </c>
      <c r="P1026" s="16" t="s">
        <v>63</v>
      </c>
      <c r="Q1026" s="16" t="s">
        <v>29</v>
      </c>
      <c r="R1026" s="16" t="s">
        <v>2988</v>
      </c>
      <c r="S1026" s="12" t="s">
        <v>5006</v>
      </c>
      <c r="T1026" s="13">
        <v>46100</v>
      </c>
      <c r="U1026" s="315"/>
      <c r="V1026" s="53">
        <f>M1026-Z1026-AB1026-AD1026-AF1026-AH1026-AJ1026-AL1026-AN1026-AP1026-AR1026-AT1026-AV1026-AX1026-AZ1026-BB1026-BD1026-BF1026-BH1026-U1026</f>
        <v>-0.40000000000009095</v>
      </c>
      <c r="W1026" s="22" t="s">
        <v>5014</v>
      </c>
      <c r="X1026" s="16"/>
      <c r="Y1026" s="9"/>
      <c r="Z1026" s="315">
        <v>1090.4000000000001</v>
      </c>
      <c r="AA1026" s="252">
        <v>46113</v>
      </c>
    </row>
    <row r="1027" spans="1:29" s="28" customFormat="1" ht="20.25" customHeight="1">
      <c r="A1027" s="11">
        <v>46051</v>
      </c>
      <c r="B1027" s="16" t="s">
        <v>4976</v>
      </c>
      <c r="C1027" s="16" t="s">
        <v>267</v>
      </c>
      <c r="D1027" s="16" t="s">
        <v>212</v>
      </c>
      <c r="E1027" s="16" t="s">
        <v>25</v>
      </c>
      <c r="F1027" s="16" t="s">
        <v>4991</v>
      </c>
      <c r="G1027" s="16" t="s">
        <v>71</v>
      </c>
      <c r="H1027" s="16" t="s">
        <v>31</v>
      </c>
      <c r="I1027" s="16"/>
      <c r="J1027" s="16" t="s">
        <v>27</v>
      </c>
      <c r="K1027" s="16" t="s">
        <v>683</v>
      </c>
      <c r="L1027" s="16" t="s">
        <v>35</v>
      </c>
      <c r="M1027" s="17">
        <v>640</v>
      </c>
      <c r="N1027" s="23">
        <v>1.29</v>
      </c>
      <c r="O1027" s="16" t="s">
        <v>67</v>
      </c>
      <c r="P1027" s="16" t="s">
        <v>63</v>
      </c>
      <c r="Q1027" s="16" t="s">
        <v>29</v>
      </c>
      <c r="R1027" s="16" t="s">
        <v>5001</v>
      </c>
      <c r="S1027" s="12" t="s">
        <v>4872</v>
      </c>
      <c r="T1027" s="13">
        <v>46057</v>
      </c>
      <c r="U1027" s="19"/>
      <c r="V1027" s="53">
        <f>M1027-Z1027-AB1027-AD1027-AF1027-AH1027-AJ1027-AL1027-AN1027-AP1027-AR1027-AT1027-AV1027-AX1027-AZ1027-BB1027-BD1027-BF1027-BH1027-U1027</f>
        <v>-0.29999999999995453</v>
      </c>
      <c r="W1027" s="22" t="s">
        <v>5015</v>
      </c>
      <c r="X1027" s="16"/>
      <c r="Y1027" s="9"/>
      <c r="Z1027" s="19">
        <v>640.29999999999995</v>
      </c>
      <c r="AA1027" s="252">
        <v>46058</v>
      </c>
    </row>
    <row r="1028" spans="1:29" s="28" customFormat="1" ht="20.25" customHeight="1">
      <c r="A1028" s="11">
        <v>46051</v>
      </c>
      <c r="B1028" s="16" t="s">
        <v>4977</v>
      </c>
      <c r="C1028" s="16" t="s">
        <v>267</v>
      </c>
      <c r="D1028" s="16" t="s">
        <v>212</v>
      </c>
      <c r="E1028" s="16" t="s">
        <v>25</v>
      </c>
      <c r="F1028" s="16" t="s">
        <v>4992</v>
      </c>
      <c r="G1028" s="16" t="s">
        <v>71</v>
      </c>
      <c r="H1028" s="16" t="s">
        <v>26</v>
      </c>
      <c r="I1028" s="16"/>
      <c r="J1028" s="16" t="s">
        <v>27</v>
      </c>
      <c r="K1028" s="16" t="s">
        <v>245</v>
      </c>
      <c r="L1028" s="16" t="s">
        <v>35</v>
      </c>
      <c r="M1028" s="17">
        <v>50</v>
      </c>
      <c r="N1028" s="23">
        <v>1.29</v>
      </c>
      <c r="O1028" s="16" t="s">
        <v>67</v>
      </c>
      <c r="P1028" s="16" t="s">
        <v>63</v>
      </c>
      <c r="Q1028" s="16" t="s">
        <v>29</v>
      </c>
      <c r="R1028" s="16" t="s">
        <v>5002</v>
      </c>
      <c r="S1028" s="12" t="s">
        <v>4903</v>
      </c>
      <c r="T1028" s="13">
        <v>46065</v>
      </c>
      <c r="U1028" s="19"/>
      <c r="V1028" s="53">
        <f>M1028-Z1028-AB1028-AD1028-AF1028-AH1028-AJ1028-AL1028-AN1028-AP1028-AR1028-AT1028-AV1028-AX1028-AZ1028-BB1028-BD1028-BF1028-BH1028-U1028</f>
        <v>0</v>
      </c>
      <c r="W1028" s="22" t="s">
        <v>5016</v>
      </c>
      <c r="X1028" s="16"/>
      <c r="Y1028" s="9"/>
      <c r="Z1028" s="19">
        <v>50</v>
      </c>
      <c r="AA1028" s="252">
        <v>46062</v>
      </c>
    </row>
    <row r="1029" spans="1:29" s="28" customFormat="1" ht="20.25" customHeight="1">
      <c r="A1029" s="11">
        <v>46051</v>
      </c>
      <c r="B1029" s="16" t="s">
        <v>4978</v>
      </c>
      <c r="C1029" s="16" t="s">
        <v>267</v>
      </c>
      <c r="D1029" s="16" t="s">
        <v>212</v>
      </c>
      <c r="E1029" s="16" t="s">
        <v>25</v>
      </c>
      <c r="F1029" s="16" t="s">
        <v>4993</v>
      </c>
      <c r="G1029" s="16" t="s">
        <v>71</v>
      </c>
      <c r="H1029" s="16" t="s">
        <v>26</v>
      </c>
      <c r="I1029" s="16"/>
      <c r="J1029" s="16" t="s">
        <v>27</v>
      </c>
      <c r="K1029" s="16" t="s">
        <v>218</v>
      </c>
      <c r="L1029" s="16" t="s">
        <v>35</v>
      </c>
      <c r="M1029" s="17">
        <v>75</v>
      </c>
      <c r="N1029" s="23">
        <v>1.29</v>
      </c>
      <c r="O1029" s="16" t="s">
        <v>67</v>
      </c>
      <c r="P1029" s="16" t="s">
        <v>63</v>
      </c>
      <c r="Q1029" s="16" t="s">
        <v>29</v>
      </c>
      <c r="R1029" s="16" t="s">
        <v>4856</v>
      </c>
      <c r="S1029" s="12" t="s">
        <v>4903</v>
      </c>
      <c r="T1029" s="13">
        <v>46065</v>
      </c>
      <c r="U1029" s="19"/>
      <c r="V1029" s="53">
        <f>M1029-Z1029-AB1029-AD1029-AF1029-AH1029-AJ1029-AL1029-AN1029-AP1029-AR1029-AT1029-AV1029-AX1029-AZ1029-BB1029-BD1029-BF1029-BH1029-U1029</f>
        <v>-3.7999999999999972</v>
      </c>
      <c r="W1029" s="22" t="s">
        <v>5017</v>
      </c>
      <c r="X1029" s="16"/>
      <c r="Y1029" s="9"/>
      <c r="Z1029" s="19">
        <v>78.8</v>
      </c>
      <c r="AA1029" s="252">
        <v>46058</v>
      </c>
    </row>
    <row r="1030" spans="1:29" s="28" customFormat="1" ht="20.25" customHeight="1">
      <c r="A1030" s="11">
        <v>46051</v>
      </c>
      <c r="B1030" s="16" t="s">
        <v>4979</v>
      </c>
      <c r="C1030" s="16" t="s">
        <v>267</v>
      </c>
      <c r="D1030" s="16" t="s">
        <v>212</v>
      </c>
      <c r="E1030" s="16" t="s">
        <v>25</v>
      </c>
      <c r="F1030" s="16" t="s">
        <v>4994</v>
      </c>
      <c r="G1030" s="16" t="s">
        <v>71</v>
      </c>
      <c r="H1030" s="16" t="s">
        <v>26</v>
      </c>
      <c r="I1030" s="1"/>
      <c r="J1030" s="1" t="s">
        <v>27</v>
      </c>
      <c r="K1030" s="16" t="s">
        <v>588</v>
      </c>
      <c r="L1030" s="1" t="s">
        <v>35</v>
      </c>
      <c r="M1030" s="17">
        <v>125</v>
      </c>
      <c r="N1030" s="6">
        <v>1.29</v>
      </c>
      <c r="O1030" s="1" t="s">
        <v>67</v>
      </c>
      <c r="P1030" s="1" t="s">
        <v>63</v>
      </c>
      <c r="Q1030" s="1" t="s">
        <v>29</v>
      </c>
      <c r="R1030" s="1" t="s">
        <v>4857</v>
      </c>
      <c r="S1030" s="121" t="s">
        <v>4903</v>
      </c>
      <c r="T1030" s="13">
        <v>46065</v>
      </c>
      <c r="U1030" s="19"/>
      <c r="V1030" s="53">
        <f>M1030-Z1030-AB1030-AD1030-AF1030-AH1030-AJ1030-AL1030-AN1030-AP1030-AR1030-AT1030-AV1030-AX1030-AZ1030-BB1030-BD1030-BF1030-BH1030-U1030</f>
        <v>7.4000000000000057</v>
      </c>
      <c r="W1030" s="22" t="s">
        <v>5018</v>
      </c>
      <c r="X1030" s="16"/>
      <c r="Y1030" s="9"/>
      <c r="Z1030" s="19">
        <v>117.6</v>
      </c>
      <c r="AA1030" s="252">
        <v>46056</v>
      </c>
    </row>
    <row r="1031" spans="1:29" s="28" customFormat="1" ht="20.25" customHeight="1">
      <c r="A1031" s="11">
        <v>46051</v>
      </c>
      <c r="B1031" s="16" t="s">
        <v>4980</v>
      </c>
      <c r="C1031" s="16" t="s">
        <v>400</v>
      </c>
      <c r="D1031" s="16" t="s">
        <v>212</v>
      </c>
      <c r="E1031" s="16" t="s">
        <v>25</v>
      </c>
      <c r="F1031" s="16" t="s">
        <v>4995</v>
      </c>
      <c r="G1031" s="16" t="s">
        <v>71</v>
      </c>
      <c r="H1031" s="16" t="s">
        <v>26</v>
      </c>
      <c r="I1031" s="16"/>
      <c r="J1031" s="16" t="s">
        <v>27</v>
      </c>
      <c r="K1031" s="16" t="s">
        <v>218</v>
      </c>
      <c r="L1031" s="16" t="s">
        <v>35</v>
      </c>
      <c r="M1031" s="17">
        <v>858.52</v>
      </c>
      <c r="N1031" s="23">
        <v>1.29</v>
      </c>
      <c r="O1031" s="16" t="s">
        <v>67</v>
      </c>
      <c r="P1031" s="16" t="s">
        <v>63</v>
      </c>
      <c r="Q1031" s="16" t="s">
        <v>1424</v>
      </c>
      <c r="R1031" s="16" t="s">
        <v>1425</v>
      </c>
      <c r="S1031" s="12" t="s">
        <v>4923</v>
      </c>
      <c r="T1031" s="13">
        <v>46073</v>
      </c>
      <c r="U1031" s="19"/>
      <c r="V1031" s="53">
        <f>M1031-Z1031-AB1031-AD1031-AF1031-AH1031-AJ1031-AL1031-AN1031-AP1031-AR1031-AT1031-AV1031-AX1031-AZ1031-BB1031-BD1031-BF1031-BH1031-U1031</f>
        <v>-2.5800000000000409</v>
      </c>
      <c r="W1031" s="22" t="s">
        <v>5019</v>
      </c>
      <c r="X1031" s="16"/>
      <c r="Y1031" s="9"/>
      <c r="Z1031" s="19">
        <v>404.8</v>
      </c>
      <c r="AA1031" s="252">
        <v>46079</v>
      </c>
      <c r="AB1031" s="19">
        <v>456.3</v>
      </c>
      <c r="AC1031" s="252">
        <v>46084</v>
      </c>
    </row>
    <row r="1032" spans="1:29" s="28" customFormat="1" ht="20.25" customHeight="1">
      <c r="A1032" s="11">
        <v>46051</v>
      </c>
      <c r="B1032" s="16" t="s">
        <v>4981</v>
      </c>
      <c r="C1032" s="16" t="s">
        <v>1568</v>
      </c>
      <c r="D1032" s="16" t="s">
        <v>212</v>
      </c>
      <c r="E1032" s="16" t="s">
        <v>25</v>
      </c>
      <c r="F1032" s="16" t="s">
        <v>4996</v>
      </c>
      <c r="G1032" s="16" t="s">
        <v>71</v>
      </c>
      <c r="H1032" s="16" t="s">
        <v>26</v>
      </c>
      <c r="I1032" s="16"/>
      <c r="J1032" s="16" t="s">
        <v>27</v>
      </c>
      <c r="K1032" s="16" t="s">
        <v>218</v>
      </c>
      <c r="L1032" s="16" t="s">
        <v>35</v>
      </c>
      <c r="M1032" s="17">
        <v>712</v>
      </c>
      <c r="N1032" s="23">
        <v>1.29</v>
      </c>
      <c r="O1032" s="16" t="s">
        <v>67</v>
      </c>
      <c r="P1032" s="16" t="s">
        <v>63</v>
      </c>
      <c r="Q1032" s="16" t="s">
        <v>29</v>
      </c>
      <c r="R1032" s="16" t="s">
        <v>3563</v>
      </c>
      <c r="S1032" s="12" t="s">
        <v>5003</v>
      </c>
      <c r="T1032" s="13">
        <v>46076</v>
      </c>
      <c r="U1032" s="19"/>
      <c r="V1032" s="53">
        <f>M1032-Z1032-AB1032-AD1032-AF1032-AH1032-AJ1032-AL1032-AN1032-AP1032-AR1032-AT1032-AV1032-AX1032-AZ1032-BB1032-BD1032-BF1032-BH1032-U1032</f>
        <v>-3.5</v>
      </c>
      <c r="W1032" s="22" t="s">
        <v>5020</v>
      </c>
      <c r="X1032" s="16"/>
      <c r="Y1032" s="9"/>
      <c r="Z1032" s="19">
        <v>715.5</v>
      </c>
      <c r="AA1032" s="252">
        <v>46062</v>
      </c>
    </row>
    <row r="1033" spans="1:29" s="36" customFormat="1" ht="20.25" customHeight="1">
      <c r="A1033" s="7">
        <v>46051</v>
      </c>
      <c r="B1033" s="19" t="s">
        <v>4982</v>
      </c>
      <c r="C1033" s="19" t="s">
        <v>382</v>
      </c>
      <c r="D1033" s="19" t="s">
        <v>212</v>
      </c>
      <c r="E1033" s="19" t="s">
        <v>25</v>
      </c>
      <c r="F1033" s="19" t="s">
        <v>4997</v>
      </c>
      <c r="G1033" s="19" t="s">
        <v>71</v>
      </c>
      <c r="H1033" s="19" t="s">
        <v>26</v>
      </c>
      <c r="I1033" s="301"/>
      <c r="J1033" s="301" t="s">
        <v>27</v>
      </c>
      <c r="K1033" s="19" t="s">
        <v>683</v>
      </c>
      <c r="L1033" s="301" t="s">
        <v>35</v>
      </c>
      <c r="M1033" s="20">
        <v>4016.7</v>
      </c>
      <c r="N1033" s="25">
        <v>1.29</v>
      </c>
      <c r="O1033" s="19" t="s">
        <v>1063</v>
      </c>
      <c r="P1033" s="19" t="s">
        <v>63</v>
      </c>
      <c r="Q1033" s="19" t="s">
        <v>809</v>
      </c>
      <c r="R1033" s="19" t="s">
        <v>810</v>
      </c>
      <c r="S1033" s="45" t="s">
        <v>4903</v>
      </c>
      <c r="T1033" s="8">
        <v>46065</v>
      </c>
      <c r="U1033" s="19"/>
      <c r="V1033" s="55">
        <f>M1033-Z1033-AB1033-AD1033-AF1033-AH1033-AJ1033-AL1033-AN1033-AP1033-AR1033-AT1033-AV1033-AX1033-AZ1033-BB1033-BD1033-BF1033-BH1033-U1033</f>
        <v>-2.7000000000005002</v>
      </c>
      <c r="W1033" s="15" t="s">
        <v>5282</v>
      </c>
      <c r="X1033" s="19"/>
      <c r="Y1033" s="10"/>
      <c r="Z1033" s="19">
        <f>1340+899.3+151.8</f>
        <v>2391.1000000000004</v>
      </c>
      <c r="AA1033" s="123">
        <v>46072</v>
      </c>
      <c r="AB1033" s="19">
        <f>31.3+23.4+1573.6</f>
        <v>1628.3</v>
      </c>
      <c r="AC1033" s="123">
        <v>46085</v>
      </c>
    </row>
    <row r="1034" spans="1:29" s="36" customFormat="1" ht="20.25" customHeight="1">
      <c r="A1034" s="7">
        <v>46052</v>
      </c>
      <c r="B1034" s="19" t="s">
        <v>5026</v>
      </c>
      <c r="C1034" s="19" t="s">
        <v>400</v>
      </c>
      <c r="D1034" s="19" t="s">
        <v>212</v>
      </c>
      <c r="E1034" s="19" t="s">
        <v>25</v>
      </c>
      <c r="F1034" s="19" t="s">
        <v>5029</v>
      </c>
      <c r="G1034" s="19" t="s">
        <v>71</v>
      </c>
      <c r="H1034" s="19" t="s">
        <v>31</v>
      </c>
      <c r="I1034" s="301"/>
      <c r="J1034" s="301" t="s">
        <v>27</v>
      </c>
      <c r="K1034" s="19" t="s">
        <v>3646</v>
      </c>
      <c r="L1034" s="301" t="s">
        <v>35</v>
      </c>
      <c r="M1034" s="20">
        <v>760.34</v>
      </c>
      <c r="N1034" s="25">
        <v>1.29</v>
      </c>
      <c r="O1034" s="19" t="s">
        <v>67</v>
      </c>
      <c r="P1034" s="19" t="s">
        <v>63</v>
      </c>
      <c r="Q1034" s="19" t="s">
        <v>1562</v>
      </c>
      <c r="R1034" s="19" t="s">
        <v>4502</v>
      </c>
      <c r="S1034" s="45" t="s">
        <v>5037</v>
      </c>
      <c r="T1034" s="8">
        <v>46066</v>
      </c>
      <c r="U1034" s="19"/>
      <c r="V1034" s="55">
        <f>M1034-Z1034-AB1034-AD1034-AF1034-AH1034-AJ1034-AL1034-AN1034-AP1034-AR1034-AT1034-AV1034-AX1034-AZ1034-BB1034-BD1034-BF1034-BH1034-U1034</f>
        <v>-0.15999999999996817</v>
      </c>
      <c r="W1034" s="15" t="s">
        <v>5039</v>
      </c>
      <c r="X1034" s="19"/>
      <c r="Y1034" s="10"/>
      <c r="Z1034" s="19">
        <v>760.5</v>
      </c>
      <c r="AA1034" s="123">
        <v>46086</v>
      </c>
    </row>
    <row r="1035" spans="1:29" s="28" customFormat="1" ht="20.25" customHeight="1">
      <c r="A1035" s="11">
        <v>46052</v>
      </c>
      <c r="B1035" s="16" t="s">
        <v>5027</v>
      </c>
      <c r="C1035" s="16" t="s">
        <v>400</v>
      </c>
      <c r="D1035" s="16" t="s">
        <v>212</v>
      </c>
      <c r="E1035" s="16" t="s">
        <v>25</v>
      </c>
      <c r="F1035" s="16" t="s">
        <v>5030</v>
      </c>
      <c r="G1035" s="16" t="s">
        <v>71</v>
      </c>
      <c r="H1035" s="16" t="s">
        <v>31</v>
      </c>
      <c r="I1035" s="16"/>
      <c r="J1035" s="16" t="s">
        <v>27</v>
      </c>
      <c r="K1035" s="16" t="s">
        <v>683</v>
      </c>
      <c r="L1035" s="16" t="s">
        <v>35</v>
      </c>
      <c r="M1035" s="17">
        <v>804.8</v>
      </c>
      <c r="N1035" s="23">
        <v>1.29</v>
      </c>
      <c r="O1035" s="16" t="s">
        <v>67</v>
      </c>
      <c r="P1035" s="16" t="s">
        <v>63</v>
      </c>
      <c r="Q1035" s="16" t="s">
        <v>5032</v>
      </c>
      <c r="R1035" s="16" t="s">
        <v>5033</v>
      </c>
      <c r="S1035" s="12" t="s">
        <v>5038</v>
      </c>
      <c r="T1035" s="13">
        <v>46078</v>
      </c>
      <c r="U1035" s="19"/>
      <c r="V1035" s="53">
        <f>M1035-Z1035-AB1035-AD1035-AF1035-AH1035-AJ1035-AL1035-AN1035-AP1035-AR1035-AT1035-AV1035-AX1035-AZ1035-BB1035-BD1035-BF1035-BH1035-U1035</f>
        <v>-0.40000000000009095</v>
      </c>
      <c r="W1035" s="22" t="s">
        <v>5040</v>
      </c>
      <c r="X1035" s="16"/>
      <c r="Y1035" s="9"/>
      <c r="Z1035" s="19">
        <v>805.2</v>
      </c>
      <c r="AA1035" s="252">
        <v>46084</v>
      </c>
    </row>
    <row r="1036" spans="1:29" s="28" customFormat="1" ht="20.25" customHeight="1">
      <c r="A1036" s="11">
        <v>46052</v>
      </c>
      <c r="B1036" s="16" t="s">
        <v>5027</v>
      </c>
      <c r="C1036" s="16" t="s">
        <v>400</v>
      </c>
      <c r="D1036" s="16" t="s">
        <v>212</v>
      </c>
      <c r="E1036" s="16" t="s">
        <v>25</v>
      </c>
      <c r="F1036" s="16" t="s">
        <v>5030</v>
      </c>
      <c r="G1036" s="16" t="s">
        <v>71</v>
      </c>
      <c r="H1036" s="16" t="s">
        <v>31</v>
      </c>
      <c r="I1036" s="16"/>
      <c r="J1036" s="16" t="s">
        <v>27</v>
      </c>
      <c r="K1036" s="16" t="s">
        <v>683</v>
      </c>
      <c r="L1036" s="16" t="s">
        <v>35</v>
      </c>
      <c r="M1036" s="17">
        <v>2938.25</v>
      </c>
      <c r="N1036" s="23">
        <v>1.29</v>
      </c>
      <c r="O1036" s="16" t="s">
        <v>67</v>
      </c>
      <c r="P1036" s="16" t="s">
        <v>63</v>
      </c>
      <c r="Q1036" s="16" t="s">
        <v>5032</v>
      </c>
      <c r="R1036" s="16" t="s">
        <v>5034</v>
      </c>
      <c r="S1036" s="12" t="s">
        <v>5038</v>
      </c>
      <c r="T1036" s="13">
        <v>46078</v>
      </c>
      <c r="U1036" s="19"/>
      <c r="V1036" s="53">
        <f>M1036-Z1036-AB1036-AD1036-AF1036-AH1036-AJ1036-AL1036-AN1036-AP1036-AR1036-AT1036-AV1036-AX1036-AZ1036-BB1036-BD1036-BF1036-BH1036-U1036</f>
        <v>-8.3499999999999091</v>
      </c>
      <c r="W1036" s="22" t="s">
        <v>5041</v>
      </c>
      <c r="X1036" s="16"/>
      <c r="Y1036" s="9"/>
      <c r="Z1036" s="19">
        <f>501.2+2445.4</f>
        <v>2946.6</v>
      </c>
      <c r="AA1036" s="252">
        <v>46084</v>
      </c>
    </row>
    <row r="1037" spans="1:29" s="28" customFormat="1" ht="20.25" customHeight="1">
      <c r="A1037" s="11">
        <v>46052</v>
      </c>
      <c r="B1037" s="16" t="s">
        <v>5027</v>
      </c>
      <c r="C1037" s="16" t="s">
        <v>400</v>
      </c>
      <c r="D1037" s="16" t="s">
        <v>212</v>
      </c>
      <c r="E1037" s="16" t="s">
        <v>25</v>
      </c>
      <c r="F1037" s="16" t="s">
        <v>5030</v>
      </c>
      <c r="G1037" s="16" t="s">
        <v>71</v>
      </c>
      <c r="H1037" s="16" t="s">
        <v>31</v>
      </c>
      <c r="I1037" s="16"/>
      <c r="J1037" s="16" t="s">
        <v>27</v>
      </c>
      <c r="K1037" s="16" t="s">
        <v>683</v>
      </c>
      <c r="L1037" s="16" t="s">
        <v>35</v>
      </c>
      <c r="M1037" s="17">
        <v>1203.55</v>
      </c>
      <c r="N1037" s="23">
        <v>1.29</v>
      </c>
      <c r="O1037" s="16" t="s">
        <v>67</v>
      </c>
      <c r="P1037" s="16" t="s">
        <v>63</v>
      </c>
      <c r="Q1037" s="16" t="s">
        <v>5032</v>
      </c>
      <c r="R1037" s="16" t="s">
        <v>5035</v>
      </c>
      <c r="S1037" s="12" t="s">
        <v>5038</v>
      </c>
      <c r="T1037" s="13">
        <v>46078</v>
      </c>
      <c r="U1037" s="19"/>
      <c r="V1037" s="53">
        <f>M1037-Z1037-AB1037-AD1037-AF1037-AH1037-AJ1037-AL1037-AN1037-AP1037-AR1037-AT1037-AV1037-AX1037-AZ1037-BB1037-BD1037-BF1037-BH1037-U1037</f>
        <v>-7.5499999999999545</v>
      </c>
      <c r="W1037" s="22" t="s">
        <v>5042</v>
      </c>
      <c r="X1037" s="16"/>
      <c r="Y1037" s="9"/>
      <c r="Z1037" s="19">
        <v>1211.0999999999999</v>
      </c>
      <c r="AA1037" s="252">
        <v>46084</v>
      </c>
    </row>
    <row r="1038" spans="1:29" s="28" customFormat="1" ht="20.25" customHeight="1">
      <c r="A1038" s="11">
        <v>46052</v>
      </c>
      <c r="B1038" s="16" t="s">
        <v>5028</v>
      </c>
      <c r="C1038" s="16" t="s">
        <v>382</v>
      </c>
      <c r="D1038" s="16" t="s">
        <v>212</v>
      </c>
      <c r="E1038" s="16" t="s">
        <v>25</v>
      </c>
      <c r="F1038" s="16" t="s">
        <v>5031</v>
      </c>
      <c r="G1038" s="16" t="s">
        <v>71</v>
      </c>
      <c r="H1038" s="16" t="s">
        <v>31</v>
      </c>
      <c r="I1038" s="16"/>
      <c r="J1038" s="16" t="s">
        <v>27</v>
      </c>
      <c r="K1038" s="16" t="s">
        <v>683</v>
      </c>
      <c r="L1038" s="16" t="s">
        <v>35</v>
      </c>
      <c r="M1038" s="17">
        <v>2184.66</v>
      </c>
      <c r="N1038" s="23">
        <v>1.29</v>
      </c>
      <c r="O1038" s="16" t="s">
        <v>67</v>
      </c>
      <c r="P1038" s="16" t="s">
        <v>63</v>
      </c>
      <c r="Q1038" s="16" t="s">
        <v>4176</v>
      </c>
      <c r="R1038" s="16" t="s">
        <v>3929</v>
      </c>
      <c r="S1038" s="12" t="s">
        <v>4923</v>
      </c>
      <c r="T1038" s="13">
        <v>46073</v>
      </c>
      <c r="U1038" s="19"/>
      <c r="V1038" s="53">
        <f>M1038-Z1038-AB1038-AD1038-AF1038-AH1038-AJ1038-AL1038-AN1038-AP1038-AR1038-AT1038-AV1038-AX1038-AZ1038-BB1038-BD1038-BF1038-BH1038-U1038</f>
        <v>-2.5399999999999636</v>
      </c>
      <c r="W1038" s="22" t="s">
        <v>5043</v>
      </c>
      <c r="X1038" s="16"/>
      <c r="Y1038" s="9"/>
      <c r="Z1038" s="19">
        <v>2187.1999999999998</v>
      </c>
      <c r="AA1038" s="252">
        <v>46078</v>
      </c>
    </row>
    <row r="1039" spans="1:29" s="122" customFormat="1" ht="20.25" customHeight="1">
      <c r="A1039" s="300">
        <v>46052</v>
      </c>
      <c r="B1039" s="301" t="s">
        <v>5028</v>
      </c>
      <c r="C1039" s="301" t="s">
        <v>382</v>
      </c>
      <c r="D1039" s="301" t="s">
        <v>212</v>
      </c>
      <c r="E1039" s="301" t="s">
        <v>25</v>
      </c>
      <c r="F1039" s="301" t="s">
        <v>5031</v>
      </c>
      <c r="G1039" s="301" t="s">
        <v>71</v>
      </c>
      <c r="H1039" s="301" t="s">
        <v>31</v>
      </c>
      <c r="I1039" s="301"/>
      <c r="J1039" s="301" t="s">
        <v>27</v>
      </c>
      <c r="K1039" s="301" t="s">
        <v>966</v>
      </c>
      <c r="L1039" s="301" t="s">
        <v>35</v>
      </c>
      <c r="M1039" s="302">
        <v>1161.96</v>
      </c>
      <c r="N1039" s="303">
        <v>1.29</v>
      </c>
      <c r="O1039" s="301" t="s">
        <v>67</v>
      </c>
      <c r="P1039" s="301" t="s">
        <v>63</v>
      </c>
      <c r="Q1039" s="301" t="s">
        <v>4176</v>
      </c>
      <c r="R1039" s="301" t="s">
        <v>5036</v>
      </c>
      <c r="S1039" s="304" t="s">
        <v>4923</v>
      </c>
      <c r="T1039" s="305">
        <v>46073</v>
      </c>
      <c r="U1039" s="19"/>
      <c r="V1039" s="306">
        <f>M1039-Z1039-AB1039-AD1039-AF1039-AH1039-AJ1039-AL1039-AN1039-AP1039-AR1039-AT1039-AV1039-AX1039-AZ1039-BB1039-BD1039-BF1039-BH1039-U1039</f>
        <v>-0.33999999999991815</v>
      </c>
      <c r="W1039" s="307" t="s">
        <v>5044</v>
      </c>
      <c r="X1039" s="301"/>
      <c r="Y1039" s="335"/>
      <c r="Z1039" s="19">
        <v>1162.3</v>
      </c>
      <c r="AA1039" s="312">
        <v>46092</v>
      </c>
    </row>
    <row r="1040" spans="1:29" s="36" customFormat="1" ht="20.25" customHeight="1">
      <c r="A1040" s="7">
        <v>46055</v>
      </c>
      <c r="B1040" s="19" t="s">
        <v>5067</v>
      </c>
      <c r="C1040" s="19" t="s">
        <v>400</v>
      </c>
      <c r="D1040" s="19" t="s">
        <v>212</v>
      </c>
      <c r="E1040" s="19" t="s">
        <v>25</v>
      </c>
      <c r="F1040" s="19" t="s">
        <v>5072</v>
      </c>
      <c r="G1040" s="19" t="s">
        <v>71</v>
      </c>
      <c r="H1040" s="19" t="s">
        <v>31</v>
      </c>
      <c r="I1040" s="301"/>
      <c r="J1040" s="301" t="s">
        <v>27</v>
      </c>
      <c r="K1040" s="19" t="s">
        <v>683</v>
      </c>
      <c r="L1040" s="301" t="s">
        <v>35</v>
      </c>
      <c r="M1040" s="20">
        <v>4238.6099999999997</v>
      </c>
      <c r="N1040" s="25">
        <v>1.29</v>
      </c>
      <c r="O1040" s="19" t="s">
        <v>67</v>
      </c>
      <c r="P1040" s="19" t="s">
        <v>63</v>
      </c>
      <c r="Q1040" s="19" t="s">
        <v>5032</v>
      </c>
      <c r="R1040" s="19" t="s">
        <v>5077</v>
      </c>
      <c r="S1040" s="45" t="s">
        <v>4903</v>
      </c>
      <c r="T1040" s="8">
        <v>46065</v>
      </c>
      <c r="U1040" s="19"/>
      <c r="V1040" s="55">
        <f>M1040-Z1040-AB1040-AD1040-AF1040-AH1040-AJ1040-AL1040-AN1040-AP1040-AR1040-AT1040-AV1040-AX1040-AZ1040-BB1040-BD1040-BF1040-BH1040-U1040</f>
        <v>-1.3900000000002137</v>
      </c>
      <c r="W1040" s="15" t="s">
        <v>5080</v>
      </c>
      <c r="X1040" s="19"/>
      <c r="Y1040" s="10"/>
      <c r="Z1040" s="19">
        <f>2104.1+1761</f>
        <v>3865.1</v>
      </c>
      <c r="AA1040" s="123">
        <v>46077</v>
      </c>
      <c r="AB1040" s="19">
        <v>374.9</v>
      </c>
      <c r="AC1040" s="123">
        <v>46079</v>
      </c>
    </row>
    <row r="1041" spans="1:33" s="28" customFormat="1" ht="20.25" customHeight="1">
      <c r="A1041" s="11">
        <v>46055</v>
      </c>
      <c r="B1041" s="16" t="s">
        <v>5068</v>
      </c>
      <c r="C1041" s="16" t="s">
        <v>267</v>
      </c>
      <c r="D1041" s="16" t="s">
        <v>212</v>
      </c>
      <c r="E1041" s="16" t="s">
        <v>25</v>
      </c>
      <c r="F1041" s="16" t="s">
        <v>5073</v>
      </c>
      <c r="G1041" s="16" t="s">
        <v>71</v>
      </c>
      <c r="H1041" s="16" t="s">
        <v>31</v>
      </c>
      <c r="I1041" s="16"/>
      <c r="J1041" s="16" t="s">
        <v>27</v>
      </c>
      <c r="K1041" s="16" t="s">
        <v>239</v>
      </c>
      <c r="L1041" s="16" t="s">
        <v>35</v>
      </c>
      <c r="M1041" s="17">
        <v>1350</v>
      </c>
      <c r="N1041" s="23">
        <v>1.29</v>
      </c>
      <c r="O1041" s="16" t="s">
        <v>67</v>
      </c>
      <c r="P1041" s="16" t="s">
        <v>63</v>
      </c>
      <c r="Q1041" s="16" t="s">
        <v>29</v>
      </c>
      <c r="R1041" s="16" t="s">
        <v>1200</v>
      </c>
      <c r="S1041" s="12" t="s">
        <v>5079</v>
      </c>
      <c r="T1041" s="13">
        <v>46080</v>
      </c>
      <c r="U1041" s="19"/>
      <c r="V1041" s="53">
        <f>M1041-Z1041-AB1041-AD1041-AF1041-AH1041-AJ1041-AL1041-AN1041-AP1041-AR1041-AT1041-AV1041-AX1041-AZ1041-BB1041-BD1041-BF1041-BH1041-U1041</f>
        <v>-5.2999999999999545</v>
      </c>
      <c r="W1041" s="22" t="s">
        <v>5081</v>
      </c>
      <c r="X1041" s="16"/>
      <c r="Y1041" s="9"/>
      <c r="Z1041" s="19">
        <v>1355.3</v>
      </c>
      <c r="AA1041" s="252">
        <v>46083</v>
      </c>
    </row>
    <row r="1042" spans="1:33" s="28" customFormat="1" ht="20.25" customHeight="1">
      <c r="A1042" s="11">
        <v>46055</v>
      </c>
      <c r="B1042" s="16" t="s">
        <v>5069</v>
      </c>
      <c r="C1042" s="16" t="s">
        <v>267</v>
      </c>
      <c r="D1042" s="16" t="s">
        <v>212</v>
      </c>
      <c r="E1042" s="16" t="s">
        <v>25</v>
      </c>
      <c r="F1042" s="16" t="s">
        <v>5074</v>
      </c>
      <c r="G1042" s="16" t="s">
        <v>71</v>
      </c>
      <c r="H1042" s="16" t="s">
        <v>31</v>
      </c>
      <c r="I1042" s="16"/>
      <c r="J1042" s="16" t="s">
        <v>27</v>
      </c>
      <c r="K1042" s="16" t="s">
        <v>588</v>
      </c>
      <c r="L1042" s="16" t="s">
        <v>35</v>
      </c>
      <c r="M1042" s="17">
        <v>400</v>
      </c>
      <c r="N1042" s="23">
        <v>1.29</v>
      </c>
      <c r="O1042" s="16" t="s">
        <v>67</v>
      </c>
      <c r="P1042" s="16" t="s">
        <v>63</v>
      </c>
      <c r="Q1042" s="16" t="s">
        <v>29</v>
      </c>
      <c r="R1042" s="16" t="s">
        <v>4079</v>
      </c>
      <c r="S1042" s="12" t="s">
        <v>5079</v>
      </c>
      <c r="T1042" s="13">
        <v>46080</v>
      </c>
      <c r="U1042" s="19"/>
      <c r="V1042" s="53">
        <f>M1042-Z1042-AB1042-AD1042-AF1042-AH1042-AJ1042-AL1042-AN1042-AP1042-AR1042-AT1042-AV1042-AX1042-AZ1042-BB1042-BD1042-BF1042-BH1042-U1042</f>
        <v>-0.69999999999998863</v>
      </c>
      <c r="W1042" s="22" t="s">
        <v>5082</v>
      </c>
      <c r="X1042" s="16"/>
      <c r="Y1042" s="9"/>
      <c r="Z1042" s="19">
        <v>400.7</v>
      </c>
      <c r="AA1042" s="252">
        <v>46072</v>
      </c>
    </row>
    <row r="1043" spans="1:33" s="28" customFormat="1" ht="20.25" customHeight="1">
      <c r="A1043" s="11">
        <v>46055</v>
      </c>
      <c r="B1043" s="16" t="s">
        <v>5070</v>
      </c>
      <c r="C1043" s="16" t="s">
        <v>267</v>
      </c>
      <c r="D1043" s="16" t="s">
        <v>212</v>
      </c>
      <c r="E1043" s="16" t="s">
        <v>25</v>
      </c>
      <c r="F1043" s="16" t="s">
        <v>5075</v>
      </c>
      <c r="G1043" s="16" t="s">
        <v>71</v>
      </c>
      <c r="H1043" s="16" t="s">
        <v>31</v>
      </c>
      <c r="I1043" s="16"/>
      <c r="J1043" s="16" t="s">
        <v>27</v>
      </c>
      <c r="K1043" s="16" t="s">
        <v>218</v>
      </c>
      <c r="L1043" s="16" t="s">
        <v>35</v>
      </c>
      <c r="M1043" s="17">
        <v>190</v>
      </c>
      <c r="N1043" s="23">
        <v>1.29</v>
      </c>
      <c r="O1043" s="16" t="s">
        <v>67</v>
      </c>
      <c r="P1043" s="16" t="s">
        <v>63</v>
      </c>
      <c r="Q1043" s="16" t="s">
        <v>29</v>
      </c>
      <c r="R1043" s="16" t="s">
        <v>5078</v>
      </c>
      <c r="S1043" s="12" t="s">
        <v>5079</v>
      </c>
      <c r="T1043" s="13">
        <v>46080</v>
      </c>
      <c r="U1043" s="19"/>
      <c r="V1043" s="53">
        <f>M1043-Z1043-AB1043-AD1043-AF1043-AH1043-AJ1043-AL1043-AN1043-AP1043-AR1043-AT1043-AV1043-AX1043-AZ1043-BB1043-BD1043-BF1043-BH1043-U1043</f>
        <v>-1.5</v>
      </c>
      <c r="W1043" s="22" t="s">
        <v>5083</v>
      </c>
      <c r="X1043" s="16"/>
      <c r="Y1043" s="9"/>
      <c r="Z1043" s="19">
        <v>191.5</v>
      </c>
      <c r="AA1043" s="252">
        <v>46083</v>
      </c>
    </row>
    <row r="1044" spans="1:33" s="28" customFormat="1" ht="20.25" customHeight="1">
      <c r="A1044" s="11">
        <v>46055</v>
      </c>
      <c r="B1044" s="16" t="s">
        <v>5071</v>
      </c>
      <c r="C1044" s="16" t="s">
        <v>267</v>
      </c>
      <c r="D1044" s="16" t="s">
        <v>212</v>
      </c>
      <c r="E1044" s="16" t="s">
        <v>25</v>
      </c>
      <c r="F1044" s="16" t="s">
        <v>5076</v>
      </c>
      <c r="G1044" s="16" t="s">
        <v>71</v>
      </c>
      <c r="H1044" s="16" t="s">
        <v>26</v>
      </c>
      <c r="I1044" s="16"/>
      <c r="J1044" s="16" t="s">
        <v>27</v>
      </c>
      <c r="K1044" s="16" t="s">
        <v>218</v>
      </c>
      <c r="L1044" s="16" t="s">
        <v>35</v>
      </c>
      <c r="M1044" s="17">
        <v>1660</v>
      </c>
      <c r="N1044" s="23">
        <v>1.29</v>
      </c>
      <c r="O1044" s="16" t="s">
        <v>67</v>
      </c>
      <c r="P1044" s="16" t="s">
        <v>63</v>
      </c>
      <c r="Q1044" s="16" t="s">
        <v>29</v>
      </c>
      <c r="R1044" s="16" t="s">
        <v>2988</v>
      </c>
      <c r="S1044" s="12" t="s">
        <v>5079</v>
      </c>
      <c r="T1044" s="13">
        <v>46080</v>
      </c>
      <c r="U1044" s="19"/>
      <c r="V1044" s="53">
        <f>M1044-Z1044-AB1044-AD1044-AF1044-AH1044-AJ1044-AL1044-AN1044-AP1044-AR1044-AT1044-AV1044-AX1044-AZ1044-BB1044-BD1044-BF1044-BH1044-U1044</f>
        <v>-2</v>
      </c>
      <c r="W1044" s="22" t="s">
        <v>5084</v>
      </c>
      <c r="X1044" s="16"/>
      <c r="Y1044" s="9"/>
      <c r="Z1044" s="19">
        <f>141.2+1520.8</f>
        <v>1662</v>
      </c>
      <c r="AA1044" s="252">
        <v>46083</v>
      </c>
    </row>
    <row r="1045" spans="1:33" s="282" customFormat="1" ht="20.25" customHeight="1">
      <c r="A1045" s="272">
        <v>46056</v>
      </c>
      <c r="B1045" s="273" t="s">
        <v>5110</v>
      </c>
      <c r="C1045" s="273" t="s">
        <v>267</v>
      </c>
      <c r="D1045" s="273" t="s">
        <v>212</v>
      </c>
      <c r="E1045" s="273" t="s">
        <v>25</v>
      </c>
      <c r="F1045" s="273" t="s">
        <v>5115</v>
      </c>
      <c r="G1045" s="273" t="s">
        <v>71</v>
      </c>
      <c r="H1045" s="273" t="s">
        <v>31</v>
      </c>
      <c r="I1045" s="273"/>
      <c r="J1045" s="273" t="s">
        <v>27</v>
      </c>
      <c r="K1045" s="273" t="s">
        <v>683</v>
      </c>
      <c r="L1045" s="273" t="s">
        <v>35</v>
      </c>
      <c r="M1045" s="274">
        <v>1005</v>
      </c>
      <c r="N1045" s="275">
        <v>1.29</v>
      </c>
      <c r="O1045" s="273" t="s">
        <v>67</v>
      </c>
      <c r="P1045" s="273" t="s">
        <v>63</v>
      </c>
      <c r="Q1045" s="273" t="s">
        <v>29</v>
      </c>
      <c r="R1045" s="273" t="s">
        <v>5121</v>
      </c>
      <c r="S1045" s="276" t="s">
        <v>5079</v>
      </c>
      <c r="T1045" s="277">
        <v>46080</v>
      </c>
      <c r="U1045" s="278"/>
      <c r="V1045" s="279">
        <f>M1045-Z1045-AB1045-AD1045-AF1045-AH1045-AJ1045-AL1045-AN1045-AP1045-AR1045-AT1045-AV1045-AX1045-AZ1045-BB1045-BD1045-BF1045-BH1045-U1045</f>
        <v>1005</v>
      </c>
      <c r="W1045" s="280" t="s">
        <v>5124</v>
      </c>
      <c r="X1045" s="273" t="s">
        <v>5191</v>
      </c>
      <c r="Y1045" s="322"/>
      <c r="Z1045" s="322"/>
    </row>
    <row r="1046" spans="1:33" s="28" customFormat="1" ht="20.25" customHeight="1">
      <c r="A1046" s="11">
        <v>46056</v>
      </c>
      <c r="B1046" s="16" t="s">
        <v>5111</v>
      </c>
      <c r="C1046" s="16" t="s">
        <v>304</v>
      </c>
      <c r="D1046" s="16" t="s">
        <v>212</v>
      </c>
      <c r="E1046" s="16" t="s">
        <v>25</v>
      </c>
      <c r="F1046" s="16" t="s">
        <v>5116</v>
      </c>
      <c r="G1046" s="16" t="s">
        <v>71</v>
      </c>
      <c r="H1046" s="16" t="s">
        <v>31</v>
      </c>
      <c r="I1046" s="16"/>
      <c r="J1046" s="16" t="s">
        <v>27</v>
      </c>
      <c r="K1046" s="16" t="s">
        <v>5120</v>
      </c>
      <c r="L1046" s="16" t="s">
        <v>35</v>
      </c>
      <c r="M1046" s="17">
        <v>6261</v>
      </c>
      <c r="N1046" s="23">
        <v>1.29</v>
      </c>
      <c r="O1046" s="16" t="s">
        <v>67</v>
      </c>
      <c r="P1046" s="16" t="s">
        <v>63</v>
      </c>
      <c r="Q1046" s="16" t="s">
        <v>29</v>
      </c>
      <c r="R1046" s="16" t="s">
        <v>4364</v>
      </c>
      <c r="S1046" s="12" t="s">
        <v>5079</v>
      </c>
      <c r="T1046" s="13">
        <v>46080</v>
      </c>
      <c r="U1046" s="19"/>
      <c r="V1046" s="53">
        <f>M1046-Z1046-AB1046-AD1046-AF1046-AH1046-AJ1046-AL1046-AN1046-AP1046-AR1046-AT1046-AV1046-AX1046-AZ1046-BB1046-BD1046-BF1046-BH1046-U1046</f>
        <v>-2.5000000000005116</v>
      </c>
      <c r="W1046" s="22" t="s">
        <v>5125</v>
      </c>
      <c r="X1046" s="16"/>
      <c r="Y1046" s="9"/>
      <c r="Z1046" s="19">
        <v>873.1</v>
      </c>
      <c r="AA1046" s="252">
        <v>46072</v>
      </c>
      <c r="AB1046" s="19">
        <v>3122.4</v>
      </c>
      <c r="AC1046" s="252">
        <v>46083</v>
      </c>
      <c r="AD1046" s="19">
        <v>1775.7</v>
      </c>
      <c r="AE1046" s="252">
        <v>46091</v>
      </c>
      <c r="AF1046" s="19">
        <v>492.3</v>
      </c>
      <c r="AG1046" s="252">
        <v>46111</v>
      </c>
    </row>
    <row r="1047" spans="1:33" s="36" customFormat="1" ht="20.25" customHeight="1">
      <c r="A1047" s="7">
        <v>46056</v>
      </c>
      <c r="B1047" s="19" t="s">
        <v>5112</v>
      </c>
      <c r="C1047" s="19" t="s">
        <v>438</v>
      </c>
      <c r="D1047" s="19" t="s">
        <v>212</v>
      </c>
      <c r="E1047" s="19" t="s">
        <v>25</v>
      </c>
      <c r="F1047" s="19" t="s">
        <v>5117</v>
      </c>
      <c r="G1047" s="19" t="s">
        <v>71</v>
      </c>
      <c r="H1047" s="19" t="s">
        <v>31</v>
      </c>
      <c r="I1047" s="19"/>
      <c r="J1047" s="19" t="s">
        <v>27</v>
      </c>
      <c r="K1047" s="19" t="s">
        <v>1082</v>
      </c>
      <c r="L1047" s="19" t="s">
        <v>35</v>
      </c>
      <c r="M1047" s="20">
        <v>100</v>
      </c>
      <c r="N1047" s="25">
        <v>1.29</v>
      </c>
      <c r="O1047" s="19" t="s">
        <v>67</v>
      </c>
      <c r="P1047" s="19" t="s">
        <v>63</v>
      </c>
      <c r="Q1047" s="19" t="s">
        <v>29</v>
      </c>
      <c r="R1047" s="19" t="s">
        <v>29</v>
      </c>
      <c r="S1047" s="45" t="s">
        <v>5122</v>
      </c>
      <c r="T1047" s="8">
        <v>46070</v>
      </c>
      <c r="U1047" s="19"/>
      <c r="V1047" s="55">
        <f>M1047-Z1047-AB1047-AD1047-AF1047-AH1047-AJ1047-AL1047-AN1047-AP1047-AR1047-AT1047-AV1047-AX1047-AZ1047-BB1047-BD1047-BF1047-BH1047-U1047</f>
        <v>0</v>
      </c>
      <c r="W1047" s="15" t="s">
        <v>5126</v>
      </c>
      <c r="X1047" s="19"/>
      <c r="Y1047" s="10"/>
      <c r="Z1047" s="19">
        <v>100</v>
      </c>
      <c r="AA1047" s="123">
        <v>46072</v>
      </c>
    </row>
    <row r="1048" spans="1:33" s="36" customFormat="1" ht="20.25" customHeight="1">
      <c r="A1048" s="7">
        <v>46056</v>
      </c>
      <c r="B1048" s="19" t="s">
        <v>5112</v>
      </c>
      <c r="C1048" s="19" t="s">
        <v>438</v>
      </c>
      <c r="D1048" s="19" t="s">
        <v>212</v>
      </c>
      <c r="E1048" s="19" t="s">
        <v>25</v>
      </c>
      <c r="F1048" s="19" t="s">
        <v>5117</v>
      </c>
      <c r="G1048" s="19" t="s">
        <v>71</v>
      </c>
      <c r="H1048" s="19" t="s">
        <v>31</v>
      </c>
      <c r="I1048" s="19"/>
      <c r="J1048" s="19" t="s">
        <v>27</v>
      </c>
      <c r="K1048" s="19" t="s">
        <v>1082</v>
      </c>
      <c r="L1048" s="19" t="s">
        <v>35</v>
      </c>
      <c r="M1048" s="20">
        <v>492</v>
      </c>
      <c r="N1048" s="25">
        <v>1.29</v>
      </c>
      <c r="O1048" s="19" t="s">
        <v>67</v>
      </c>
      <c r="P1048" s="19" t="s">
        <v>63</v>
      </c>
      <c r="Q1048" s="19" t="s">
        <v>29</v>
      </c>
      <c r="R1048" s="19" t="s">
        <v>29</v>
      </c>
      <c r="S1048" s="45" t="s">
        <v>5122</v>
      </c>
      <c r="T1048" s="8">
        <v>46070</v>
      </c>
      <c r="U1048" s="19"/>
      <c r="V1048" s="55">
        <f>M1048-Z1048-AB1048-AD1048-AF1048-AH1048-AJ1048-AL1048-AN1048-AP1048-AR1048-AT1048-AV1048-AX1048-AZ1048-BB1048-BD1048-BF1048-BH1048-U1048</f>
        <v>-1.3000000000000114</v>
      </c>
      <c r="W1048" s="15" t="s">
        <v>5127</v>
      </c>
      <c r="X1048" s="19"/>
      <c r="Y1048" s="10"/>
      <c r="Z1048" s="19">
        <v>493.3</v>
      </c>
      <c r="AA1048" s="123">
        <v>46072</v>
      </c>
    </row>
    <row r="1049" spans="1:33" s="36" customFormat="1" ht="20.25" customHeight="1">
      <c r="A1049" s="7">
        <v>46056</v>
      </c>
      <c r="B1049" s="19" t="s">
        <v>5113</v>
      </c>
      <c r="C1049" s="19" t="s">
        <v>438</v>
      </c>
      <c r="D1049" s="19" t="s">
        <v>212</v>
      </c>
      <c r="E1049" s="19" t="s">
        <v>25</v>
      </c>
      <c r="F1049" s="19" t="s">
        <v>5118</v>
      </c>
      <c r="G1049" s="19" t="s">
        <v>71</v>
      </c>
      <c r="H1049" s="19" t="s">
        <v>31</v>
      </c>
      <c r="I1049" s="19"/>
      <c r="J1049" s="19" t="s">
        <v>27</v>
      </c>
      <c r="K1049" s="19" t="s">
        <v>1082</v>
      </c>
      <c r="L1049" s="19" t="s">
        <v>35</v>
      </c>
      <c r="M1049" s="20">
        <v>125</v>
      </c>
      <c r="N1049" s="25">
        <v>1.29</v>
      </c>
      <c r="O1049" s="19" t="s">
        <v>67</v>
      </c>
      <c r="P1049" s="19" t="s">
        <v>63</v>
      </c>
      <c r="Q1049" s="19" t="s">
        <v>29</v>
      </c>
      <c r="R1049" s="19" t="s">
        <v>29</v>
      </c>
      <c r="S1049" s="45" t="s">
        <v>5122</v>
      </c>
      <c r="T1049" s="8">
        <v>46070</v>
      </c>
      <c r="U1049" s="19"/>
      <c r="V1049" s="55">
        <f>M1049-Z1049-AB1049-AD1049-AF1049-AH1049-AJ1049-AL1049-AN1049-AP1049-AR1049-AT1049-AV1049-AX1049-AZ1049-BB1049-BD1049-BF1049-BH1049-U1049</f>
        <v>-1.7000000000000028</v>
      </c>
      <c r="W1049" s="15" t="s">
        <v>5128</v>
      </c>
      <c r="X1049" s="19"/>
      <c r="Y1049" s="10"/>
      <c r="Z1049" s="19">
        <v>126.7</v>
      </c>
      <c r="AA1049" s="123">
        <v>46072</v>
      </c>
    </row>
    <row r="1050" spans="1:33" s="28" customFormat="1" ht="20.25" customHeight="1">
      <c r="A1050" s="11">
        <v>46056</v>
      </c>
      <c r="B1050" s="16" t="s">
        <v>5114</v>
      </c>
      <c r="C1050" s="16" t="s">
        <v>228</v>
      </c>
      <c r="D1050" s="16" t="s">
        <v>212</v>
      </c>
      <c r="E1050" s="16" t="s">
        <v>25</v>
      </c>
      <c r="F1050" s="16" t="s">
        <v>5119</v>
      </c>
      <c r="G1050" s="16" t="s">
        <v>71</v>
      </c>
      <c r="H1050" s="16" t="s">
        <v>31</v>
      </c>
      <c r="I1050" s="16"/>
      <c r="J1050" s="16" t="s">
        <v>27</v>
      </c>
      <c r="K1050" s="16" t="s">
        <v>2462</v>
      </c>
      <c r="L1050" s="16" t="s">
        <v>35</v>
      </c>
      <c r="M1050" s="17">
        <v>24</v>
      </c>
      <c r="N1050" s="23">
        <v>1.33</v>
      </c>
      <c r="O1050" s="16" t="s">
        <v>67</v>
      </c>
      <c r="P1050" s="16" t="s">
        <v>63</v>
      </c>
      <c r="Q1050" s="16" t="s">
        <v>263</v>
      </c>
      <c r="R1050" s="16" t="s">
        <v>1130</v>
      </c>
      <c r="S1050" s="12" t="s">
        <v>5123</v>
      </c>
      <c r="T1050" s="13">
        <v>46070</v>
      </c>
      <c r="U1050" s="19"/>
      <c r="V1050" s="53">
        <f>M1050-Z1050-AB1050-AD1050-AF1050-AH1050-AJ1050-AL1050-AN1050-AP1050-AR1050-AT1050-AV1050-AX1050-AZ1050-BB1050-BD1050-BF1050-BH1050-U1050</f>
        <v>-1.6000000000000014</v>
      </c>
      <c r="W1050" s="22" t="s">
        <v>5129</v>
      </c>
      <c r="X1050" s="16"/>
      <c r="Y1050" s="9"/>
      <c r="Z1050" s="19">
        <v>25.6</v>
      </c>
      <c r="AA1050" s="252">
        <v>46058</v>
      </c>
    </row>
    <row r="1051" spans="1:33" s="28" customFormat="1" ht="20.25" customHeight="1">
      <c r="A1051" s="11">
        <v>46057</v>
      </c>
      <c r="B1051" s="16" t="s">
        <v>5135</v>
      </c>
      <c r="C1051" s="16" t="s">
        <v>267</v>
      </c>
      <c r="D1051" s="16" t="s">
        <v>212</v>
      </c>
      <c r="E1051" s="16" t="s">
        <v>25</v>
      </c>
      <c r="F1051" s="16" t="s">
        <v>5143</v>
      </c>
      <c r="G1051" s="16" t="s">
        <v>71</v>
      </c>
      <c r="H1051" s="16" t="s">
        <v>31</v>
      </c>
      <c r="I1051" s="16"/>
      <c r="J1051" s="16" t="s">
        <v>27</v>
      </c>
      <c r="K1051" s="16" t="s">
        <v>588</v>
      </c>
      <c r="L1051" s="16" t="s">
        <v>35</v>
      </c>
      <c r="M1051" s="17">
        <v>850</v>
      </c>
      <c r="N1051" s="23">
        <v>1.33</v>
      </c>
      <c r="O1051" s="16" t="s">
        <v>67</v>
      </c>
      <c r="P1051" s="16" t="s">
        <v>63</v>
      </c>
      <c r="Q1051" s="16" t="s">
        <v>29</v>
      </c>
      <c r="R1051" s="16" t="s">
        <v>4079</v>
      </c>
      <c r="S1051" s="12" t="s">
        <v>5079</v>
      </c>
      <c r="T1051" s="13">
        <v>46080</v>
      </c>
      <c r="U1051" s="19"/>
      <c r="V1051" s="53">
        <f>M1051-Z1051-AB1051-AD1051-AF1051-AH1051-AJ1051-AL1051-AN1051-AP1051-AR1051-AT1051-AV1051-AX1051-AZ1051-BB1051-BD1051-BF1051-BH1051-U1051</f>
        <v>-2.3999999999999773</v>
      </c>
      <c r="W1051" s="22" t="s">
        <v>5156</v>
      </c>
      <c r="X1051" s="16" t="s">
        <v>29</v>
      </c>
      <c r="Y1051" s="9"/>
      <c r="Z1051" s="19">
        <v>852.4</v>
      </c>
      <c r="AA1051" s="252">
        <v>46072</v>
      </c>
    </row>
    <row r="1052" spans="1:33" s="28" customFormat="1" ht="20.25" customHeight="1">
      <c r="A1052" s="11">
        <v>46057</v>
      </c>
      <c r="B1052" s="16" t="s">
        <v>5136</v>
      </c>
      <c r="C1052" s="16" t="s">
        <v>315</v>
      </c>
      <c r="D1052" s="16" t="s">
        <v>212</v>
      </c>
      <c r="E1052" s="16" t="s">
        <v>25</v>
      </c>
      <c r="F1052" s="16" t="s">
        <v>5144</v>
      </c>
      <c r="G1052" s="16" t="s">
        <v>71</v>
      </c>
      <c r="H1052" s="16" t="s">
        <v>31</v>
      </c>
      <c r="I1052" s="16"/>
      <c r="J1052" s="16" t="s">
        <v>27</v>
      </c>
      <c r="K1052" s="16" t="s">
        <v>683</v>
      </c>
      <c r="L1052" s="16" t="s">
        <v>35</v>
      </c>
      <c r="M1052" s="17">
        <v>5123</v>
      </c>
      <c r="N1052" s="23">
        <v>1.33</v>
      </c>
      <c r="O1052" s="16" t="s">
        <v>67</v>
      </c>
      <c r="P1052" s="16" t="s">
        <v>63</v>
      </c>
      <c r="Q1052" s="16" t="s">
        <v>29</v>
      </c>
      <c r="R1052" s="16" t="s">
        <v>1618</v>
      </c>
      <c r="S1052" s="12" t="s">
        <v>5079</v>
      </c>
      <c r="T1052" s="13">
        <v>46080</v>
      </c>
      <c r="U1052" s="19"/>
      <c r="V1052" s="53">
        <f>M1052-Z1052-AB1052-AD1052-AF1052-AH1052-AJ1052-AL1052-AN1052-AP1052-AR1052-AT1052-AV1052-AX1052-AZ1052-BB1052-BD1052-BF1052-BH1052-U1052</f>
        <v>-0.6999999999998181</v>
      </c>
      <c r="W1052" s="22" t="s">
        <v>5157</v>
      </c>
      <c r="X1052" s="16" t="s">
        <v>29</v>
      </c>
      <c r="Y1052" s="9"/>
      <c r="Z1052" s="19">
        <f>760.6+281.9+2438.1+1643.1</f>
        <v>5123.7</v>
      </c>
      <c r="AA1052" s="252">
        <v>46087</v>
      </c>
    </row>
    <row r="1053" spans="1:33" s="28" customFormat="1" ht="20.25" customHeight="1">
      <c r="A1053" s="11">
        <v>46057</v>
      </c>
      <c r="B1053" s="16" t="s">
        <v>5137</v>
      </c>
      <c r="C1053" s="16" t="s">
        <v>267</v>
      </c>
      <c r="D1053" s="16" t="s">
        <v>212</v>
      </c>
      <c r="E1053" s="16" t="s">
        <v>25</v>
      </c>
      <c r="F1053" s="16" t="s">
        <v>5145</v>
      </c>
      <c r="G1053" s="16" t="s">
        <v>71</v>
      </c>
      <c r="H1053" s="16" t="s">
        <v>31</v>
      </c>
      <c r="I1053" s="16"/>
      <c r="J1053" s="16" t="s">
        <v>27</v>
      </c>
      <c r="K1053" s="16" t="s">
        <v>5150</v>
      </c>
      <c r="L1053" s="16" t="s">
        <v>35</v>
      </c>
      <c r="M1053" s="17">
        <v>2000</v>
      </c>
      <c r="N1053" s="23">
        <v>1.33</v>
      </c>
      <c r="O1053" s="16" t="s">
        <v>67</v>
      </c>
      <c r="P1053" s="16" t="s">
        <v>63</v>
      </c>
      <c r="Q1053" s="16" t="s">
        <v>29</v>
      </c>
      <c r="R1053" s="16" t="s">
        <v>5151</v>
      </c>
      <c r="S1053" s="12" t="s">
        <v>5079</v>
      </c>
      <c r="T1053" s="13">
        <v>46080</v>
      </c>
      <c r="U1053" s="19"/>
      <c r="V1053" s="53">
        <f>M1053-Z1053-AB1053-AD1053-AF1053-AH1053-AJ1053-AL1053-AN1053-AP1053-AR1053-AT1053-AV1053-AX1053-AZ1053-BB1053-BD1053-BF1053-BH1053-U1053</f>
        <v>-2.7999999999999545</v>
      </c>
      <c r="W1053" s="22" t="s">
        <v>5158</v>
      </c>
      <c r="X1053" s="16" t="s">
        <v>29</v>
      </c>
      <c r="Y1053" s="9"/>
      <c r="Z1053" s="19">
        <v>2002.8</v>
      </c>
      <c r="AA1053" s="252">
        <v>46072</v>
      </c>
    </row>
    <row r="1054" spans="1:33" s="28" customFormat="1" ht="20.25" customHeight="1">
      <c r="A1054" s="11">
        <v>46057</v>
      </c>
      <c r="B1054" s="16" t="s">
        <v>5138</v>
      </c>
      <c r="C1054" s="16" t="s">
        <v>1568</v>
      </c>
      <c r="D1054" s="16" t="s">
        <v>212</v>
      </c>
      <c r="E1054" s="16" t="s">
        <v>25</v>
      </c>
      <c r="F1054" s="16" t="s">
        <v>5146</v>
      </c>
      <c r="G1054" s="16" t="s">
        <v>71</v>
      </c>
      <c r="H1054" s="16" t="s">
        <v>26</v>
      </c>
      <c r="I1054" s="16"/>
      <c r="J1054" s="16" t="s">
        <v>27</v>
      </c>
      <c r="K1054" s="16" t="s">
        <v>913</v>
      </c>
      <c r="L1054" s="16" t="s">
        <v>35</v>
      </c>
      <c r="M1054" s="17">
        <v>915</v>
      </c>
      <c r="N1054" s="23">
        <v>1.33</v>
      </c>
      <c r="O1054" s="16" t="s">
        <v>67</v>
      </c>
      <c r="P1054" s="16" t="s">
        <v>63</v>
      </c>
      <c r="Q1054" s="16" t="s">
        <v>29</v>
      </c>
      <c r="R1054" s="16" t="s">
        <v>3138</v>
      </c>
      <c r="S1054" s="12" t="s">
        <v>5154</v>
      </c>
      <c r="T1054" s="13">
        <v>46078</v>
      </c>
      <c r="U1054" s="19"/>
      <c r="V1054" s="53">
        <f>M1054-Z1054-AB1054-AD1054-AF1054-AH1054-AJ1054-AL1054-AN1054-AP1054-AR1054-AT1054-AV1054-AX1054-AZ1054-BB1054-BD1054-BF1054-BH1054-U1054</f>
        <v>-4.3999999999999773</v>
      </c>
      <c r="W1054" s="22" t="s">
        <v>5159</v>
      </c>
      <c r="X1054" s="16" t="s">
        <v>29</v>
      </c>
      <c r="Y1054" s="9"/>
      <c r="Z1054" s="19">
        <f>94.4+825</f>
        <v>919.4</v>
      </c>
      <c r="AA1054" s="252">
        <v>46091</v>
      </c>
    </row>
    <row r="1055" spans="1:33" s="28" customFormat="1" ht="20.25" customHeight="1">
      <c r="A1055" s="11">
        <v>46057</v>
      </c>
      <c r="B1055" s="16" t="s">
        <v>5139</v>
      </c>
      <c r="C1055" s="16" t="s">
        <v>1568</v>
      </c>
      <c r="D1055" s="16" t="s">
        <v>212</v>
      </c>
      <c r="E1055" s="16" t="s">
        <v>25</v>
      </c>
      <c r="F1055" s="16" t="s">
        <v>5147</v>
      </c>
      <c r="G1055" s="16" t="s">
        <v>71</v>
      </c>
      <c r="H1055" s="16" t="s">
        <v>26</v>
      </c>
      <c r="I1055" s="16"/>
      <c r="J1055" s="16" t="s">
        <v>27</v>
      </c>
      <c r="K1055" s="16" t="s">
        <v>913</v>
      </c>
      <c r="L1055" s="16" t="s">
        <v>35</v>
      </c>
      <c r="M1055" s="17">
        <v>3884</v>
      </c>
      <c r="N1055" s="23">
        <v>1.33</v>
      </c>
      <c r="O1055" s="16" t="s">
        <v>67</v>
      </c>
      <c r="P1055" s="16" t="s">
        <v>63</v>
      </c>
      <c r="Q1055" s="16" t="s">
        <v>29</v>
      </c>
      <c r="R1055" s="16" t="s">
        <v>3138</v>
      </c>
      <c r="S1055" s="12" t="s">
        <v>5154</v>
      </c>
      <c r="T1055" s="13">
        <v>46078</v>
      </c>
      <c r="U1055" s="19"/>
      <c r="V1055" s="53">
        <f>M1055-Z1055-AB1055-AD1055-AF1055-AH1055-AJ1055-AL1055-AN1055-AP1055-AR1055-AT1055-AV1055-AX1055-AZ1055-BB1055-BD1055-BF1055-BH1055-U1055</f>
        <v>-0.3000000000001819</v>
      </c>
      <c r="W1055" s="22" t="s">
        <v>5160</v>
      </c>
      <c r="X1055" s="16" t="s">
        <v>29</v>
      </c>
      <c r="Y1055" s="9"/>
      <c r="Z1055" s="19">
        <f>3125.3+143+616</f>
        <v>3884.3</v>
      </c>
      <c r="AA1055" s="252">
        <v>46091</v>
      </c>
    </row>
    <row r="1056" spans="1:33" s="28" customFormat="1" ht="20.25" customHeight="1">
      <c r="A1056" s="11">
        <v>46057</v>
      </c>
      <c r="B1056" s="16" t="s">
        <v>5139</v>
      </c>
      <c r="C1056" s="16" t="s">
        <v>1568</v>
      </c>
      <c r="D1056" s="16" t="s">
        <v>212</v>
      </c>
      <c r="E1056" s="16" t="s">
        <v>25</v>
      </c>
      <c r="F1056" s="16" t="s">
        <v>5147</v>
      </c>
      <c r="G1056" s="16" t="s">
        <v>71</v>
      </c>
      <c r="H1056" s="16" t="s">
        <v>31</v>
      </c>
      <c r="I1056" s="16"/>
      <c r="J1056" s="16" t="s">
        <v>27</v>
      </c>
      <c r="K1056" s="16" t="s">
        <v>913</v>
      </c>
      <c r="L1056" s="16" t="s">
        <v>35</v>
      </c>
      <c r="M1056" s="17">
        <v>298</v>
      </c>
      <c r="N1056" s="23">
        <v>1.33</v>
      </c>
      <c r="O1056" s="16" t="s">
        <v>67</v>
      </c>
      <c r="P1056" s="16" t="s">
        <v>63</v>
      </c>
      <c r="Q1056" s="16" t="s">
        <v>29</v>
      </c>
      <c r="R1056" s="16" t="s">
        <v>3142</v>
      </c>
      <c r="S1056" s="12" t="s">
        <v>5154</v>
      </c>
      <c r="T1056" s="13">
        <v>46078</v>
      </c>
      <c r="U1056" s="19"/>
      <c r="V1056" s="53">
        <f>M1056-Z1056-AB1056-AD1056-AF1056-AH1056-AJ1056-AL1056-AN1056-AP1056-AR1056-AT1056-AV1056-AX1056-AZ1056-BB1056-BD1056-BF1056-BH1056-U1056</f>
        <v>-4.8999999999999773</v>
      </c>
      <c r="W1056" s="22" t="s">
        <v>5161</v>
      </c>
      <c r="X1056" s="16" t="s">
        <v>29</v>
      </c>
      <c r="Y1056" s="9"/>
      <c r="Z1056" s="19">
        <v>302.89999999999998</v>
      </c>
      <c r="AA1056" s="252">
        <v>46091</v>
      </c>
    </row>
    <row r="1057" spans="1:29" s="28" customFormat="1" ht="20.25" customHeight="1">
      <c r="A1057" s="11">
        <v>46057</v>
      </c>
      <c r="B1057" s="16" t="s">
        <v>5140</v>
      </c>
      <c r="C1057" s="16" t="s">
        <v>1568</v>
      </c>
      <c r="D1057" s="16" t="s">
        <v>212</v>
      </c>
      <c r="E1057" s="16" t="s">
        <v>25</v>
      </c>
      <c r="F1057" s="16" t="s">
        <v>5148</v>
      </c>
      <c r="G1057" s="16" t="s">
        <v>71</v>
      </c>
      <c r="H1057" s="16" t="s">
        <v>26</v>
      </c>
      <c r="I1057" s="16"/>
      <c r="J1057" s="16" t="s">
        <v>27</v>
      </c>
      <c r="K1057" s="16" t="s">
        <v>913</v>
      </c>
      <c r="L1057" s="16" t="s">
        <v>35</v>
      </c>
      <c r="M1057" s="17">
        <v>1116</v>
      </c>
      <c r="N1057" s="23">
        <v>1.33</v>
      </c>
      <c r="O1057" s="16" t="s">
        <v>67</v>
      </c>
      <c r="P1057" s="16" t="s">
        <v>63</v>
      </c>
      <c r="Q1057" s="16" t="s">
        <v>29</v>
      </c>
      <c r="R1057" s="16" t="s">
        <v>3138</v>
      </c>
      <c r="S1057" s="12" t="s">
        <v>5154</v>
      </c>
      <c r="T1057" s="13">
        <v>46078</v>
      </c>
      <c r="U1057" s="19"/>
      <c r="V1057" s="53">
        <f>M1057-Z1057-AB1057-AD1057-AF1057-AH1057-AJ1057-AL1057-AN1057-AP1057-AR1057-AT1057-AV1057-AX1057-AZ1057-BB1057-BD1057-BF1057-BH1057-U1057</f>
        <v>-2.9000000000000909</v>
      </c>
      <c r="W1057" s="22" t="s">
        <v>5162</v>
      </c>
      <c r="X1057" s="16" t="s">
        <v>29</v>
      </c>
      <c r="Y1057" s="9"/>
      <c r="Z1057" s="19">
        <v>1118.9000000000001</v>
      </c>
      <c r="AA1057" s="252">
        <v>46091</v>
      </c>
    </row>
    <row r="1058" spans="1:29" s="28" customFormat="1" ht="20.25" customHeight="1">
      <c r="A1058" s="11">
        <v>46057</v>
      </c>
      <c r="B1058" s="16" t="s">
        <v>5140</v>
      </c>
      <c r="C1058" s="16" t="s">
        <v>1568</v>
      </c>
      <c r="D1058" s="16" t="s">
        <v>212</v>
      </c>
      <c r="E1058" s="16" t="s">
        <v>25</v>
      </c>
      <c r="F1058" s="16" t="s">
        <v>5148</v>
      </c>
      <c r="G1058" s="16" t="s">
        <v>71</v>
      </c>
      <c r="H1058" s="16" t="s">
        <v>31</v>
      </c>
      <c r="I1058" s="16"/>
      <c r="J1058" s="16" t="s">
        <v>27</v>
      </c>
      <c r="K1058" s="16" t="s">
        <v>913</v>
      </c>
      <c r="L1058" s="16" t="s">
        <v>35</v>
      </c>
      <c r="M1058" s="17">
        <v>432</v>
      </c>
      <c r="N1058" s="23">
        <v>1.33</v>
      </c>
      <c r="O1058" s="16" t="s">
        <v>67</v>
      </c>
      <c r="P1058" s="16" t="s">
        <v>63</v>
      </c>
      <c r="Q1058" s="16" t="s">
        <v>29</v>
      </c>
      <c r="R1058" s="16" t="s">
        <v>5152</v>
      </c>
      <c r="S1058" s="12" t="s">
        <v>5154</v>
      </c>
      <c r="T1058" s="13">
        <v>46078</v>
      </c>
      <c r="U1058" s="19"/>
      <c r="V1058" s="53">
        <f>M1058-Z1058-AB1058-AD1058-AF1058-AH1058-AJ1058-AL1058-AN1058-AP1058-AR1058-AT1058-AV1058-AX1058-AZ1058-BB1058-BD1058-BF1058-BH1058-U1058</f>
        <v>-1.8999999999999773</v>
      </c>
      <c r="W1058" s="22" t="s">
        <v>5163</v>
      </c>
      <c r="X1058" s="16" t="s">
        <v>29</v>
      </c>
      <c r="Y1058" s="9"/>
      <c r="Z1058" s="19">
        <v>433.9</v>
      </c>
      <c r="AA1058" s="252">
        <v>46091</v>
      </c>
    </row>
    <row r="1059" spans="1:29" s="28" customFormat="1" ht="20.25" customHeight="1">
      <c r="A1059" s="11">
        <v>46057</v>
      </c>
      <c r="B1059" s="16" t="s">
        <v>5141</v>
      </c>
      <c r="C1059" s="16" t="s">
        <v>400</v>
      </c>
      <c r="D1059" s="16" t="s">
        <v>212</v>
      </c>
      <c r="E1059" s="16" t="s">
        <v>25</v>
      </c>
      <c r="F1059" s="16" t="s">
        <v>5149</v>
      </c>
      <c r="G1059" s="16" t="s">
        <v>71</v>
      </c>
      <c r="H1059" s="16" t="s">
        <v>31</v>
      </c>
      <c r="I1059" s="16"/>
      <c r="J1059" s="16" t="s">
        <v>27</v>
      </c>
      <c r="K1059" s="16" t="s">
        <v>5089</v>
      </c>
      <c r="L1059" s="16" t="s">
        <v>35</v>
      </c>
      <c r="M1059" s="17">
        <v>4524.4399999999996</v>
      </c>
      <c r="N1059" s="23">
        <v>1.33</v>
      </c>
      <c r="O1059" s="16" t="s">
        <v>67</v>
      </c>
      <c r="P1059" s="16" t="s">
        <v>63</v>
      </c>
      <c r="Q1059" s="16" t="s">
        <v>1562</v>
      </c>
      <c r="R1059" s="16" t="s">
        <v>5153</v>
      </c>
      <c r="S1059" s="12" t="s">
        <v>5155</v>
      </c>
      <c r="T1059" s="13">
        <v>46083</v>
      </c>
      <c r="U1059" s="19"/>
      <c r="V1059" s="53">
        <f>M1059-Z1059-AB1059-AD1059-AF1059-AH1059-AJ1059-AL1059-AN1059-AP1059-AR1059-AT1059-AV1059-AX1059-AZ1059-BB1059-BD1059-BF1059-BH1059-U1059</f>
        <v>-2.9600000000004911</v>
      </c>
      <c r="W1059" s="22" t="s">
        <v>5164</v>
      </c>
      <c r="X1059" s="16" t="s">
        <v>29</v>
      </c>
      <c r="Y1059" s="9"/>
      <c r="Z1059" s="19">
        <v>1070.9000000000001</v>
      </c>
      <c r="AA1059" s="252">
        <v>46079</v>
      </c>
      <c r="AB1059" s="19">
        <v>3456.5</v>
      </c>
      <c r="AC1059" s="252">
        <v>46084</v>
      </c>
    </row>
    <row r="1060" spans="1:29" s="36" customFormat="1" ht="20.25" customHeight="1">
      <c r="A1060" s="7">
        <v>46057</v>
      </c>
      <c r="B1060" s="19" t="s">
        <v>5142</v>
      </c>
      <c r="C1060" s="19" t="s">
        <v>438</v>
      </c>
      <c r="D1060" s="19" t="s">
        <v>212</v>
      </c>
      <c r="E1060" s="19" t="s">
        <v>25</v>
      </c>
      <c r="F1060" s="19">
        <v>4004163259</v>
      </c>
      <c r="G1060" s="19" t="s">
        <v>71</v>
      </c>
      <c r="H1060" s="19" t="s">
        <v>26</v>
      </c>
      <c r="I1060" s="19"/>
      <c r="J1060" s="19" t="s">
        <v>27</v>
      </c>
      <c r="K1060" s="19" t="s">
        <v>683</v>
      </c>
      <c r="L1060" s="19" t="s">
        <v>35</v>
      </c>
      <c r="M1060" s="20">
        <v>76</v>
      </c>
      <c r="N1060" s="25">
        <v>1.33</v>
      </c>
      <c r="O1060" s="19" t="s">
        <v>67</v>
      </c>
      <c r="P1060" s="19" t="s">
        <v>63</v>
      </c>
      <c r="Q1060" s="19" t="s">
        <v>29</v>
      </c>
      <c r="R1060" s="19" t="s">
        <v>29</v>
      </c>
      <c r="S1060" s="45" t="s">
        <v>5155</v>
      </c>
      <c r="T1060" s="8">
        <v>46083</v>
      </c>
      <c r="U1060" s="19"/>
      <c r="V1060" s="55">
        <f>M1060-Z1060-AB1060-AD1060-AF1060-AH1060-AJ1060-AL1060-AN1060-AP1060-AR1060-AT1060-AV1060-AX1060-AZ1060-BB1060-BD1060-BF1060-BH1060-U1060</f>
        <v>-0.79999999999999716</v>
      </c>
      <c r="W1060" s="15" t="s">
        <v>5165</v>
      </c>
      <c r="X1060" s="19" t="s">
        <v>2275</v>
      </c>
      <c r="Y1060" s="10"/>
      <c r="Z1060" s="19">
        <v>76.8</v>
      </c>
      <c r="AA1060" s="123">
        <v>46072</v>
      </c>
    </row>
    <row r="1061" spans="1:29" s="36" customFormat="1" ht="20.25" customHeight="1">
      <c r="A1061" s="7">
        <v>46058</v>
      </c>
      <c r="B1061" s="19" t="s">
        <v>5169</v>
      </c>
      <c r="C1061" s="19" t="s">
        <v>1568</v>
      </c>
      <c r="D1061" s="19" t="s">
        <v>212</v>
      </c>
      <c r="E1061" s="19" t="s">
        <v>25</v>
      </c>
      <c r="F1061" s="19" t="s">
        <v>5176</v>
      </c>
      <c r="G1061" s="19" t="s">
        <v>71</v>
      </c>
      <c r="H1061" s="19" t="s">
        <v>31</v>
      </c>
      <c r="I1061" s="301"/>
      <c r="J1061" s="301" t="s">
        <v>27</v>
      </c>
      <c r="K1061" s="19" t="s">
        <v>923</v>
      </c>
      <c r="L1061" s="301" t="s">
        <v>35</v>
      </c>
      <c r="M1061" s="20">
        <v>929</v>
      </c>
      <c r="N1061" s="25">
        <v>1.33</v>
      </c>
      <c r="O1061" s="19" t="s">
        <v>67</v>
      </c>
      <c r="P1061" s="19" t="s">
        <v>63</v>
      </c>
      <c r="Q1061" s="19" t="s">
        <v>29</v>
      </c>
      <c r="R1061" s="19" t="s">
        <v>2497</v>
      </c>
      <c r="S1061" s="45" t="s">
        <v>5183</v>
      </c>
      <c r="T1061" s="8">
        <v>46072</v>
      </c>
      <c r="U1061" s="19"/>
      <c r="V1061" s="55">
        <f>M1061-Z1061-AB1061-AD1061-AF1061-AH1061-AJ1061-AL1061-AN1061-AP1061-AR1061-AT1061-AV1061-AX1061-AZ1061-BB1061-BD1061-BF1061-BH1061-U1061</f>
        <v>-3.8000000000000682</v>
      </c>
      <c r="W1061" s="15" t="s">
        <v>5184</v>
      </c>
      <c r="X1061" s="19"/>
      <c r="Y1061" s="10"/>
      <c r="Z1061" s="19">
        <v>357.7</v>
      </c>
      <c r="AA1061" s="123">
        <v>46078</v>
      </c>
      <c r="AB1061" s="19">
        <v>575.1</v>
      </c>
      <c r="AC1061" s="123">
        <v>46084</v>
      </c>
    </row>
    <row r="1062" spans="1:29" s="36" customFormat="1" ht="20.25" customHeight="1">
      <c r="A1062" s="7">
        <v>46058</v>
      </c>
      <c r="B1062" s="19" t="s">
        <v>5171</v>
      </c>
      <c r="C1062" s="19" t="s">
        <v>228</v>
      </c>
      <c r="D1062" s="19" t="s">
        <v>212</v>
      </c>
      <c r="E1062" s="19" t="s">
        <v>25</v>
      </c>
      <c r="F1062" s="19" t="s">
        <v>5178</v>
      </c>
      <c r="G1062" s="19" t="s">
        <v>71</v>
      </c>
      <c r="H1062" s="19" t="s">
        <v>31</v>
      </c>
      <c r="I1062" s="19"/>
      <c r="J1062" s="19" t="s">
        <v>27</v>
      </c>
      <c r="K1062" s="19" t="s">
        <v>234</v>
      </c>
      <c r="L1062" s="19" t="s">
        <v>35</v>
      </c>
      <c r="M1062" s="20">
        <f>1432.59-280.7</f>
        <v>1151.8899999999999</v>
      </c>
      <c r="N1062" s="25">
        <v>1.33</v>
      </c>
      <c r="O1062" s="19" t="s">
        <v>67</v>
      </c>
      <c r="P1062" s="19" t="s">
        <v>63</v>
      </c>
      <c r="Q1062" s="19" t="s">
        <v>470</v>
      </c>
      <c r="R1062" s="19" t="s">
        <v>1231</v>
      </c>
      <c r="S1062" s="45" t="s">
        <v>5183</v>
      </c>
      <c r="T1062" s="8">
        <v>46072</v>
      </c>
      <c r="U1062" s="19"/>
      <c r="V1062" s="55">
        <f>M1062-Z1062-AB1062-AD1062-AF1062-AH1062-AJ1062-AL1062-AN1062-AP1062-AR1062-AT1062-AV1062-AX1062-AZ1062-BB1062-BD1062-BF1062-BH1062-U1062</f>
        <v>-0.3100000000001728</v>
      </c>
      <c r="W1062" s="15" t="s">
        <v>5186</v>
      </c>
      <c r="X1062" s="19"/>
      <c r="Y1062" s="10">
        <v>7</v>
      </c>
      <c r="Z1062" s="19">
        <v>1152.2</v>
      </c>
      <c r="AA1062" s="123">
        <v>46083</v>
      </c>
    </row>
    <row r="1063" spans="1:29" s="28" customFormat="1" ht="20.25" customHeight="1">
      <c r="A1063" s="11">
        <v>46058</v>
      </c>
      <c r="B1063" s="16" t="s">
        <v>5172</v>
      </c>
      <c r="C1063" s="16" t="s">
        <v>290</v>
      </c>
      <c r="D1063" s="16" t="s">
        <v>212</v>
      </c>
      <c r="E1063" s="16" t="s">
        <v>25</v>
      </c>
      <c r="F1063" s="16" t="s">
        <v>5179</v>
      </c>
      <c r="G1063" s="16" t="s">
        <v>71</v>
      </c>
      <c r="H1063" s="16" t="s">
        <v>31</v>
      </c>
      <c r="I1063" s="16"/>
      <c r="J1063" s="16" t="s">
        <v>27</v>
      </c>
      <c r="K1063" s="16" t="s">
        <v>239</v>
      </c>
      <c r="L1063" s="16" t="s">
        <v>35</v>
      </c>
      <c r="M1063" s="17">
        <v>1015</v>
      </c>
      <c r="N1063" s="23">
        <v>1.33</v>
      </c>
      <c r="O1063" s="16" t="s">
        <v>67</v>
      </c>
      <c r="P1063" s="16" t="s">
        <v>63</v>
      </c>
      <c r="Q1063" s="16" t="s">
        <v>29</v>
      </c>
      <c r="R1063" s="16" t="s">
        <v>2570</v>
      </c>
      <c r="S1063" s="12" t="s">
        <v>5155</v>
      </c>
      <c r="T1063" s="13">
        <v>46083</v>
      </c>
      <c r="U1063" s="19"/>
      <c r="V1063" s="53">
        <f>M1063-Z1063-AB1063-AD1063-AF1063-AH1063-AJ1063-AL1063-AN1063-AP1063-AR1063-AT1063-AV1063-AX1063-AZ1063-BB1063-BD1063-BF1063-BH1063-U1063</f>
        <v>0</v>
      </c>
      <c r="W1063" s="22" t="s">
        <v>5187</v>
      </c>
      <c r="X1063" s="16"/>
      <c r="Y1063" s="9"/>
      <c r="Z1063" s="19">
        <v>1015</v>
      </c>
      <c r="AA1063" s="252">
        <v>46076</v>
      </c>
    </row>
    <row r="1064" spans="1:29" s="28" customFormat="1" ht="20.25" customHeight="1">
      <c r="A1064" s="11">
        <v>46058</v>
      </c>
      <c r="B1064" s="16" t="s">
        <v>5173</v>
      </c>
      <c r="C1064" s="16" t="s">
        <v>290</v>
      </c>
      <c r="D1064" s="16" t="s">
        <v>212</v>
      </c>
      <c r="E1064" s="16" t="s">
        <v>25</v>
      </c>
      <c r="F1064" s="16" t="s">
        <v>5180</v>
      </c>
      <c r="G1064" s="16" t="s">
        <v>71</v>
      </c>
      <c r="H1064" s="16" t="s">
        <v>31</v>
      </c>
      <c r="I1064" s="16"/>
      <c r="J1064" s="16" t="s">
        <v>27</v>
      </c>
      <c r="K1064" s="16" t="s">
        <v>239</v>
      </c>
      <c r="L1064" s="16" t="s">
        <v>35</v>
      </c>
      <c r="M1064" s="17">
        <v>1213</v>
      </c>
      <c r="N1064" s="23">
        <v>1.33</v>
      </c>
      <c r="O1064" s="16" t="s">
        <v>67</v>
      </c>
      <c r="P1064" s="16" t="s">
        <v>63</v>
      </c>
      <c r="Q1064" s="16" t="s">
        <v>29</v>
      </c>
      <c r="R1064" s="16" t="s">
        <v>4745</v>
      </c>
      <c r="S1064" s="12" t="s">
        <v>5155</v>
      </c>
      <c r="T1064" s="13">
        <v>46083</v>
      </c>
      <c r="U1064" s="19"/>
      <c r="V1064" s="53">
        <f>M1064-Z1064-AB1064-AD1064-AF1064-AH1064-AJ1064-AL1064-AN1064-AP1064-AR1064-AT1064-AV1064-AX1064-AZ1064-BB1064-BD1064-BF1064-BH1064-U1064</f>
        <v>-1.4000000000000909</v>
      </c>
      <c r="W1064" s="22" t="s">
        <v>5188</v>
      </c>
      <c r="X1064" s="16"/>
      <c r="Y1064" s="9"/>
      <c r="Z1064" s="19">
        <f>1022.4+192</f>
        <v>1214.4000000000001</v>
      </c>
      <c r="AA1064" s="252">
        <v>46076</v>
      </c>
    </row>
    <row r="1065" spans="1:29" s="28" customFormat="1" ht="20.25" customHeight="1">
      <c r="A1065" s="11">
        <v>46058</v>
      </c>
      <c r="B1065" s="16" t="s">
        <v>5174</v>
      </c>
      <c r="C1065" s="16" t="s">
        <v>290</v>
      </c>
      <c r="D1065" s="16" t="s">
        <v>212</v>
      </c>
      <c r="E1065" s="16" t="s">
        <v>25</v>
      </c>
      <c r="F1065" s="16" t="s">
        <v>5181</v>
      </c>
      <c r="G1065" s="16" t="s">
        <v>71</v>
      </c>
      <c r="H1065" s="16" t="s">
        <v>31</v>
      </c>
      <c r="I1065" s="16"/>
      <c r="J1065" s="16" t="s">
        <v>27</v>
      </c>
      <c r="K1065" s="16" t="s">
        <v>239</v>
      </c>
      <c r="L1065" s="16" t="s">
        <v>35</v>
      </c>
      <c r="M1065" s="17">
        <v>247</v>
      </c>
      <c r="N1065" s="23">
        <v>1.33</v>
      </c>
      <c r="O1065" s="16" t="s">
        <v>67</v>
      </c>
      <c r="P1065" s="16" t="s">
        <v>63</v>
      </c>
      <c r="Q1065" s="16" t="s">
        <v>29</v>
      </c>
      <c r="R1065" s="16" t="s">
        <v>4745</v>
      </c>
      <c r="S1065" s="12" t="s">
        <v>5155</v>
      </c>
      <c r="T1065" s="13">
        <v>46083</v>
      </c>
      <c r="U1065" s="19"/>
      <c r="V1065" s="53">
        <f>M1065-Z1065-AB1065-AD1065-AF1065-AH1065-AJ1065-AL1065-AN1065-AP1065-AR1065-AT1065-AV1065-AX1065-AZ1065-BB1065-BD1065-BF1065-BH1065-U1065</f>
        <v>-2.8000000000000114</v>
      </c>
      <c r="W1065" s="22" t="s">
        <v>5189</v>
      </c>
      <c r="X1065" s="16"/>
      <c r="Y1065" s="9"/>
      <c r="Z1065" s="19">
        <v>249.8</v>
      </c>
      <c r="AA1065" s="252">
        <v>46076</v>
      </c>
    </row>
    <row r="1066" spans="1:29" s="28" customFormat="1" ht="20.25" customHeight="1">
      <c r="A1066" s="11">
        <v>46058</v>
      </c>
      <c r="B1066" s="16" t="s">
        <v>5175</v>
      </c>
      <c r="C1066" s="16" t="s">
        <v>290</v>
      </c>
      <c r="D1066" s="16" t="s">
        <v>212</v>
      </c>
      <c r="E1066" s="16" t="s">
        <v>25</v>
      </c>
      <c r="F1066" s="16" t="s">
        <v>5182</v>
      </c>
      <c r="G1066" s="16" t="s">
        <v>71</v>
      </c>
      <c r="H1066" s="16" t="s">
        <v>31</v>
      </c>
      <c r="I1066" s="16"/>
      <c r="J1066" s="16" t="s">
        <v>27</v>
      </c>
      <c r="K1066" s="16" t="s">
        <v>218</v>
      </c>
      <c r="L1066" s="16" t="s">
        <v>35</v>
      </c>
      <c r="M1066" s="17">
        <v>269</v>
      </c>
      <c r="N1066" s="23">
        <v>1.33</v>
      </c>
      <c r="O1066" s="16" t="s">
        <v>67</v>
      </c>
      <c r="P1066" s="16" t="s">
        <v>63</v>
      </c>
      <c r="Q1066" s="16" t="s">
        <v>29</v>
      </c>
      <c r="R1066" s="16" t="s">
        <v>4745</v>
      </c>
      <c r="S1066" s="12" t="s">
        <v>5155</v>
      </c>
      <c r="T1066" s="13">
        <v>46083</v>
      </c>
      <c r="U1066" s="19"/>
      <c r="V1066" s="53">
        <f>M1066-Z1066-AB1066-AD1066-AF1066-AH1066-AJ1066-AL1066-AN1066-AP1066-AR1066-AT1066-AV1066-AX1066-AZ1066-BB1066-BD1066-BF1066-BH1066-U1066</f>
        <v>-0.5</v>
      </c>
      <c r="W1066" s="22" t="s">
        <v>5190</v>
      </c>
      <c r="X1066" s="16"/>
      <c r="Y1066" s="9"/>
      <c r="Z1066" s="19">
        <v>269.5</v>
      </c>
      <c r="AA1066" s="252">
        <v>46076</v>
      </c>
    </row>
    <row r="1067" spans="1:29" s="28" customFormat="1" ht="20.25" customHeight="1">
      <c r="A1067" s="11">
        <v>46062</v>
      </c>
      <c r="B1067" s="16" t="s">
        <v>5192</v>
      </c>
      <c r="C1067" s="16" t="s">
        <v>315</v>
      </c>
      <c r="D1067" s="16" t="s">
        <v>212</v>
      </c>
      <c r="E1067" s="16" t="s">
        <v>25</v>
      </c>
      <c r="F1067" s="16" t="s">
        <v>5194</v>
      </c>
      <c r="G1067" s="16" t="s">
        <v>71</v>
      </c>
      <c r="H1067" s="16" t="s">
        <v>31</v>
      </c>
      <c r="I1067" s="16"/>
      <c r="J1067" s="16" t="s">
        <v>27</v>
      </c>
      <c r="K1067" s="16" t="s">
        <v>239</v>
      </c>
      <c r="L1067" s="16" t="s">
        <v>35</v>
      </c>
      <c r="M1067" s="17">
        <v>354</v>
      </c>
      <c r="N1067" s="23">
        <v>1.33</v>
      </c>
      <c r="O1067" s="16" t="s">
        <v>67</v>
      </c>
      <c r="P1067" s="16" t="s">
        <v>63</v>
      </c>
      <c r="Q1067" s="16" t="s">
        <v>29</v>
      </c>
      <c r="R1067" s="16" t="s">
        <v>1618</v>
      </c>
      <c r="S1067" s="12" t="s">
        <v>5155</v>
      </c>
      <c r="T1067" s="13">
        <v>46083</v>
      </c>
      <c r="U1067" s="19"/>
      <c r="V1067" s="53">
        <f>M1067-Z1067-AB1067-AD1067-AF1067-AH1067-AJ1067-AL1067-AN1067-AP1067-AR1067-AT1067-AV1067-AX1067-AZ1067-BB1067-BD1067-BF1067-BH1067-U1067</f>
        <v>-4.3000000000000114</v>
      </c>
      <c r="W1067" s="22" t="s">
        <v>5196</v>
      </c>
      <c r="X1067" s="16"/>
      <c r="Y1067" s="9"/>
      <c r="Z1067" s="19">
        <v>358.3</v>
      </c>
      <c r="AA1067" s="252">
        <v>46087</v>
      </c>
    </row>
    <row r="1068" spans="1:29" s="36" customFormat="1" ht="20.25" customHeight="1">
      <c r="A1068" s="7">
        <v>46062</v>
      </c>
      <c r="B1068" s="19" t="s">
        <v>5193</v>
      </c>
      <c r="C1068" s="19" t="s">
        <v>228</v>
      </c>
      <c r="D1068" s="19" t="s">
        <v>212</v>
      </c>
      <c r="E1068" s="19" t="s">
        <v>25</v>
      </c>
      <c r="F1068" s="19" t="s">
        <v>5195</v>
      </c>
      <c r="G1068" s="19" t="s">
        <v>71</v>
      </c>
      <c r="H1068" s="19" t="s">
        <v>31</v>
      </c>
      <c r="I1068" s="19"/>
      <c r="J1068" s="19" t="s">
        <v>27</v>
      </c>
      <c r="K1068" s="19" t="s">
        <v>255</v>
      </c>
      <c r="L1068" s="19" t="s">
        <v>35</v>
      </c>
      <c r="M1068" s="20">
        <v>15</v>
      </c>
      <c r="N1068" s="25">
        <v>1.33</v>
      </c>
      <c r="O1068" s="19" t="s">
        <v>67</v>
      </c>
      <c r="P1068" s="19" t="s">
        <v>63</v>
      </c>
      <c r="Q1068" s="19" t="s">
        <v>263</v>
      </c>
      <c r="R1068" s="19" t="s">
        <v>1130</v>
      </c>
      <c r="S1068" s="45" t="s">
        <v>4923</v>
      </c>
      <c r="T1068" s="8">
        <v>46073</v>
      </c>
      <c r="U1068" s="19"/>
      <c r="V1068" s="55">
        <f>M1068-Z1068-AB1068-AD1068-AF1068-AH1068-AJ1068-AL1068-AN1068-AP1068-AR1068-AT1068-AV1068-AX1068-AZ1068-BB1068-BD1068-BF1068-BH1068-U1068</f>
        <v>-2</v>
      </c>
      <c r="W1068" s="15" t="s">
        <v>5197</v>
      </c>
      <c r="X1068" s="19"/>
      <c r="Y1068" s="10">
        <v>1</v>
      </c>
      <c r="Z1068" s="19">
        <v>17</v>
      </c>
      <c r="AA1068" s="123">
        <v>46083</v>
      </c>
    </row>
    <row r="1069" spans="1:29" s="36" customFormat="1" ht="20.25" customHeight="1">
      <c r="A1069" s="7">
        <v>46063</v>
      </c>
      <c r="B1069" s="19" t="s">
        <v>5205</v>
      </c>
      <c r="C1069" s="19" t="s">
        <v>400</v>
      </c>
      <c r="D1069" s="19" t="s">
        <v>212</v>
      </c>
      <c r="E1069" s="19" t="s">
        <v>25</v>
      </c>
      <c r="F1069" s="19" t="s">
        <v>5206</v>
      </c>
      <c r="G1069" s="19" t="s">
        <v>71</v>
      </c>
      <c r="H1069" s="19" t="s">
        <v>31</v>
      </c>
      <c r="I1069" s="270"/>
      <c r="J1069" s="270" t="s">
        <v>27</v>
      </c>
      <c r="K1069" s="19" t="s">
        <v>598</v>
      </c>
      <c r="L1069" s="270" t="s">
        <v>35</v>
      </c>
      <c r="M1069" s="20">
        <v>4397.84</v>
      </c>
      <c r="N1069" s="271">
        <v>1.33</v>
      </c>
      <c r="O1069" s="270" t="s">
        <v>67</v>
      </c>
      <c r="P1069" s="270" t="s">
        <v>63</v>
      </c>
      <c r="Q1069" s="270" t="s">
        <v>1562</v>
      </c>
      <c r="R1069" s="270" t="s">
        <v>4901</v>
      </c>
      <c r="S1069" s="327" t="s">
        <v>5154</v>
      </c>
      <c r="T1069" s="8">
        <v>46078</v>
      </c>
      <c r="U1069" s="19"/>
      <c r="V1069" s="55">
        <f>M1069-Z1069-AB1069-AD1069-AF1069-AH1069-AJ1069-AL1069-AN1069-AP1069-AR1069-AT1069-AV1069-AX1069-AZ1069-BB1069-BD1069-BF1069-BH1069-U1069</f>
        <v>-0.96000000000003638</v>
      </c>
      <c r="W1069" s="15" t="s">
        <v>5207</v>
      </c>
      <c r="X1069" s="19"/>
      <c r="Y1069" s="10"/>
      <c r="Z1069" s="19">
        <f>2328.6+1536.2</f>
        <v>3864.8</v>
      </c>
      <c r="AA1069" s="123">
        <v>46084</v>
      </c>
      <c r="AB1069" s="19">
        <v>534</v>
      </c>
      <c r="AC1069" s="123">
        <v>46091</v>
      </c>
    </row>
    <row r="1070" spans="1:29" s="28" customFormat="1" ht="20.25" customHeight="1">
      <c r="A1070" s="11">
        <v>46063</v>
      </c>
      <c r="B1070" s="16" t="s">
        <v>5208</v>
      </c>
      <c r="C1070" s="16" t="s">
        <v>1568</v>
      </c>
      <c r="D1070" s="16" t="s">
        <v>212</v>
      </c>
      <c r="E1070" s="16" t="s">
        <v>25</v>
      </c>
      <c r="F1070" s="16" t="s">
        <v>5209</v>
      </c>
      <c r="G1070" s="16" t="s">
        <v>71</v>
      </c>
      <c r="H1070" s="16" t="s">
        <v>31</v>
      </c>
      <c r="I1070" s="16"/>
      <c r="J1070" s="16" t="s">
        <v>27</v>
      </c>
      <c r="K1070" s="16" t="s">
        <v>1601</v>
      </c>
      <c r="L1070" s="16" t="s">
        <v>35</v>
      </c>
      <c r="M1070" s="17">
        <v>976</v>
      </c>
      <c r="N1070" s="23">
        <v>1.33</v>
      </c>
      <c r="O1070" s="16" t="s">
        <v>67</v>
      </c>
      <c r="P1070" s="16" t="s">
        <v>63</v>
      </c>
      <c r="Q1070" s="16" t="s">
        <v>29</v>
      </c>
      <c r="R1070" s="16" t="s">
        <v>775</v>
      </c>
      <c r="S1070" s="12" t="s">
        <v>5079</v>
      </c>
      <c r="T1070" s="13">
        <v>46080</v>
      </c>
      <c r="U1070" s="19"/>
      <c r="V1070" s="53">
        <f>M1070-Z1070-AB1070-AD1070-AF1070-AH1070-AJ1070-AL1070-AN1070-AP1070-AR1070-AT1070-AV1070-AX1070-AZ1070-BB1070-BD1070-BF1070-BH1070-U1070</f>
        <v>0</v>
      </c>
      <c r="W1070" s="22" t="s">
        <v>5210</v>
      </c>
      <c r="X1070" s="16"/>
      <c r="Y1070" s="9"/>
      <c r="Z1070" s="19">
        <v>976</v>
      </c>
      <c r="AA1070" s="252">
        <v>46084</v>
      </c>
    </row>
    <row r="1071" spans="1:29" s="28" customFormat="1" ht="20.25" customHeight="1">
      <c r="A1071" s="11">
        <v>46064</v>
      </c>
      <c r="B1071" s="16" t="s">
        <v>5211</v>
      </c>
      <c r="C1071" s="16" t="s">
        <v>267</v>
      </c>
      <c r="D1071" s="16" t="s">
        <v>212</v>
      </c>
      <c r="E1071" s="16" t="s">
        <v>25</v>
      </c>
      <c r="F1071" s="16" t="s">
        <v>5217</v>
      </c>
      <c r="G1071" s="16" t="s">
        <v>71</v>
      </c>
      <c r="H1071" s="16" t="s">
        <v>26</v>
      </c>
      <c r="I1071" s="16"/>
      <c r="J1071" s="16" t="s">
        <v>27</v>
      </c>
      <c r="K1071" s="16" t="s">
        <v>683</v>
      </c>
      <c r="L1071" s="16" t="s">
        <v>35</v>
      </c>
      <c r="M1071" s="17">
        <v>1210</v>
      </c>
      <c r="N1071" s="23">
        <v>1.33</v>
      </c>
      <c r="O1071" s="16" t="s">
        <v>67</v>
      </c>
      <c r="P1071" s="16" t="s">
        <v>63</v>
      </c>
      <c r="Q1071" s="16" t="s">
        <v>29</v>
      </c>
      <c r="R1071" s="16" t="s">
        <v>2988</v>
      </c>
      <c r="S1071" s="12" t="s">
        <v>5227</v>
      </c>
      <c r="T1071" s="13">
        <v>46085</v>
      </c>
      <c r="U1071" s="19"/>
      <c r="V1071" s="53">
        <f>M1071-Z1071-AB1071-AD1071-AF1071-AH1071-AJ1071-AL1071-AN1071-AP1071-AR1071-AT1071-AV1071-AX1071-AZ1071-BB1071-BD1071-BF1071-BH1071-U1071</f>
        <v>-2.7000000000000455</v>
      </c>
      <c r="W1071" s="22" t="s">
        <v>5228</v>
      </c>
      <c r="X1071" s="16"/>
      <c r="Y1071" s="9"/>
      <c r="Z1071" s="19">
        <v>1212.7</v>
      </c>
      <c r="AA1071" s="252">
        <v>46083</v>
      </c>
    </row>
    <row r="1072" spans="1:29" s="28" customFormat="1" ht="20.25" customHeight="1">
      <c r="A1072" s="11">
        <v>46064</v>
      </c>
      <c r="B1072" s="16" t="s">
        <v>5212</v>
      </c>
      <c r="C1072" s="16" t="s">
        <v>267</v>
      </c>
      <c r="D1072" s="16" t="s">
        <v>212</v>
      </c>
      <c r="E1072" s="16" t="s">
        <v>25</v>
      </c>
      <c r="F1072" s="16" t="s">
        <v>5218</v>
      </c>
      <c r="G1072" s="16" t="s">
        <v>71</v>
      </c>
      <c r="H1072" s="16" t="s">
        <v>26</v>
      </c>
      <c r="I1072" s="16"/>
      <c r="J1072" s="16" t="s">
        <v>27</v>
      </c>
      <c r="K1072" s="16" t="s">
        <v>683</v>
      </c>
      <c r="L1072" s="16" t="s">
        <v>35</v>
      </c>
      <c r="M1072" s="17">
        <v>5660</v>
      </c>
      <c r="N1072" s="23">
        <v>1.33</v>
      </c>
      <c r="O1072" s="16" t="s">
        <v>67</v>
      </c>
      <c r="P1072" s="16" t="s">
        <v>63</v>
      </c>
      <c r="Q1072" s="16" t="s">
        <v>29</v>
      </c>
      <c r="R1072" s="16" t="s">
        <v>3553</v>
      </c>
      <c r="S1072" s="12" t="s">
        <v>5227</v>
      </c>
      <c r="T1072" s="13">
        <v>46085</v>
      </c>
      <c r="U1072" s="19"/>
      <c r="V1072" s="53">
        <f>M1072-Z1072-AB1072-AD1072-AF1072-AH1072-AJ1072-AL1072-AN1072-AP1072-AR1072-AT1072-AV1072-AX1072-AZ1072-BB1072-BD1072-BF1072-BH1072-U1072</f>
        <v>-2.0999999999994543</v>
      </c>
      <c r="W1072" s="22" t="s">
        <v>5229</v>
      </c>
      <c r="X1072" s="16"/>
      <c r="Y1072" s="9"/>
      <c r="Z1072" s="19">
        <f>2926.9+1731.3+1003.9</f>
        <v>5662.0999999999995</v>
      </c>
      <c r="AA1072" s="252">
        <v>46091</v>
      </c>
    </row>
    <row r="1073" spans="1:29" s="28" customFormat="1" ht="20.25" customHeight="1">
      <c r="A1073" s="11">
        <v>46064</v>
      </c>
      <c r="B1073" s="16" t="s">
        <v>5213</v>
      </c>
      <c r="C1073" s="16" t="s">
        <v>267</v>
      </c>
      <c r="D1073" s="16" t="s">
        <v>212</v>
      </c>
      <c r="E1073" s="16" t="s">
        <v>25</v>
      </c>
      <c r="F1073" s="16" t="s">
        <v>5219</v>
      </c>
      <c r="G1073" s="16" t="s">
        <v>71</v>
      </c>
      <c r="H1073" s="16" t="s">
        <v>31</v>
      </c>
      <c r="I1073" s="16"/>
      <c r="J1073" s="16" t="s">
        <v>27</v>
      </c>
      <c r="K1073" s="16" t="s">
        <v>913</v>
      </c>
      <c r="L1073" s="16" t="s">
        <v>35</v>
      </c>
      <c r="M1073" s="17">
        <v>350</v>
      </c>
      <c r="N1073" s="23">
        <v>1.33</v>
      </c>
      <c r="O1073" s="16" t="s">
        <v>67</v>
      </c>
      <c r="P1073" s="16" t="s">
        <v>63</v>
      </c>
      <c r="Q1073" s="16" t="s">
        <v>29</v>
      </c>
      <c r="R1073" s="16" t="s">
        <v>4497</v>
      </c>
      <c r="S1073" s="12" t="s">
        <v>5227</v>
      </c>
      <c r="T1073" s="13">
        <v>46085</v>
      </c>
      <c r="U1073" s="19"/>
      <c r="V1073" s="53">
        <f>M1073-Z1073-AB1073-AD1073-AF1073-AH1073-AJ1073-AL1073-AN1073-AP1073-AR1073-AT1073-AV1073-AX1073-AZ1073-BB1073-BD1073-BF1073-BH1073-U1073</f>
        <v>-3.1999999999999886</v>
      </c>
      <c r="W1073" s="22" t="s">
        <v>5230</v>
      </c>
      <c r="X1073" s="16"/>
      <c r="Y1073" s="9"/>
      <c r="Z1073" s="19">
        <v>353.2</v>
      </c>
      <c r="AA1073" s="252">
        <v>46091</v>
      </c>
    </row>
    <row r="1074" spans="1:29" s="28" customFormat="1" ht="20.25" customHeight="1">
      <c r="A1074" s="11">
        <v>46064</v>
      </c>
      <c r="B1074" s="16" t="s">
        <v>5214</v>
      </c>
      <c r="C1074" s="16" t="s">
        <v>382</v>
      </c>
      <c r="D1074" s="16" t="s">
        <v>212</v>
      </c>
      <c r="E1074" s="16" t="s">
        <v>25</v>
      </c>
      <c r="F1074" s="16" t="s">
        <v>5220</v>
      </c>
      <c r="G1074" s="16" t="s">
        <v>71</v>
      </c>
      <c r="H1074" s="16" t="s">
        <v>31</v>
      </c>
      <c r="I1074" s="16"/>
      <c r="J1074" s="16" t="s">
        <v>27</v>
      </c>
      <c r="K1074" s="16" t="s">
        <v>683</v>
      </c>
      <c r="L1074" s="16" t="s">
        <v>35</v>
      </c>
      <c r="M1074" s="17">
        <v>442.24</v>
      </c>
      <c r="N1074" s="23">
        <v>1.33</v>
      </c>
      <c r="O1074" s="16" t="s">
        <v>67</v>
      </c>
      <c r="P1074" s="16" t="s">
        <v>63</v>
      </c>
      <c r="Q1074" s="16" t="s">
        <v>2494</v>
      </c>
      <c r="R1074" s="16" t="s">
        <v>4011</v>
      </c>
      <c r="S1074" s="12" t="s">
        <v>5227</v>
      </c>
      <c r="T1074" s="13">
        <v>46085</v>
      </c>
      <c r="U1074" s="19"/>
      <c r="V1074" s="53">
        <f>M1074-Z1074-AB1074-AD1074-AF1074-AH1074-AJ1074-AL1074-AN1074-AP1074-AR1074-AT1074-AV1074-AX1074-AZ1074-BB1074-BD1074-BF1074-BH1074-U1074</f>
        <v>-0.45999999999997954</v>
      </c>
      <c r="W1074" s="22" t="s">
        <v>5231</v>
      </c>
      <c r="X1074" s="16"/>
      <c r="Y1074" s="9"/>
      <c r="Z1074" s="19">
        <v>442.7</v>
      </c>
      <c r="AA1074" s="252">
        <v>46092</v>
      </c>
    </row>
    <row r="1075" spans="1:29" s="28" customFormat="1" ht="20.25" customHeight="1">
      <c r="A1075" s="11">
        <v>46064</v>
      </c>
      <c r="B1075" s="16" t="s">
        <v>5215</v>
      </c>
      <c r="C1075" s="16" t="s">
        <v>400</v>
      </c>
      <c r="D1075" s="16" t="s">
        <v>212</v>
      </c>
      <c r="E1075" s="16" t="s">
        <v>25</v>
      </c>
      <c r="F1075" s="16" t="s">
        <v>5221</v>
      </c>
      <c r="G1075" s="16" t="s">
        <v>71</v>
      </c>
      <c r="H1075" s="16" t="s">
        <v>26</v>
      </c>
      <c r="I1075" s="16"/>
      <c r="J1075" s="16" t="s">
        <v>27</v>
      </c>
      <c r="K1075" s="16" t="s">
        <v>3646</v>
      </c>
      <c r="L1075" s="16" t="s">
        <v>35</v>
      </c>
      <c r="M1075" s="17">
        <v>170.12</v>
      </c>
      <c r="N1075" s="23">
        <v>1.33</v>
      </c>
      <c r="O1075" s="16" t="s">
        <v>67</v>
      </c>
      <c r="P1075" s="16" t="s">
        <v>63</v>
      </c>
      <c r="Q1075" s="16" t="s">
        <v>1424</v>
      </c>
      <c r="R1075" s="16" t="s">
        <v>2493</v>
      </c>
      <c r="S1075" s="12" t="s">
        <v>5038</v>
      </c>
      <c r="T1075" s="13">
        <v>46087</v>
      </c>
      <c r="U1075" s="19"/>
      <c r="V1075" s="53">
        <f>M1075-Z1075-AB1075-AD1075-AF1075-AH1075-AJ1075-AL1075-AN1075-AP1075-AR1075-AT1075-AV1075-AX1075-AZ1075-BB1075-BD1075-BF1075-BH1075-U1075</f>
        <v>-3.4799999999999898</v>
      </c>
      <c r="W1075" s="22" t="s">
        <v>5232</v>
      </c>
      <c r="X1075" s="16"/>
      <c r="Y1075" s="9"/>
      <c r="Z1075" s="19">
        <v>173.6</v>
      </c>
      <c r="AA1075" s="252">
        <v>46084</v>
      </c>
    </row>
    <row r="1076" spans="1:29" s="36" customFormat="1" ht="20.25" customHeight="1">
      <c r="A1076" s="7">
        <v>46064</v>
      </c>
      <c r="B1076" s="19" t="s">
        <v>5215</v>
      </c>
      <c r="C1076" s="19" t="s">
        <v>400</v>
      </c>
      <c r="D1076" s="19" t="s">
        <v>212</v>
      </c>
      <c r="E1076" s="19" t="s">
        <v>25</v>
      </c>
      <c r="F1076" s="19" t="s">
        <v>5221</v>
      </c>
      <c r="G1076" s="19" t="s">
        <v>71</v>
      </c>
      <c r="H1076" s="19" t="s">
        <v>26</v>
      </c>
      <c r="I1076" s="1"/>
      <c r="J1076" s="1" t="s">
        <v>27</v>
      </c>
      <c r="K1076" s="19" t="s">
        <v>3646</v>
      </c>
      <c r="L1076" s="1" t="s">
        <v>35</v>
      </c>
      <c r="M1076" s="20">
        <v>28</v>
      </c>
      <c r="N1076" s="6">
        <v>1.33</v>
      </c>
      <c r="O1076" s="1" t="s">
        <v>67</v>
      </c>
      <c r="P1076" s="1" t="s">
        <v>63</v>
      </c>
      <c r="Q1076" s="1" t="s">
        <v>1424</v>
      </c>
      <c r="R1076" s="1" t="s">
        <v>4428</v>
      </c>
      <c r="S1076" s="121" t="s">
        <v>5038</v>
      </c>
      <c r="T1076" s="8">
        <v>46087</v>
      </c>
      <c r="U1076" s="19"/>
      <c r="V1076" s="55">
        <f>M1076-Z1076-AB1076-AD1076-AF1076-AH1076-AJ1076-AL1076-AN1076-AP1076-AR1076-AT1076-AV1076-AX1076-AZ1076-BB1076-BD1076-BF1076-BH1076-U1076</f>
        <v>-0.60000000000000142</v>
      </c>
      <c r="W1076" s="15" t="s">
        <v>5233</v>
      </c>
      <c r="X1076" s="19"/>
      <c r="Y1076" s="10"/>
      <c r="Z1076" s="19">
        <v>28.6</v>
      </c>
      <c r="AA1076" s="123">
        <v>46091</v>
      </c>
    </row>
    <row r="1077" spans="1:29" s="28" customFormat="1" ht="20.25" customHeight="1">
      <c r="A1077" s="11">
        <v>46064</v>
      </c>
      <c r="B1077" s="16" t="s">
        <v>5216</v>
      </c>
      <c r="C1077" s="16" t="s">
        <v>400</v>
      </c>
      <c r="D1077" s="16" t="s">
        <v>212</v>
      </c>
      <c r="E1077" s="16" t="s">
        <v>25</v>
      </c>
      <c r="F1077" s="16" t="s">
        <v>5222</v>
      </c>
      <c r="G1077" s="16" t="s">
        <v>71</v>
      </c>
      <c r="H1077" s="16" t="s">
        <v>31</v>
      </c>
      <c r="I1077" s="16"/>
      <c r="J1077" s="16" t="s">
        <v>27</v>
      </c>
      <c r="K1077" s="16" t="s">
        <v>683</v>
      </c>
      <c r="L1077" s="16" t="s">
        <v>35</v>
      </c>
      <c r="M1077" s="17">
        <v>1184.33</v>
      </c>
      <c r="N1077" s="23">
        <v>1.33</v>
      </c>
      <c r="O1077" s="16" t="s">
        <v>67</v>
      </c>
      <c r="P1077" s="16" t="s">
        <v>63</v>
      </c>
      <c r="Q1077" s="16" t="s">
        <v>5223</v>
      </c>
      <c r="R1077" s="16" t="s">
        <v>5224</v>
      </c>
      <c r="S1077" s="12" t="s">
        <v>5038</v>
      </c>
      <c r="T1077" s="13">
        <v>46087</v>
      </c>
      <c r="U1077" s="315"/>
      <c r="V1077" s="53">
        <f>M1077-Z1077-AB1077-AD1077-AF1077-AH1077-AJ1077-AL1077-AN1077-AP1077-AR1077-AT1077-AV1077-AX1077-AZ1077-BB1077-BD1077-BF1077-BH1077-U1077</f>
        <v>-1.5700000000001637</v>
      </c>
      <c r="W1077" s="22" t="s">
        <v>5234</v>
      </c>
      <c r="X1077" s="16"/>
      <c r="Y1077" s="9"/>
      <c r="Z1077" s="315">
        <v>1185.9000000000001</v>
      </c>
      <c r="AA1077" s="252">
        <v>46086</v>
      </c>
    </row>
    <row r="1078" spans="1:29" s="28" customFormat="1" ht="20.25" customHeight="1">
      <c r="A1078" s="11">
        <v>46064</v>
      </c>
      <c r="B1078" s="16" t="s">
        <v>5216</v>
      </c>
      <c r="C1078" s="16" t="s">
        <v>400</v>
      </c>
      <c r="D1078" s="16" t="s">
        <v>212</v>
      </c>
      <c r="E1078" s="16" t="s">
        <v>25</v>
      </c>
      <c r="F1078" s="16" t="s">
        <v>5222</v>
      </c>
      <c r="G1078" s="16" t="s">
        <v>71</v>
      </c>
      <c r="H1078" s="16" t="s">
        <v>31</v>
      </c>
      <c r="I1078" s="16"/>
      <c r="J1078" s="16" t="s">
        <v>27</v>
      </c>
      <c r="K1078" s="16" t="s">
        <v>913</v>
      </c>
      <c r="L1078" s="16" t="s">
        <v>35</v>
      </c>
      <c r="M1078" s="17">
        <v>1198.82</v>
      </c>
      <c r="N1078" s="23">
        <v>1.33</v>
      </c>
      <c r="O1078" s="16" t="s">
        <v>67</v>
      </c>
      <c r="P1078" s="16" t="s">
        <v>63</v>
      </c>
      <c r="Q1078" s="16" t="s">
        <v>5225</v>
      </c>
      <c r="R1078" s="16" t="s">
        <v>5226</v>
      </c>
      <c r="S1078" s="12" t="s">
        <v>5038</v>
      </c>
      <c r="T1078" s="13">
        <v>46087</v>
      </c>
      <c r="U1078" s="315"/>
      <c r="V1078" s="53">
        <f>M1078-Z1078-AB1078-AD1078-AF1078-AH1078-AJ1078-AL1078-AN1078-AP1078-AR1078-AT1078-AV1078-AX1078-AZ1078-BB1078-BD1078-BF1078-BH1078-U1078</f>
        <v>-3.4800000000000182</v>
      </c>
      <c r="W1078" s="22" t="s">
        <v>5235</v>
      </c>
      <c r="X1078" s="16"/>
      <c r="Y1078" s="9"/>
      <c r="Z1078" s="315">
        <v>1202.3</v>
      </c>
      <c r="AA1078" s="252">
        <v>46086</v>
      </c>
    </row>
    <row r="1079" spans="1:29" s="28" customFormat="1" ht="20.25" customHeight="1">
      <c r="A1079" s="11">
        <v>46065</v>
      </c>
      <c r="B1079" s="16" t="s">
        <v>5236</v>
      </c>
      <c r="C1079" s="16" t="s">
        <v>1568</v>
      </c>
      <c r="D1079" s="16" t="s">
        <v>212</v>
      </c>
      <c r="E1079" s="16" t="s">
        <v>25</v>
      </c>
      <c r="F1079" s="16" t="s">
        <v>5237</v>
      </c>
      <c r="G1079" s="16" t="s">
        <v>71</v>
      </c>
      <c r="H1079" s="16" t="s">
        <v>26</v>
      </c>
      <c r="I1079" s="16"/>
      <c r="J1079" s="16" t="s">
        <v>27</v>
      </c>
      <c r="K1079" s="16" t="s">
        <v>913</v>
      </c>
      <c r="L1079" s="16" t="s">
        <v>35</v>
      </c>
      <c r="M1079" s="17">
        <v>485</v>
      </c>
      <c r="N1079" s="23">
        <v>1.33</v>
      </c>
      <c r="O1079" s="16" t="s">
        <v>67</v>
      </c>
      <c r="P1079" s="16"/>
      <c r="Q1079" s="16" t="s">
        <v>324</v>
      </c>
      <c r="R1079" s="16"/>
      <c r="S1079" s="12" t="s">
        <v>5227</v>
      </c>
      <c r="T1079" s="13">
        <v>46085</v>
      </c>
      <c r="U1079" s="19"/>
      <c r="V1079" s="53">
        <f>M1079-Z1079-AB1079-AD1079-AF1079-AH1079-AJ1079-AL1079-AN1079-AP1079-AR1079-AT1079-AV1079-AX1079-AZ1079-BB1079-BD1079-BF1079-BH1079-U1079</f>
        <v>-0.39999999999997726</v>
      </c>
      <c r="W1079" s="22" t="s">
        <v>5238</v>
      </c>
      <c r="X1079" s="16"/>
      <c r="Y1079" s="9"/>
      <c r="Z1079" s="19">
        <v>485.4</v>
      </c>
      <c r="AA1079" s="252">
        <v>46091</v>
      </c>
    </row>
    <row r="1080" spans="1:29" s="28" customFormat="1" ht="20.25" customHeight="1">
      <c r="A1080" s="11">
        <v>46065</v>
      </c>
      <c r="B1080" s="16" t="s">
        <v>5239</v>
      </c>
      <c r="C1080" s="16" t="s">
        <v>304</v>
      </c>
      <c r="D1080" s="16" t="s">
        <v>212</v>
      </c>
      <c r="E1080" s="16" t="s">
        <v>25</v>
      </c>
      <c r="F1080" s="16" t="s">
        <v>5240</v>
      </c>
      <c r="G1080" s="16" t="s">
        <v>71</v>
      </c>
      <c r="H1080" s="16" t="s">
        <v>26</v>
      </c>
      <c r="I1080" s="16"/>
      <c r="J1080" s="16" t="s">
        <v>27</v>
      </c>
      <c r="K1080" s="16" t="s">
        <v>239</v>
      </c>
      <c r="L1080" s="16" t="s">
        <v>35</v>
      </c>
      <c r="M1080" s="17">
        <v>50</v>
      </c>
      <c r="N1080" s="23">
        <v>1.33</v>
      </c>
      <c r="O1080" s="16" t="s">
        <v>67</v>
      </c>
      <c r="P1080" s="16"/>
      <c r="Q1080" s="16" t="s">
        <v>810</v>
      </c>
      <c r="R1080" s="16"/>
      <c r="S1080" s="12" t="s">
        <v>5241</v>
      </c>
      <c r="T1080" s="13">
        <v>46079</v>
      </c>
      <c r="U1080" s="19"/>
      <c r="V1080" s="53">
        <f>M1080-Z1080-AB1080-AD1080-AF1080-AH1080-AJ1080-AL1080-AN1080-AP1080-AR1080-AT1080-AV1080-AX1080-AZ1080-BB1080-BD1080-BF1080-BH1080-U1080</f>
        <v>-1.8999999999999986</v>
      </c>
      <c r="W1080" s="22" t="s">
        <v>5242</v>
      </c>
      <c r="X1080" s="16"/>
      <c r="Y1080" s="9"/>
      <c r="Z1080" s="19">
        <v>51.9</v>
      </c>
      <c r="AA1080" s="252">
        <v>46072</v>
      </c>
    </row>
    <row r="1081" spans="1:29" s="28" customFormat="1" ht="20.25" customHeight="1">
      <c r="A1081" s="11">
        <v>46066</v>
      </c>
      <c r="B1081" s="16" t="s">
        <v>5252</v>
      </c>
      <c r="C1081" s="16" t="s">
        <v>267</v>
      </c>
      <c r="D1081" s="16" t="s">
        <v>212</v>
      </c>
      <c r="E1081" s="16" t="s">
        <v>25</v>
      </c>
      <c r="F1081" s="16" t="s">
        <v>5259</v>
      </c>
      <c r="G1081" s="16" t="s">
        <v>71</v>
      </c>
      <c r="H1081" s="16" t="s">
        <v>31</v>
      </c>
      <c r="I1081" s="16"/>
      <c r="J1081" s="16" t="s">
        <v>27</v>
      </c>
      <c r="K1081" s="16" t="s">
        <v>239</v>
      </c>
      <c r="L1081" s="16" t="s">
        <v>35</v>
      </c>
      <c r="M1081" s="17">
        <v>2150</v>
      </c>
      <c r="N1081" s="23">
        <v>1.33</v>
      </c>
      <c r="O1081" s="16" t="s">
        <v>67</v>
      </c>
      <c r="P1081" s="16" t="s">
        <v>63</v>
      </c>
      <c r="Q1081" s="16" t="s">
        <v>29</v>
      </c>
      <c r="R1081" s="16" t="s">
        <v>1576</v>
      </c>
      <c r="S1081" s="12" t="s">
        <v>5270</v>
      </c>
      <c r="T1081" s="13">
        <v>46090</v>
      </c>
      <c r="U1081" s="315"/>
      <c r="V1081" s="53">
        <f>M1081-Z1081-AB1081-AD1081-AF1081-AH1081-AJ1081-AL1081-AN1081-AP1081-AR1081-AT1081-AV1081-AX1081-AZ1081-BB1081-BD1081-BF1081-BH1081-U1081</f>
        <v>-2</v>
      </c>
      <c r="W1081" s="22" t="s">
        <v>5272</v>
      </c>
      <c r="X1081" s="16"/>
      <c r="Y1081" s="9"/>
      <c r="Z1081" s="19">
        <v>2152</v>
      </c>
      <c r="AA1081" s="252">
        <v>46113</v>
      </c>
    </row>
    <row r="1082" spans="1:29" s="28" customFormat="1" ht="20.25" customHeight="1">
      <c r="A1082" s="11">
        <v>46066</v>
      </c>
      <c r="B1082" s="16" t="s">
        <v>5253</v>
      </c>
      <c r="C1082" s="16" t="s">
        <v>228</v>
      </c>
      <c r="D1082" s="16" t="s">
        <v>212</v>
      </c>
      <c r="E1082" s="16" t="s">
        <v>25</v>
      </c>
      <c r="F1082" s="16" t="s">
        <v>5260</v>
      </c>
      <c r="G1082" s="16" t="s">
        <v>71</v>
      </c>
      <c r="H1082" s="16" t="s">
        <v>31</v>
      </c>
      <c r="I1082" s="1"/>
      <c r="J1082" s="1" t="s">
        <v>27</v>
      </c>
      <c r="K1082" s="16" t="s">
        <v>1116</v>
      </c>
      <c r="L1082" s="1" t="s">
        <v>35</v>
      </c>
      <c r="M1082" s="17">
        <v>19</v>
      </c>
      <c r="N1082" s="6">
        <v>1.33</v>
      </c>
      <c r="O1082" s="1" t="s">
        <v>67</v>
      </c>
      <c r="P1082" s="1" t="s">
        <v>63</v>
      </c>
      <c r="Q1082" s="1" t="s">
        <v>1965</v>
      </c>
      <c r="R1082" s="1" t="s">
        <v>5266</v>
      </c>
      <c r="S1082" s="121" t="s">
        <v>5270</v>
      </c>
      <c r="T1082" s="13">
        <v>46090</v>
      </c>
      <c r="U1082" s="19"/>
      <c r="V1082" s="53">
        <f>M1082-Z1082-AB1082-AD1082-AF1082-AH1082-AJ1082-AL1082-AN1082-AP1082-AR1082-AT1082-AV1082-AX1082-AZ1082-BB1082-BD1082-BF1082-BH1082-U1082</f>
        <v>-0.89999999999999858</v>
      </c>
      <c r="W1082" s="22" t="s">
        <v>5273</v>
      </c>
      <c r="X1082" s="16" t="s">
        <v>5527</v>
      </c>
      <c r="Y1082" s="9"/>
      <c r="Z1082" s="19">
        <v>19.899999999999999</v>
      </c>
      <c r="AA1082" s="252">
        <v>46091</v>
      </c>
    </row>
    <row r="1083" spans="1:29" s="28" customFormat="1" ht="20.25" customHeight="1">
      <c r="A1083" s="11">
        <v>46066</v>
      </c>
      <c r="B1083" s="16" t="s">
        <v>5253</v>
      </c>
      <c r="C1083" s="16" t="s">
        <v>228</v>
      </c>
      <c r="D1083" s="16" t="s">
        <v>212</v>
      </c>
      <c r="E1083" s="16" t="s">
        <v>25</v>
      </c>
      <c r="F1083" s="16" t="s">
        <v>5260</v>
      </c>
      <c r="G1083" s="16" t="s">
        <v>71</v>
      </c>
      <c r="H1083" s="16" t="s">
        <v>31</v>
      </c>
      <c r="I1083" s="1"/>
      <c r="J1083" s="1" t="s">
        <v>27</v>
      </c>
      <c r="K1083" s="16" t="s">
        <v>1601</v>
      </c>
      <c r="L1083" s="1" t="s">
        <v>35</v>
      </c>
      <c r="M1083" s="17">
        <v>66</v>
      </c>
      <c r="N1083" s="6">
        <v>1.33</v>
      </c>
      <c r="O1083" s="1" t="s">
        <v>67</v>
      </c>
      <c r="P1083" s="1" t="s">
        <v>63</v>
      </c>
      <c r="Q1083" s="1" t="s">
        <v>1965</v>
      </c>
      <c r="R1083" s="1" t="s">
        <v>235</v>
      </c>
      <c r="S1083" s="121" t="s">
        <v>5270</v>
      </c>
      <c r="T1083" s="13">
        <v>46090</v>
      </c>
      <c r="U1083" s="19"/>
      <c r="V1083" s="53">
        <f>M1083-Z1083-AB1083-AD1083-AF1083-AH1083-AJ1083-AL1083-AN1083-AP1083-AR1083-AT1083-AV1083-AX1083-AZ1083-BB1083-BD1083-BF1083-BH1083-U1083</f>
        <v>-2.7000000000000028</v>
      </c>
      <c r="W1083" s="22" t="s">
        <v>5274</v>
      </c>
      <c r="X1083" s="16"/>
      <c r="Y1083" s="9"/>
      <c r="Z1083" s="19">
        <v>68.7</v>
      </c>
      <c r="AA1083" s="252">
        <v>46091</v>
      </c>
    </row>
    <row r="1084" spans="1:29" s="28" customFormat="1" ht="20.25" customHeight="1">
      <c r="A1084" s="11">
        <v>46066</v>
      </c>
      <c r="B1084" s="16" t="s">
        <v>5254</v>
      </c>
      <c r="C1084" s="16" t="s">
        <v>228</v>
      </c>
      <c r="D1084" s="16" t="s">
        <v>212</v>
      </c>
      <c r="E1084" s="16" t="s">
        <v>25</v>
      </c>
      <c r="F1084" s="16" t="s">
        <v>5261</v>
      </c>
      <c r="G1084" s="16" t="s">
        <v>71</v>
      </c>
      <c r="H1084" s="16" t="s">
        <v>31</v>
      </c>
      <c r="I1084" s="1"/>
      <c r="J1084" s="1" t="s">
        <v>27</v>
      </c>
      <c r="K1084" s="16" t="s">
        <v>1116</v>
      </c>
      <c r="L1084" s="1" t="s">
        <v>35</v>
      </c>
      <c r="M1084" s="17">
        <v>642.24</v>
      </c>
      <c r="N1084" s="6">
        <v>1.33</v>
      </c>
      <c r="O1084" s="1" t="s">
        <v>67</v>
      </c>
      <c r="P1084" s="1" t="s">
        <v>63</v>
      </c>
      <c r="Q1084" s="1" t="s">
        <v>231</v>
      </c>
      <c r="R1084" s="1" t="s">
        <v>481</v>
      </c>
      <c r="S1084" s="121" t="s">
        <v>5038</v>
      </c>
      <c r="T1084" s="13">
        <v>46087</v>
      </c>
      <c r="U1084" s="19"/>
      <c r="V1084" s="53">
        <f>M1084-Z1084-AB1084-AD1084-AF1084-AH1084-AJ1084-AL1084-AN1084-AP1084-AR1084-AT1084-AV1084-AX1084-AZ1084-BB1084-BD1084-BF1084-BH1084-U1084</f>
        <v>-2.3600000000000136</v>
      </c>
      <c r="W1084" s="22" t="s">
        <v>5275</v>
      </c>
      <c r="X1084" s="16"/>
      <c r="Y1084" s="9"/>
      <c r="Z1084" s="19">
        <f>391.5+253.1</f>
        <v>644.6</v>
      </c>
      <c r="AA1084" s="252">
        <v>46091</v>
      </c>
    </row>
    <row r="1085" spans="1:29" s="28" customFormat="1" ht="20.25" customHeight="1">
      <c r="A1085" s="11">
        <v>46066</v>
      </c>
      <c r="B1085" s="16" t="s">
        <v>5254</v>
      </c>
      <c r="C1085" s="16" t="s">
        <v>228</v>
      </c>
      <c r="D1085" s="16" t="s">
        <v>212</v>
      </c>
      <c r="E1085" s="16" t="s">
        <v>25</v>
      </c>
      <c r="F1085" s="16" t="s">
        <v>5261</v>
      </c>
      <c r="G1085" s="16" t="s">
        <v>71</v>
      </c>
      <c r="H1085" s="16" t="s">
        <v>31</v>
      </c>
      <c r="I1085" s="1"/>
      <c r="J1085" s="1" t="s">
        <v>27</v>
      </c>
      <c r="K1085" s="16" t="s">
        <v>1116</v>
      </c>
      <c r="L1085" s="1" t="s">
        <v>35</v>
      </c>
      <c r="M1085" s="17">
        <v>234.09</v>
      </c>
      <c r="N1085" s="6">
        <v>1.33</v>
      </c>
      <c r="O1085" s="1" t="s">
        <v>67</v>
      </c>
      <c r="P1085" s="1" t="s">
        <v>63</v>
      </c>
      <c r="Q1085" s="1" t="s">
        <v>231</v>
      </c>
      <c r="R1085" s="1" t="s">
        <v>2026</v>
      </c>
      <c r="S1085" s="121" t="s">
        <v>5038</v>
      </c>
      <c r="T1085" s="13">
        <v>46087</v>
      </c>
      <c r="U1085" s="19"/>
      <c r="V1085" s="53">
        <f>M1085-Z1085-AB1085-AD1085-AF1085-AH1085-AJ1085-AL1085-AN1085-AP1085-AR1085-AT1085-AV1085-AX1085-AZ1085-BB1085-BD1085-BF1085-BH1085-U1085</f>
        <v>-0.21000000000000796</v>
      </c>
      <c r="W1085" s="22" t="s">
        <v>5276</v>
      </c>
      <c r="X1085" s="16"/>
      <c r="Y1085" s="9"/>
      <c r="Z1085" s="19">
        <v>234.3</v>
      </c>
      <c r="AA1085" s="252">
        <v>46091</v>
      </c>
    </row>
    <row r="1086" spans="1:29" s="28" customFormat="1" ht="20.25" customHeight="1">
      <c r="A1086" s="11">
        <v>46066</v>
      </c>
      <c r="B1086" s="16" t="s">
        <v>5255</v>
      </c>
      <c r="C1086" s="16" t="s">
        <v>228</v>
      </c>
      <c r="D1086" s="16" t="s">
        <v>212</v>
      </c>
      <c r="E1086" s="16" t="s">
        <v>25</v>
      </c>
      <c r="F1086" s="16" t="s">
        <v>5262</v>
      </c>
      <c r="G1086" s="16" t="s">
        <v>71</v>
      </c>
      <c r="H1086" s="16" t="s">
        <v>31</v>
      </c>
      <c r="I1086" s="1"/>
      <c r="J1086" s="1" t="s">
        <v>27</v>
      </c>
      <c r="K1086" s="16" t="s">
        <v>1116</v>
      </c>
      <c r="L1086" s="1" t="s">
        <v>35</v>
      </c>
      <c r="M1086" s="17">
        <v>887.85</v>
      </c>
      <c r="N1086" s="6">
        <v>1.33</v>
      </c>
      <c r="O1086" s="1" t="s">
        <v>67</v>
      </c>
      <c r="P1086" s="1" t="s">
        <v>63</v>
      </c>
      <c r="Q1086" s="1" t="s">
        <v>231</v>
      </c>
      <c r="R1086" s="1" t="s">
        <v>481</v>
      </c>
      <c r="S1086" s="121" t="s">
        <v>5271</v>
      </c>
      <c r="T1086" s="13">
        <v>46094</v>
      </c>
      <c r="U1086" s="19"/>
      <c r="V1086" s="53">
        <f>M1086-Z1086-AB1086-AD1086-AF1086-AH1086-AJ1086-AL1086-AN1086-AP1086-AR1086-AT1086-AV1086-AX1086-AZ1086-BB1086-BD1086-BF1086-BH1086-U1086</f>
        <v>-4.9999999999954525E-2</v>
      </c>
      <c r="W1086" s="22" t="s">
        <v>5277</v>
      </c>
      <c r="X1086" s="16"/>
      <c r="Y1086" s="9"/>
      <c r="Z1086" s="19">
        <v>887.9</v>
      </c>
      <c r="AA1086" s="252">
        <v>46091</v>
      </c>
    </row>
    <row r="1087" spans="1:29" s="28" customFormat="1" ht="20.25" customHeight="1">
      <c r="A1087" s="11">
        <v>46066</v>
      </c>
      <c r="B1087" s="16" t="s">
        <v>5256</v>
      </c>
      <c r="C1087" s="16" t="s">
        <v>382</v>
      </c>
      <c r="D1087" s="16" t="s">
        <v>212</v>
      </c>
      <c r="E1087" s="16" t="s">
        <v>25</v>
      </c>
      <c r="F1087" s="16" t="s">
        <v>5263</v>
      </c>
      <c r="G1087" s="16" t="s">
        <v>71</v>
      </c>
      <c r="H1087" s="16" t="s">
        <v>31</v>
      </c>
      <c r="I1087" s="16"/>
      <c r="J1087" s="16" t="s">
        <v>27</v>
      </c>
      <c r="K1087" s="16" t="s">
        <v>1116</v>
      </c>
      <c r="L1087" s="16" t="s">
        <v>35</v>
      </c>
      <c r="M1087" s="17">
        <v>5317.71</v>
      </c>
      <c r="N1087" s="23">
        <v>1.33</v>
      </c>
      <c r="O1087" s="16" t="s">
        <v>67</v>
      </c>
      <c r="P1087" s="16" t="s">
        <v>63</v>
      </c>
      <c r="Q1087" s="16" t="s">
        <v>5267</v>
      </c>
      <c r="R1087" s="16" t="s">
        <v>5268</v>
      </c>
      <c r="S1087" s="12" t="s">
        <v>5038</v>
      </c>
      <c r="T1087" s="13">
        <v>46087</v>
      </c>
      <c r="U1087" s="315"/>
      <c r="V1087" s="53">
        <f>M1087-Z1087-AB1087-AD1087-AF1087-AH1087-AJ1087-AL1087-AN1087-AP1087-AR1087-AT1087-AV1087-AX1087-AZ1087-BB1087-BD1087-BF1087-BH1087-U1087</f>
        <v>-1.8899999999999864</v>
      </c>
      <c r="W1087" s="22" t="s">
        <v>5278</v>
      </c>
      <c r="X1087" s="16"/>
      <c r="Y1087" s="9"/>
      <c r="Z1087" s="19">
        <v>5020</v>
      </c>
      <c r="AA1087" s="252">
        <v>46092</v>
      </c>
      <c r="AB1087" s="315">
        <v>299.60000000000002</v>
      </c>
      <c r="AC1087" s="252">
        <v>46094</v>
      </c>
    </row>
    <row r="1088" spans="1:29" s="28" customFormat="1" ht="20.25" customHeight="1">
      <c r="A1088" s="11">
        <v>46066</v>
      </c>
      <c r="B1088" s="16" t="s">
        <v>5256</v>
      </c>
      <c r="C1088" s="16" t="s">
        <v>382</v>
      </c>
      <c r="D1088" s="16" t="s">
        <v>212</v>
      </c>
      <c r="E1088" s="16" t="s">
        <v>25</v>
      </c>
      <c r="F1088" s="16" t="s">
        <v>5263</v>
      </c>
      <c r="G1088" s="16" t="s">
        <v>71</v>
      </c>
      <c r="H1088" s="16" t="s">
        <v>31</v>
      </c>
      <c r="I1088" s="16"/>
      <c r="J1088" s="16" t="s">
        <v>27</v>
      </c>
      <c r="K1088" s="16" t="s">
        <v>2653</v>
      </c>
      <c r="L1088" s="16" t="s">
        <v>35</v>
      </c>
      <c r="M1088" s="17">
        <v>635.78</v>
      </c>
      <c r="N1088" s="23">
        <v>1.33</v>
      </c>
      <c r="O1088" s="16" t="s">
        <v>67</v>
      </c>
      <c r="P1088" s="16" t="s">
        <v>63</v>
      </c>
      <c r="Q1088" s="16" t="s">
        <v>5267</v>
      </c>
      <c r="R1088" s="16" t="s">
        <v>5269</v>
      </c>
      <c r="S1088" s="12" t="s">
        <v>5038</v>
      </c>
      <c r="T1088" s="13">
        <v>46087</v>
      </c>
      <c r="U1088" s="315"/>
      <c r="V1088" s="53">
        <f>M1088-Z1088-AB1088-AD1088-AF1088-AH1088-AJ1088-AL1088-AN1088-AP1088-AR1088-AT1088-AV1088-AX1088-AZ1088-BB1088-BD1088-BF1088-BH1088-U1088</f>
        <v>-0.51999999999998181</v>
      </c>
      <c r="W1088" s="22" t="s">
        <v>5279</v>
      </c>
      <c r="X1088" s="16"/>
      <c r="Y1088" s="9"/>
      <c r="Z1088" s="19">
        <v>636.29999999999995</v>
      </c>
      <c r="AA1088" s="252">
        <v>46092</v>
      </c>
    </row>
    <row r="1089" spans="1:29" s="36" customFormat="1" ht="20.25" customHeight="1">
      <c r="A1089" s="7">
        <v>46066</v>
      </c>
      <c r="B1089" s="19" t="s">
        <v>5257</v>
      </c>
      <c r="C1089" s="19" t="s">
        <v>304</v>
      </c>
      <c r="D1089" s="19" t="s">
        <v>212</v>
      </c>
      <c r="E1089" s="19" t="s">
        <v>25</v>
      </c>
      <c r="F1089" s="19" t="s">
        <v>5264</v>
      </c>
      <c r="G1089" s="19" t="s">
        <v>71</v>
      </c>
      <c r="H1089" s="19" t="s">
        <v>26</v>
      </c>
      <c r="I1089" s="301"/>
      <c r="J1089" s="301" t="s">
        <v>27</v>
      </c>
      <c r="K1089" s="19" t="s">
        <v>239</v>
      </c>
      <c r="L1089" s="301" t="s">
        <v>35</v>
      </c>
      <c r="M1089" s="20">
        <v>25</v>
      </c>
      <c r="N1089" s="25">
        <v>1.33</v>
      </c>
      <c r="O1089" s="19" t="s">
        <v>67</v>
      </c>
      <c r="P1089" s="19" t="s">
        <v>63</v>
      </c>
      <c r="Q1089" s="19" t="s">
        <v>29</v>
      </c>
      <c r="R1089" s="19" t="s">
        <v>29</v>
      </c>
      <c r="S1089" s="45" t="s">
        <v>5079</v>
      </c>
      <c r="T1089" s="8">
        <v>46080</v>
      </c>
      <c r="U1089" s="19"/>
      <c r="V1089" s="55">
        <f>M1089-Z1089-AB1089-AD1089-AF1089-AH1089-AJ1089-AL1089-AN1089-AP1089-AR1089-AT1089-AV1089-AX1089-AZ1089-BB1089-BD1089-BF1089-BH1089-U1089</f>
        <v>-7.8999999999999986</v>
      </c>
      <c r="W1089" s="15" t="s">
        <v>5280</v>
      </c>
      <c r="X1089" s="19"/>
      <c r="Y1089" s="10"/>
      <c r="Z1089" s="19">
        <v>32.9</v>
      </c>
      <c r="AA1089" s="123">
        <v>46083</v>
      </c>
    </row>
    <row r="1090" spans="1:29" s="36" customFormat="1" ht="20.25" customHeight="1">
      <c r="A1090" s="7">
        <v>46066</v>
      </c>
      <c r="B1090" s="19" t="s">
        <v>5258</v>
      </c>
      <c r="C1090" s="19" t="s">
        <v>304</v>
      </c>
      <c r="D1090" s="19" t="s">
        <v>212</v>
      </c>
      <c r="E1090" s="19" t="s">
        <v>25</v>
      </c>
      <c r="F1090" s="19" t="s">
        <v>5265</v>
      </c>
      <c r="G1090" s="19" t="s">
        <v>71</v>
      </c>
      <c r="H1090" s="19" t="s">
        <v>31</v>
      </c>
      <c r="I1090" s="301"/>
      <c r="J1090" s="301" t="s">
        <v>27</v>
      </c>
      <c r="K1090" s="19" t="s">
        <v>239</v>
      </c>
      <c r="L1090" s="301" t="s">
        <v>35</v>
      </c>
      <c r="M1090" s="20">
        <v>25</v>
      </c>
      <c r="N1090" s="25">
        <v>1.33</v>
      </c>
      <c r="O1090" s="19" t="s">
        <v>67</v>
      </c>
      <c r="P1090" s="19" t="s">
        <v>63</v>
      </c>
      <c r="Q1090" s="19" t="s">
        <v>29</v>
      </c>
      <c r="R1090" s="19" t="s">
        <v>29</v>
      </c>
      <c r="S1090" s="45" t="s">
        <v>5079</v>
      </c>
      <c r="T1090" s="8">
        <v>46080</v>
      </c>
      <c r="U1090" s="19"/>
      <c r="V1090" s="55">
        <f>M1090-Z1090-AB1090-AD1090-AF1090-AH1090-AJ1090-AL1090-AN1090-AP1090-AR1090-AT1090-AV1090-AX1090-AZ1090-BB1090-BD1090-BF1090-BH1090-U1090</f>
        <v>-1.1000000000000014</v>
      </c>
      <c r="W1090" s="15" t="s">
        <v>5281</v>
      </c>
      <c r="X1090" s="19"/>
      <c r="Y1090" s="10"/>
      <c r="Z1090" s="19">
        <v>26.1</v>
      </c>
      <c r="AA1090" s="123">
        <v>46083</v>
      </c>
    </row>
    <row r="1091" spans="1:29" s="28" customFormat="1" ht="20.25" customHeight="1">
      <c r="A1091" s="11">
        <v>46071</v>
      </c>
      <c r="B1091" s="16" t="s">
        <v>5283</v>
      </c>
      <c r="C1091" s="16" t="s">
        <v>228</v>
      </c>
      <c r="D1091" s="16" t="s">
        <v>212</v>
      </c>
      <c r="E1091" s="16" t="s">
        <v>25</v>
      </c>
      <c r="F1091" s="16" t="s">
        <v>5284</v>
      </c>
      <c r="G1091" s="16" t="s">
        <v>71</v>
      </c>
      <c r="H1091" s="16" t="s">
        <v>31</v>
      </c>
      <c r="I1091" s="1"/>
      <c r="J1091" s="1" t="s">
        <v>27</v>
      </c>
      <c r="K1091" s="16" t="s">
        <v>2462</v>
      </c>
      <c r="L1091" s="1" t="s">
        <v>35</v>
      </c>
      <c r="M1091" s="17">
        <v>539.99</v>
      </c>
      <c r="N1091" s="6">
        <v>1.33</v>
      </c>
      <c r="O1091" s="1" t="s">
        <v>67</v>
      </c>
      <c r="P1091" s="1" t="s">
        <v>63</v>
      </c>
      <c r="Q1091" s="1" t="s">
        <v>2086</v>
      </c>
      <c r="R1091" s="1" t="s">
        <v>1966</v>
      </c>
      <c r="S1091" s="121" t="s">
        <v>5038</v>
      </c>
      <c r="T1091" s="13">
        <v>46087</v>
      </c>
      <c r="U1091" s="19"/>
      <c r="V1091" s="53">
        <f>M1091-Z1091-AB1091-AD1091-AF1091-AH1091-AJ1091-AL1091-AN1091-AP1091-AR1091-AT1091-AV1091-AX1091-AZ1091-BB1091-BD1091-BF1091-BH1091-U1091</f>
        <v>-2.4099999999999682</v>
      </c>
      <c r="W1091" s="22" t="s">
        <v>5285</v>
      </c>
      <c r="X1091" s="16"/>
      <c r="Y1091" s="9"/>
      <c r="Z1091" s="19">
        <v>542.4</v>
      </c>
      <c r="AA1091" s="252">
        <v>46091</v>
      </c>
    </row>
    <row r="1092" spans="1:29" s="28" customFormat="1" ht="20.25" customHeight="1">
      <c r="A1092" s="11">
        <v>46071</v>
      </c>
      <c r="B1092" s="16" t="s">
        <v>5283</v>
      </c>
      <c r="C1092" s="16" t="s">
        <v>228</v>
      </c>
      <c r="D1092" s="16" t="s">
        <v>212</v>
      </c>
      <c r="E1092" s="16" t="s">
        <v>25</v>
      </c>
      <c r="F1092" s="16" t="s">
        <v>5284</v>
      </c>
      <c r="G1092" s="16" t="s">
        <v>71</v>
      </c>
      <c r="H1092" s="16" t="s">
        <v>31</v>
      </c>
      <c r="I1092" s="1"/>
      <c r="J1092" s="1" t="s">
        <v>27</v>
      </c>
      <c r="K1092" s="16" t="s">
        <v>2462</v>
      </c>
      <c r="L1092" s="1" t="s">
        <v>35</v>
      </c>
      <c r="M1092" s="17">
        <v>27.91</v>
      </c>
      <c r="N1092" s="6">
        <v>1.33</v>
      </c>
      <c r="O1092" s="1" t="s">
        <v>67</v>
      </c>
      <c r="P1092" s="1" t="s">
        <v>63</v>
      </c>
      <c r="Q1092" s="1" t="s">
        <v>2086</v>
      </c>
      <c r="R1092" s="1" t="s">
        <v>5266</v>
      </c>
      <c r="S1092" s="121" t="s">
        <v>5038</v>
      </c>
      <c r="T1092" s="13">
        <v>46087</v>
      </c>
      <c r="U1092" s="19"/>
      <c r="V1092" s="53">
        <f>M1092-Z1092-AB1092-AD1092-AF1092-AH1092-AJ1092-AL1092-AN1092-AP1092-AR1092-AT1092-AV1092-AX1092-AZ1092-BB1092-BD1092-BF1092-BH1092-U1092</f>
        <v>-8.9999999999999858E-2</v>
      </c>
      <c r="W1092" s="22" t="s">
        <v>5286</v>
      </c>
      <c r="X1092" s="16" t="s">
        <v>5527</v>
      </c>
      <c r="Y1092" s="9"/>
      <c r="Z1092" s="19">
        <v>28</v>
      </c>
      <c r="AA1092" s="252">
        <v>46091</v>
      </c>
    </row>
    <row r="1093" spans="1:29" s="28" customFormat="1" ht="20.25" customHeight="1">
      <c r="A1093" s="11">
        <v>46071</v>
      </c>
      <c r="B1093" s="16" t="s">
        <v>5287</v>
      </c>
      <c r="C1093" s="16" t="s">
        <v>382</v>
      </c>
      <c r="D1093" s="16" t="s">
        <v>212</v>
      </c>
      <c r="E1093" s="16" t="s">
        <v>25</v>
      </c>
      <c r="F1093" s="16" t="s">
        <v>5288</v>
      </c>
      <c r="G1093" s="16" t="s">
        <v>71</v>
      </c>
      <c r="H1093" s="16" t="s">
        <v>31</v>
      </c>
      <c r="I1093" s="1"/>
      <c r="J1093" s="1" t="s">
        <v>27</v>
      </c>
      <c r="K1093" s="16" t="s">
        <v>2462</v>
      </c>
      <c r="L1093" s="1" t="s">
        <v>35</v>
      </c>
      <c r="M1093" s="17">
        <v>4948.38</v>
      </c>
      <c r="N1093" s="6">
        <v>1.33</v>
      </c>
      <c r="O1093" s="1" t="s">
        <v>67</v>
      </c>
      <c r="P1093" s="1" t="s">
        <v>63</v>
      </c>
      <c r="Q1093" s="1" t="s">
        <v>5289</v>
      </c>
      <c r="R1093" s="1" t="s">
        <v>1222</v>
      </c>
      <c r="S1093" s="121" t="s">
        <v>5038</v>
      </c>
      <c r="T1093" s="5">
        <v>46087</v>
      </c>
      <c r="U1093" s="19"/>
      <c r="V1093" s="53">
        <f>M1093-Z1093-AB1093-AD1093-AF1093-AH1093-AJ1093-AL1093-AN1093-AP1093-AR1093-AT1093-AV1093-AX1093-AZ1093-BB1093-BD1093-BF1093-BH1093-U1093</f>
        <v>-0.42000000000007276</v>
      </c>
      <c r="W1093" s="22" t="s">
        <v>5290</v>
      </c>
      <c r="X1093" s="16"/>
      <c r="Y1093" s="9"/>
      <c r="Z1093" s="19">
        <f>1470.4+593.6</f>
        <v>2064</v>
      </c>
      <c r="AA1093" s="252">
        <v>46094</v>
      </c>
      <c r="AB1093" s="19">
        <f>1057.9+354.6+1472.3</f>
        <v>2884.8</v>
      </c>
      <c r="AC1093" s="252">
        <v>46111</v>
      </c>
    </row>
    <row r="1094" spans="1:29" s="28" customFormat="1" ht="20.25" customHeight="1">
      <c r="A1094" s="11">
        <v>46071</v>
      </c>
      <c r="B1094" s="16" t="s">
        <v>5291</v>
      </c>
      <c r="C1094" s="16" t="s">
        <v>382</v>
      </c>
      <c r="D1094" s="16" t="s">
        <v>212</v>
      </c>
      <c r="E1094" s="16" t="s">
        <v>25</v>
      </c>
      <c r="F1094" s="16" t="s">
        <v>5292</v>
      </c>
      <c r="G1094" s="16" t="s">
        <v>71</v>
      </c>
      <c r="H1094" s="16" t="s">
        <v>31</v>
      </c>
      <c r="I1094" s="16"/>
      <c r="J1094" s="16" t="s">
        <v>27</v>
      </c>
      <c r="K1094" s="16" t="s">
        <v>239</v>
      </c>
      <c r="L1094" s="16" t="s">
        <v>35</v>
      </c>
      <c r="M1094" s="17">
        <v>5004.51</v>
      </c>
      <c r="N1094" s="23">
        <v>1.33</v>
      </c>
      <c r="O1094" s="16" t="s">
        <v>67</v>
      </c>
      <c r="P1094" s="16" t="s">
        <v>63</v>
      </c>
      <c r="Q1094" s="16" t="s">
        <v>1562</v>
      </c>
      <c r="R1094" s="16" t="s">
        <v>4011</v>
      </c>
      <c r="S1094" s="12" t="s">
        <v>5038</v>
      </c>
      <c r="T1094" s="13">
        <v>46087</v>
      </c>
      <c r="U1094" s="19"/>
      <c r="V1094" s="53">
        <f>M1094-Z1094-AB1094-AD1094-AF1094-AH1094-AJ1094-AL1094-AN1094-AP1094-AR1094-AT1094-AV1094-AX1094-AZ1094-BB1094-BD1094-BF1094-BH1094-U1094</f>
        <v>-0.88999999999941792</v>
      </c>
      <c r="W1094" s="22" t="s">
        <v>5293</v>
      </c>
      <c r="X1094" s="16"/>
      <c r="Y1094" s="9"/>
      <c r="Z1094" s="19">
        <v>5005.3999999999996</v>
      </c>
      <c r="AA1094" s="252">
        <v>46092</v>
      </c>
    </row>
    <row r="1095" spans="1:29" s="28" customFormat="1" ht="20.25" customHeight="1">
      <c r="A1095" s="11">
        <v>46073</v>
      </c>
      <c r="B1095" s="16" t="s">
        <v>5298</v>
      </c>
      <c r="C1095" s="16" t="s">
        <v>267</v>
      </c>
      <c r="D1095" s="16" t="s">
        <v>212</v>
      </c>
      <c r="E1095" s="16" t="s">
        <v>34</v>
      </c>
      <c r="F1095" s="16" t="s">
        <v>5303</v>
      </c>
      <c r="G1095" s="16" t="s">
        <v>71</v>
      </c>
      <c r="H1095" s="16" t="s">
        <v>26</v>
      </c>
      <c r="I1095" s="16"/>
      <c r="J1095" s="16" t="s">
        <v>27</v>
      </c>
      <c r="K1095" s="16" t="s">
        <v>218</v>
      </c>
      <c r="L1095" s="16" t="s">
        <v>35</v>
      </c>
      <c r="M1095" s="17">
        <v>75</v>
      </c>
      <c r="N1095" s="23">
        <v>1.33</v>
      </c>
      <c r="O1095" s="16" t="s">
        <v>67</v>
      </c>
      <c r="P1095" s="16" t="s">
        <v>63</v>
      </c>
      <c r="Q1095" s="16" t="s">
        <v>29</v>
      </c>
      <c r="R1095" s="16" t="s">
        <v>4856</v>
      </c>
      <c r="S1095" s="12" t="s">
        <v>5038</v>
      </c>
      <c r="T1095" s="13">
        <v>46087</v>
      </c>
      <c r="U1095" s="19"/>
      <c r="V1095" s="53">
        <f>M1095-Z1095-AB1095-AD1095-AF1095-AH1095-AJ1095-AL1095-AN1095-AP1095-AR1095-AT1095-AV1095-AX1095-AZ1095-BB1095-BD1095-BF1095-BH1095-U1095</f>
        <v>-4.2999999999999972</v>
      </c>
      <c r="W1095" s="22" t="s">
        <v>5309</v>
      </c>
      <c r="X1095" s="16"/>
      <c r="Y1095" s="9"/>
      <c r="Z1095" s="19">
        <v>79.3</v>
      </c>
      <c r="AA1095" s="252">
        <v>46091</v>
      </c>
    </row>
    <row r="1096" spans="1:29" s="28" customFormat="1" ht="20.25" customHeight="1">
      <c r="A1096" s="11">
        <v>46073</v>
      </c>
      <c r="B1096" s="16" t="s">
        <v>5299</v>
      </c>
      <c r="C1096" s="16" t="s">
        <v>267</v>
      </c>
      <c r="D1096" s="16" t="s">
        <v>212</v>
      </c>
      <c r="E1096" s="16" t="s">
        <v>34</v>
      </c>
      <c r="F1096" s="16" t="s">
        <v>5304</v>
      </c>
      <c r="G1096" s="16" t="s">
        <v>71</v>
      </c>
      <c r="H1096" s="16" t="s">
        <v>26</v>
      </c>
      <c r="I1096" s="16"/>
      <c r="J1096" s="16" t="s">
        <v>27</v>
      </c>
      <c r="K1096" s="16" t="s">
        <v>245</v>
      </c>
      <c r="L1096" s="16" t="s">
        <v>35</v>
      </c>
      <c r="M1096" s="17">
        <v>100</v>
      </c>
      <c r="N1096" s="23">
        <v>1.33</v>
      </c>
      <c r="O1096" s="16" t="s">
        <v>67</v>
      </c>
      <c r="P1096" s="16" t="s">
        <v>63</v>
      </c>
      <c r="Q1096" s="16" t="s">
        <v>29</v>
      </c>
      <c r="R1096" s="16" t="s">
        <v>5002</v>
      </c>
      <c r="S1096" s="12" t="s">
        <v>5038</v>
      </c>
      <c r="T1096" s="13">
        <v>46087</v>
      </c>
      <c r="U1096" s="19"/>
      <c r="V1096" s="53">
        <f>M1096-Z1096-AB1096-AD1096-AF1096-AH1096-AJ1096-AL1096-AN1096-AP1096-AR1096-AT1096-AV1096-AX1096-AZ1096-BB1096-BD1096-BF1096-BH1096-U1096</f>
        <v>-1.7000000000000028</v>
      </c>
      <c r="W1096" s="22" t="s">
        <v>5310</v>
      </c>
      <c r="X1096" s="16" t="s">
        <v>5328</v>
      </c>
      <c r="Y1096" s="9"/>
      <c r="Z1096" s="19">
        <v>101.7</v>
      </c>
      <c r="AA1096" s="252">
        <v>46083</v>
      </c>
    </row>
    <row r="1097" spans="1:29" s="28" customFormat="1" ht="20.25" customHeight="1">
      <c r="A1097" s="11">
        <v>46073</v>
      </c>
      <c r="B1097" s="16" t="s">
        <v>5300</v>
      </c>
      <c r="C1097" s="16" t="s">
        <v>267</v>
      </c>
      <c r="D1097" s="16" t="s">
        <v>212</v>
      </c>
      <c r="E1097" s="16" t="s">
        <v>34</v>
      </c>
      <c r="F1097" s="16" t="s">
        <v>5305</v>
      </c>
      <c r="G1097" s="16" t="s">
        <v>71</v>
      </c>
      <c r="H1097" s="16" t="s">
        <v>26</v>
      </c>
      <c r="I1097" s="16"/>
      <c r="J1097" s="16" t="s">
        <v>27</v>
      </c>
      <c r="K1097" s="16" t="s">
        <v>588</v>
      </c>
      <c r="L1097" s="16" t="s">
        <v>35</v>
      </c>
      <c r="M1097" s="17">
        <v>125</v>
      </c>
      <c r="N1097" s="23">
        <v>1.33</v>
      </c>
      <c r="O1097" s="16" t="s">
        <v>67</v>
      </c>
      <c r="P1097" s="16" t="s">
        <v>63</v>
      </c>
      <c r="Q1097" s="16" t="s">
        <v>29</v>
      </c>
      <c r="R1097" s="16" t="s">
        <v>4857</v>
      </c>
      <c r="S1097" s="12" t="s">
        <v>5038</v>
      </c>
      <c r="T1097" s="13">
        <v>46087</v>
      </c>
      <c r="U1097" s="19"/>
      <c r="V1097" s="53">
        <f>M1097-Z1097-AB1097-AD1097-AF1097-AH1097-AJ1097-AL1097-AN1097-AP1097-AR1097-AT1097-AV1097-AX1097-AZ1097-BB1097-BD1097-BF1097-BH1097-U1097</f>
        <v>-1</v>
      </c>
      <c r="W1097" s="22" t="s">
        <v>5311</v>
      </c>
      <c r="X1097" s="16"/>
      <c r="Y1097" s="9"/>
      <c r="Z1097" s="19">
        <v>126</v>
      </c>
      <c r="AA1097" s="252">
        <v>46083</v>
      </c>
    </row>
    <row r="1098" spans="1:29" s="28" customFormat="1" ht="20.25" customHeight="1">
      <c r="A1098" s="11">
        <v>46073</v>
      </c>
      <c r="B1098" s="16" t="s">
        <v>5301</v>
      </c>
      <c r="C1098" s="16" t="s">
        <v>304</v>
      </c>
      <c r="D1098" s="16" t="s">
        <v>212</v>
      </c>
      <c r="E1098" s="16" t="s">
        <v>34</v>
      </c>
      <c r="F1098" s="16" t="s">
        <v>5306</v>
      </c>
      <c r="G1098" s="16" t="s">
        <v>71</v>
      </c>
      <c r="H1098" s="16" t="s">
        <v>31</v>
      </c>
      <c r="I1098" s="16"/>
      <c r="J1098" s="16" t="s">
        <v>27</v>
      </c>
      <c r="K1098" s="16" t="s">
        <v>5150</v>
      </c>
      <c r="L1098" s="16" t="s">
        <v>35</v>
      </c>
      <c r="M1098" s="17">
        <v>50</v>
      </c>
      <c r="N1098" s="23">
        <v>1.33</v>
      </c>
      <c r="O1098" s="16" t="s">
        <v>67</v>
      </c>
      <c r="P1098" s="16" t="s">
        <v>63</v>
      </c>
      <c r="Q1098" s="16" t="s">
        <v>29</v>
      </c>
      <c r="R1098" s="16" t="s">
        <v>5308</v>
      </c>
      <c r="S1098" s="12" t="s">
        <v>5038</v>
      </c>
      <c r="T1098" s="13">
        <v>46087</v>
      </c>
      <c r="U1098" s="19"/>
      <c r="V1098" s="53">
        <f>M1098-Z1098-AB1098-AD1098-AF1098-AH1098-AJ1098-AL1098-AN1098-AP1098-AR1098-AT1098-AV1098-AX1098-AZ1098-BB1098-BD1098-BF1098-BH1098-U1098</f>
        <v>-5.1000000000000014</v>
      </c>
      <c r="W1098" s="22" t="s">
        <v>5312</v>
      </c>
      <c r="X1098" s="16"/>
      <c r="Y1098" s="9"/>
      <c r="Z1098" s="19">
        <v>55.1</v>
      </c>
      <c r="AA1098" s="252">
        <v>46083</v>
      </c>
    </row>
    <row r="1099" spans="1:29" s="28" customFormat="1" ht="20.25" customHeight="1">
      <c r="A1099" s="11">
        <v>46073</v>
      </c>
      <c r="B1099" s="16" t="s">
        <v>5302</v>
      </c>
      <c r="C1099" s="16" t="s">
        <v>267</v>
      </c>
      <c r="D1099" s="16" t="s">
        <v>212</v>
      </c>
      <c r="E1099" s="16" t="s">
        <v>34</v>
      </c>
      <c r="F1099" s="16" t="s">
        <v>5307</v>
      </c>
      <c r="G1099" s="16" t="s">
        <v>71</v>
      </c>
      <c r="H1099" s="16" t="s">
        <v>31</v>
      </c>
      <c r="I1099" s="16"/>
      <c r="J1099" s="16" t="s">
        <v>27</v>
      </c>
      <c r="K1099" s="16" t="s">
        <v>5150</v>
      </c>
      <c r="L1099" s="16" t="s">
        <v>35</v>
      </c>
      <c r="M1099" s="17">
        <v>100</v>
      </c>
      <c r="N1099" s="23">
        <v>1.33</v>
      </c>
      <c r="O1099" s="16" t="s">
        <v>67</v>
      </c>
      <c r="P1099" s="16" t="s">
        <v>63</v>
      </c>
      <c r="Q1099" s="16" t="s">
        <v>29</v>
      </c>
      <c r="R1099" s="16" t="s">
        <v>4364</v>
      </c>
      <c r="S1099" s="12" t="s">
        <v>5038</v>
      </c>
      <c r="T1099" s="13">
        <v>46087</v>
      </c>
      <c r="U1099" s="19"/>
      <c r="V1099" s="53">
        <f>M1099-Z1099-AB1099-AD1099-AF1099-AH1099-AJ1099-AL1099-AN1099-AP1099-AR1099-AT1099-AV1099-AX1099-AZ1099-BB1099-BD1099-BF1099-BH1099-U1099</f>
        <v>-2.0999999999999943</v>
      </c>
      <c r="W1099" s="22" t="s">
        <v>5313</v>
      </c>
      <c r="X1099" s="16"/>
      <c r="Y1099" s="9"/>
      <c r="Z1099" s="19">
        <v>102.1</v>
      </c>
      <c r="AA1099" s="252">
        <v>46083</v>
      </c>
    </row>
    <row r="1100" spans="1:29" s="28" customFormat="1" ht="20.25" customHeight="1">
      <c r="A1100" s="11">
        <v>46073</v>
      </c>
      <c r="B1100" s="16" t="s">
        <v>5314</v>
      </c>
      <c r="C1100" s="16" t="s">
        <v>228</v>
      </c>
      <c r="D1100" s="16" t="s">
        <v>212</v>
      </c>
      <c r="E1100" s="16" t="s">
        <v>25</v>
      </c>
      <c r="F1100" s="16" t="s">
        <v>5316</v>
      </c>
      <c r="G1100" s="16" t="s">
        <v>71</v>
      </c>
      <c r="H1100" s="16" t="s">
        <v>31</v>
      </c>
      <c r="I1100" s="1"/>
      <c r="J1100" s="1" t="s">
        <v>27</v>
      </c>
      <c r="K1100" s="16" t="s">
        <v>2462</v>
      </c>
      <c r="L1100" s="1" t="s">
        <v>35</v>
      </c>
      <c r="M1100" s="17">
        <v>15</v>
      </c>
      <c r="N1100" s="6">
        <v>1.33</v>
      </c>
      <c r="O1100" s="1" t="s">
        <v>67</v>
      </c>
      <c r="P1100" s="1" t="s">
        <v>63</v>
      </c>
      <c r="Q1100" s="1" t="s">
        <v>263</v>
      </c>
      <c r="R1100" s="1" t="s">
        <v>1130</v>
      </c>
      <c r="S1100" s="121" t="s">
        <v>5038</v>
      </c>
      <c r="T1100" s="13">
        <v>46087</v>
      </c>
      <c r="U1100" s="19"/>
      <c r="V1100" s="53">
        <f>M1100-Z1100-AB1100-AD1100-AF1100-AH1100-AJ1100-AL1100-AN1100-AP1100-AR1100-AT1100-AV1100-AX1100-AZ1100-BB1100-BD1100-BF1100-BH1100-U1100</f>
        <v>-1</v>
      </c>
      <c r="W1100" s="22" t="s">
        <v>5318</v>
      </c>
      <c r="X1100" s="16" t="s">
        <v>5527</v>
      </c>
      <c r="Y1100" s="9"/>
      <c r="Z1100" s="19">
        <v>16</v>
      </c>
      <c r="AA1100" s="252">
        <v>46091</v>
      </c>
    </row>
    <row r="1101" spans="1:29" s="28" customFormat="1" ht="20.25" customHeight="1">
      <c r="A1101" s="11">
        <v>46073</v>
      </c>
      <c r="B1101" s="16" t="s">
        <v>5315</v>
      </c>
      <c r="C1101" s="16" t="s">
        <v>382</v>
      </c>
      <c r="D1101" s="16" t="s">
        <v>212</v>
      </c>
      <c r="E1101" s="16" t="s">
        <v>25</v>
      </c>
      <c r="F1101" s="16" t="s">
        <v>5317</v>
      </c>
      <c r="G1101" s="16" t="s">
        <v>71</v>
      </c>
      <c r="H1101" s="16" t="s">
        <v>31</v>
      </c>
      <c r="I1101" s="16"/>
      <c r="J1101" s="16" t="s">
        <v>27</v>
      </c>
      <c r="K1101" s="16" t="s">
        <v>239</v>
      </c>
      <c r="L1101" s="16" t="s">
        <v>35</v>
      </c>
      <c r="M1101" s="17">
        <v>1692.15</v>
      </c>
      <c r="N1101" s="23">
        <v>1.33</v>
      </c>
      <c r="O1101" s="16" t="s">
        <v>67</v>
      </c>
      <c r="P1101" s="16" t="s">
        <v>63</v>
      </c>
      <c r="Q1101" s="16" t="s">
        <v>4176</v>
      </c>
      <c r="R1101" s="16" t="s">
        <v>3929</v>
      </c>
      <c r="S1101" s="12" t="s">
        <v>5271</v>
      </c>
      <c r="T1101" s="13">
        <v>46094</v>
      </c>
      <c r="U1101" s="19"/>
      <c r="V1101" s="53">
        <f>M1101-Z1101-AB1101-AD1101-AF1101-AH1101-AJ1101-AL1101-AN1101-AP1101-AR1101-AT1101-AV1101-AX1101-AZ1101-BB1101-BD1101-BF1101-BH1101-U1101</f>
        <v>-0.54999999999995453</v>
      </c>
      <c r="W1101" s="22" t="s">
        <v>5319</v>
      </c>
      <c r="X1101" s="16"/>
      <c r="Y1101" s="9"/>
      <c r="Z1101" s="19">
        <v>1692.7</v>
      </c>
      <c r="AA1101" s="252">
        <v>46092</v>
      </c>
    </row>
    <row r="1102" spans="1:29" s="28" customFormat="1" ht="20.25" customHeight="1">
      <c r="A1102" s="11">
        <v>46076</v>
      </c>
      <c r="B1102" s="16" t="s">
        <v>5329</v>
      </c>
      <c r="C1102" s="16" t="s">
        <v>228</v>
      </c>
      <c r="D1102" s="16" t="s">
        <v>212</v>
      </c>
      <c r="E1102" s="16" t="s">
        <v>34</v>
      </c>
      <c r="F1102" s="16" t="s">
        <v>5330</v>
      </c>
      <c r="G1102" s="16" t="s">
        <v>71</v>
      </c>
      <c r="H1102" s="16" t="s">
        <v>31</v>
      </c>
      <c r="I1102" s="1"/>
      <c r="J1102" s="1" t="s">
        <v>27</v>
      </c>
      <c r="K1102" s="16" t="s">
        <v>218</v>
      </c>
      <c r="L1102" s="1" t="s">
        <v>35</v>
      </c>
      <c r="M1102" s="17">
        <v>80</v>
      </c>
      <c r="N1102" s="6">
        <v>1.33</v>
      </c>
      <c r="O1102" s="1" t="s">
        <v>67</v>
      </c>
      <c r="P1102" s="1" t="s">
        <v>63</v>
      </c>
      <c r="Q1102" s="1" t="s">
        <v>4508</v>
      </c>
      <c r="R1102" s="1" t="s">
        <v>5331</v>
      </c>
      <c r="S1102" s="121" t="s">
        <v>5270</v>
      </c>
      <c r="T1102" s="13">
        <v>46090</v>
      </c>
      <c r="U1102" s="19"/>
      <c r="V1102" s="53">
        <f>M1102-Z1102-AB1102-AD1102-AF1102-AH1102-AJ1102-AL1102-AN1102-AP1102-AR1102-AT1102-AV1102-AX1102-AZ1102-BB1102-BD1102-BF1102-BH1102-U1102</f>
        <v>-0.59999999999999432</v>
      </c>
      <c r="W1102" s="22" t="s">
        <v>5332</v>
      </c>
      <c r="X1102" s="16"/>
      <c r="Y1102" s="9"/>
      <c r="Z1102" s="19">
        <v>80.599999999999994</v>
      </c>
      <c r="AA1102" s="252">
        <v>46091</v>
      </c>
    </row>
    <row r="1103" spans="1:29" s="28" customFormat="1" ht="20.25" customHeight="1">
      <c r="A1103" s="11">
        <v>46076</v>
      </c>
      <c r="B1103" s="16" t="s">
        <v>5329</v>
      </c>
      <c r="C1103" s="16" t="s">
        <v>228</v>
      </c>
      <c r="D1103" s="16" t="s">
        <v>212</v>
      </c>
      <c r="E1103" s="16" t="s">
        <v>34</v>
      </c>
      <c r="F1103" s="16" t="s">
        <v>5330</v>
      </c>
      <c r="G1103" s="16" t="s">
        <v>71</v>
      </c>
      <c r="H1103" s="16" t="s">
        <v>31</v>
      </c>
      <c r="I1103" s="1"/>
      <c r="J1103" s="1" t="s">
        <v>27</v>
      </c>
      <c r="K1103" s="16" t="s">
        <v>1116</v>
      </c>
      <c r="L1103" s="1" t="s">
        <v>35</v>
      </c>
      <c r="M1103" s="17">
        <v>30</v>
      </c>
      <c r="N1103" s="6">
        <v>1.33</v>
      </c>
      <c r="O1103" s="1" t="s">
        <v>67</v>
      </c>
      <c r="P1103" s="1" t="s">
        <v>63</v>
      </c>
      <c r="Q1103" s="1" t="s">
        <v>263</v>
      </c>
      <c r="R1103" s="1" t="s">
        <v>1130</v>
      </c>
      <c r="S1103" s="121" t="s">
        <v>5270</v>
      </c>
      <c r="T1103" s="13">
        <v>46090</v>
      </c>
      <c r="U1103" s="19"/>
      <c r="V1103" s="53">
        <f>M1103-Z1103-AB1103-AD1103-AF1103-AH1103-AJ1103-AL1103-AN1103-AP1103-AR1103-AT1103-AV1103-AX1103-AZ1103-BB1103-BD1103-BF1103-BH1103-U1103</f>
        <v>-0.89999999999999858</v>
      </c>
      <c r="W1103" s="22" t="s">
        <v>5333</v>
      </c>
      <c r="X1103" s="16" t="s">
        <v>5527</v>
      </c>
      <c r="Y1103" s="9"/>
      <c r="Z1103" s="19">
        <v>30.9</v>
      </c>
      <c r="AA1103" s="252">
        <v>46091</v>
      </c>
    </row>
    <row r="1104" spans="1:29" s="28" customFormat="1" ht="20.25" customHeight="1">
      <c r="A1104" s="11">
        <v>46076</v>
      </c>
      <c r="B1104" s="16" t="s">
        <v>5329</v>
      </c>
      <c r="C1104" s="16" t="s">
        <v>228</v>
      </c>
      <c r="D1104" s="16" t="s">
        <v>212</v>
      </c>
      <c r="E1104" s="16" t="s">
        <v>34</v>
      </c>
      <c r="F1104" s="16" t="s">
        <v>5330</v>
      </c>
      <c r="G1104" s="16" t="s">
        <v>71</v>
      </c>
      <c r="H1104" s="16" t="s">
        <v>31</v>
      </c>
      <c r="I1104" s="1"/>
      <c r="J1104" s="1" t="s">
        <v>27</v>
      </c>
      <c r="K1104" s="16" t="s">
        <v>483</v>
      </c>
      <c r="L1104" s="1" t="s">
        <v>35</v>
      </c>
      <c r="M1104" s="17">
        <v>73</v>
      </c>
      <c r="N1104" s="6">
        <v>1.33</v>
      </c>
      <c r="O1104" s="1" t="s">
        <v>67</v>
      </c>
      <c r="P1104" s="1" t="s">
        <v>63</v>
      </c>
      <c r="Q1104" s="1" t="s">
        <v>470</v>
      </c>
      <c r="R1104" s="1" t="s">
        <v>235</v>
      </c>
      <c r="S1104" s="121" t="s">
        <v>5270</v>
      </c>
      <c r="T1104" s="13">
        <v>46090</v>
      </c>
      <c r="U1104" s="19"/>
      <c r="V1104" s="53">
        <f>M1104-Z1104-AB1104-AD1104-AF1104-AH1104-AJ1104-AL1104-AN1104-AP1104-AR1104-AT1104-AV1104-AX1104-AZ1104-BB1104-BD1104-BF1104-BH1104-U1104</f>
        <v>-1.5</v>
      </c>
      <c r="W1104" s="22" t="s">
        <v>5334</v>
      </c>
      <c r="X1104" s="16"/>
      <c r="Y1104" s="9"/>
      <c r="Z1104" s="19">
        <v>74.5</v>
      </c>
      <c r="AA1104" s="252">
        <v>46091</v>
      </c>
    </row>
    <row r="1105" spans="1:29" s="28" customFormat="1" ht="20.25" customHeight="1">
      <c r="A1105" s="11">
        <v>46077</v>
      </c>
      <c r="B1105" s="16" t="s">
        <v>5362</v>
      </c>
      <c r="C1105" s="16" t="s">
        <v>382</v>
      </c>
      <c r="D1105" s="16" t="s">
        <v>212</v>
      </c>
      <c r="E1105" s="16" t="s">
        <v>25</v>
      </c>
      <c r="F1105" s="16" t="s">
        <v>5366</v>
      </c>
      <c r="G1105" s="16" t="s">
        <v>71</v>
      </c>
      <c r="H1105" s="16" t="s">
        <v>31</v>
      </c>
      <c r="I1105" s="16"/>
      <c r="J1105" s="16" t="s">
        <v>27</v>
      </c>
      <c r="K1105" s="16" t="s">
        <v>3646</v>
      </c>
      <c r="L1105" s="16" t="s">
        <v>35</v>
      </c>
      <c r="M1105" s="17">
        <v>61.9</v>
      </c>
      <c r="N1105" s="23">
        <v>1.33</v>
      </c>
      <c r="O1105" s="16" t="s">
        <v>67</v>
      </c>
      <c r="P1105" s="16" t="s">
        <v>63</v>
      </c>
      <c r="Q1105" s="16" t="s">
        <v>5368</v>
      </c>
      <c r="R1105" s="16" t="s">
        <v>4010</v>
      </c>
      <c r="S1105" s="12" t="s">
        <v>5369</v>
      </c>
      <c r="T1105" s="13">
        <v>46091</v>
      </c>
      <c r="U1105" s="19"/>
      <c r="V1105" s="53">
        <f>M1105-Z1105-AB1105-AD1105-AF1105-AH1105-AJ1105-AL1105-AN1105-AP1105-AR1105-AT1105-AV1105-AX1105-AZ1105-BB1105-BD1105-BF1105-BH1105-U1105</f>
        <v>-1.3000000000000043</v>
      </c>
      <c r="W1105" s="22" t="s">
        <v>5370</v>
      </c>
      <c r="X1105" s="16" t="s">
        <v>29</v>
      </c>
      <c r="Y1105" s="9"/>
      <c r="Z1105" s="9">
        <v>63.2</v>
      </c>
      <c r="AA1105" s="252">
        <v>46079</v>
      </c>
    </row>
    <row r="1106" spans="1:29" s="28" customFormat="1" ht="20.25" customHeight="1">
      <c r="A1106" s="11">
        <v>46077</v>
      </c>
      <c r="B1106" s="16" t="s">
        <v>5363</v>
      </c>
      <c r="C1106" s="16" t="s">
        <v>438</v>
      </c>
      <c r="D1106" s="16" t="s">
        <v>212</v>
      </c>
      <c r="E1106" s="16" t="s">
        <v>25</v>
      </c>
      <c r="F1106" s="16">
        <v>4004363259</v>
      </c>
      <c r="G1106" s="16" t="s">
        <v>71</v>
      </c>
      <c r="H1106" s="16" t="s">
        <v>26</v>
      </c>
      <c r="I1106" s="16"/>
      <c r="J1106" s="16" t="s">
        <v>27</v>
      </c>
      <c r="K1106" s="16" t="s">
        <v>239</v>
      </c>
      <c r="L1106" s="16" t="s">
        <v>35</v>
      </c>
      <c r="M1106" s="17">
        <v>1282</v>
      </c>
      <c r="N1106" s="23">
        <v>1.33</v>
      </c>
      <c r="O1106" s="16" t="s">
        <v>67</v>
      </c>
      <c r="P1106" s="16" t="s">
        <v>63</v>
      </c>
      <c r="Q1106" s="16" t="s">
        <v>29</v>
      </c>
      <c r="R1106" s="16" t="s">
        <v>29</v>
      </c>
      <c r="S1106" s="12" t="s">
        <v>5271</v>
      </c>
      <c r="T1106" s="13">
        <v>46111</v>
      </c>
      <c r="U1106" s="19"/>
      <c r="V1106" s="53">
        <f>M1106-Z1106-AB1106-AD1106-AF1106-AH1106-AJ1106-AL1106-AN1106-AP1106-AR1106-AT1106-AV1106-AX1106-AZ1106-BB1106-BD1106-BF1106-BH1106-U1106</f>
        <v>-0.29999999999995453</v>
      </c>
      <c r="W1106" s="22" t="s">
        <v>5371</v>
      </c>
      <c r="X1106" s="16" t="s">
        <v>914</v>
      </c>
      <c r="Y1106" s="9"/>
      <c r="Z1106" s="19">
        <v>1282.3</v>
      </c>
      <c r="AA1106" s="252">
        <v>46113</v>
      </c>
    </row>
    <row r="1107" spans="1:29" s="28" customFormat="1" ht="20.25" customHeight="1">
      <c r="A1107" s="11">
        <v>46077</v>
      </c>
      <c r="B1107" s="16" t="s">
        <v>5364</v>
      </c>
      <c r="C1107" s="16" t="s">
        <v>438</v>
      </c>
      <c r="D1107" s="16" t="s">
        <v>212</v>
      </c>
      <c r="E1107" s="16" t="s">
        <v>25</v>
      </c>
      <c r="F1107" s="16" t="s">
        <v>5367</v>
      </c>
      <c r="G1107" s="16" t="s">
        <v>71</v>
      </c>
      <c r="H1107" s="16" t="s">
        <v>31</v>
      </c>
      <c r="I1107" s="16"/>
      <c r="J1107" s="16" t="s">
        <v>27</v>
      </c>
      <c r="K1107" s="16" t="s">
        <v>683</v>
      </c>
      <c r="L1107" s="16" t="s">
        <v>35</v>
      </c>
      <c r="M1107" s="17">
        <v>70</v>
      </c>
      <c r="N1107" s="23">
        <v>1.33</v>
      </c>
      <c r="O1107" s="16" t="s">
        <v>67</v>
      </c>
      <c r="P1107" s="16" t="s">
        <v>63</v>
      </c>
      <c r="Q1107" s="16" t="s">
        <v>29</v>
      </c>
      <c r="R1107" s="16" t="s">
        <v>29</v>
      </c>
      <c r="S1107" s="12" t="s">
        <v>5271</v>
      </c>
      <c r="T1107" s="13">
        <v>46111</v>
      </c>
      <c r="U1107" s="19"/>
      <c r="V1107" s="53">
        <f>M1107-Z1107-AB1107-AD1107-AF1107-AH1107-AJ1107-AL1107-AN1107-AP1107-AR1107-AT1107-AV1107-AX1107-AZ1107-BB1107-BD1107-BF1107-BH1107-U1107</f>
        <v>-1.2999999999999972</v>
      </c>
      <c r="W1107" s="22" t="s">
        <v>5372</v>
      </c>
      <c r="X1107" s="16" t="s">
        <v>1537</v>
      </c>
      <c r="Y1107" s="9"/>
      <c r="Z1107" s="19">
        <v>71.3</v>
      </c>
      <c r="AA1107" s="252">
        <v>46113</v>
      </c>
    </row>
    <row r="1108" spans="1:29" s="28" customFormat="1" ht="20.25" customHeight="1">
      <c r="A1108" s="11">
        <v>46077</v>
      </c>
      <c r="B1108" s="16" t="s">
        <v>5364</v>
      </c>
      <c r="C1108" s="16" t="s">
        <v>438</v>
      </c>
      <c r="D1108" s="16" t="s">
        <v>212</v>
      </c>
      <c r="E1108" s="16" t="s">
        <v>25</v>
      </c>
      <c r="F1108" s="16">
        <v>4004361064</v>
      </c>
      <c r="G1108" s="16" t="s">
        <v>71</v>
      </c>
      <c r="H1108" s="16" t="s">
        <v>31</v>
      </c>
      <c r="I1108" s="16"/>
      <c r="J1108" s="16" t="s">
        <v>27</v>
      </c>
      <c r="K1108" s="16" t="s">
        <v>683</v>
      </c>
      <c r="L1108" s="16" t="s">
        <v>35</v>
      </c>
      <c r="M1108" s="17">
        <v>286</v>
      </c>
      <c r="N1108" s="23">
        <v>1.33</v>
      </c>
      <c r="O1108" s="16" t="s">
        <v>67</v>
      </c>
      <c r="P1108" s="16" t="s">
        <v>63</v>
      </c>
      <c r="Q1108" s="16" t="s">
        <v>29</v>
      </c>
      <c r="R1108" s="16" t="s">
        <v>29</v>
      </c>
      <c r="S1108" s="12" t="s">
        <v>5271</v>
      </c>
      <c r="T1108" s="13">
        <v>46111</v>
      </c>
      <c r="U1108" s="19"/>
      <c r="V1108" s="53">
        <f>M1108-Z1108-AB1108-AD1108-AF1108-AH1108-AJ1108-AL1108-AN1108-AP1108-AR1108-AT1108-AV1108-AX1108-AZ1108-BB1108-BD1108-BF1108-BH1108-U1108</f>
        <v>-0.80000000000001137</v>
      </c>
      <c r="W1108" s="22" t="s">
        <v>5373</v>
      </c>
      <c r="X1108" s="16" t="s">
        <v>5376</v>
      </c>
      <c r="Y1108" s="9"/>
      <c r="Z1108" s="19">
        <v>286.8</v>
      </c>
      <c r="AA1108" s="252">
        <v>46113</v>
      </c>
    </row>
    <row r="1109" spans="1:29" s="28" customFormat="1" ht="20.25" customHeight="1">
      <c r="A1109" s="11">
        <v>46077</v>
      </c>
      <c r="B1109" s="16" t="s">
        <v>5364</v>
      </c>
      <c r="C1109" s="16" t="s">
        <v>438</v>
      </c>
      <c r="D1109" s="16" t="s">
        <v>212</v>
      </c>
      <c r="E1109" s="16" t="s">
        <v>25</v>
      </c>
      <c r="F1109" s="16" t="s">
        <v>5367</v>
      </c>
      <c r="G1109" s="16" t="s">
        <v>71</v>
      </c>
      <c r="H1109" s="16" t="s">
        <v>31</v>
      </c>
      <c r="I1109" s="16"/>
      <c r="J1109" s="16" t="s">
        <v>27</v>
      </c>
      <c r="K1109" s="16" t="s">
        <v>683</v>
      </c>
      <c r="L1109" s="16" t="s">
        <v>35</v>
      </c>
      <c r="M1109" s="17">
        <v>20</v>
      </c>
      <c r="N1109" s="23">
        <v>1.33</v>
      </c>
      <c r="O1109" s="16" t="s">
        <v>67</v>
      </c>
      <c r="P1109" s="16" t="s">
        <v>63</v>
      </c>
      <c r="Q1109" s="16" t="s">
        <v>29</v>
      </c>
      <c r="R1109" s="16" t="s">
        <v>29</v>
      </c>
      <c r="S1109" s="12" t="s">
        <v>5271</v>
      </c>
      <c r="T1109" s="13">
        <v>46111</v>
      </c>
      <c r="U1109" s="19"/>
      <c r="V1109" s="53">
        <f>M1109-Z1109-AB1109-AD1109-AF1109-AH1109-AJ1109-AL1109-AN1109-AP1109-AR1109-AT1109-AV1109-AX1109-AZ1109-BB1109-BD1109-BF1109-BH1109-U1109</f>
        <v>-2.8999999999999986</v>
      </c>
      <c r="W1109" s="22" t="s">
        <v>5374</v>
      </c>
      <c r="X1109" s="16" t="s">
        <v>5377</v>
      </c>
      <c r="Y1109" s="9"/>
      <c r="Z1109" s="19">
        <v>22.9</v>
      </c>
      <c r="AA1109" s="252">
        <v>46113</v>
      </c>
    </row>
    <row r="1110" spans="1:29" s="28" customFormat="1" ht="20.25" customHeight="1">
      <c r="A1110" s="11">
        <v>46077</v>
      </c>
      <c r="B1110" s="16" t="s">
        <v>5365</v>
      </c>
      <c r="C1110" s="16" t="s">
        <v>438</v>
      </c>
      <c r="D1110" s="16" t="s">
        <v>212</v>
      </c>
      <c r="E1110" s="16" t="s">
        <v>25</v>
      </c>
      <c r="F1110" s="16">
        <v>4004361468</v>
      </c>
      <c r="G1110" s="16" t="s">
        <v>71</v>
      </c>
      <c r="H1110" s="16" t="s">
        <v>26</v>
      </c>
      <c r="I1110" s="16"/>
      <c r="J1110" s="16" t="s">
        <v>27</v>
      </c>
      <c r="K1110" s="16" t="s">
        <v>683</v>
      </c>
      <c r="L1110" s="16" t="s">
        <v>35</v>
      </c>
      <c r="M1110" s="17">
        <v>872</v>
      </c>
      <c r="N1110" s="23">
        <v>1.33</v>
      </c>
      <c r="O1110" s="16" t="s">
        <v>67</v>
      </c>
      <c r="P1110" s="16" t="s">
        <v>63</v>
      </c>
      <c r="Q1110" s="16" t="s">
        <v>29</v>
      </c>
      <c r="R1110" s="16" t="s">
        <v>29</v>
      </c>
      <c r="S1110" s="12" t="s">
        <v>5271</v>
      </c>
      <c r="T1110" s="13">
        <v>46111</v>
      </c>
      <c r="U1110" s="19"/>
      <c r="V1110" s="324">
        <f>M1110-Z1110-AB1110-AD1110-AF1110-AH1110-AJ1110-AL1110-AN1110-AP1110-AR1110-AT1110-AV1110-AX1110-AZ1110-BB1110-BD1110-BF1110-BH1110-U1110</f>
        <v>-2.2999999999999545</v>
      </c>
      <c r="W1110" s="22" t="s">
        <v>5375</v>
      </c>
      <c r="X1110" s="16" t="s">
        <v>914</v>
      </c>
      <c r="Y1110" s="9"/>
      <c r="Z1110" s="19">
        <f>135+739.3</f>
        <v>874.3</v>
      </c>
      <c r="AA1110" s="252">
        <v>46113</v>
      </c>
    </row>
    <row r="1111" spans="1:29" s="28" customFormat="1" ht="20.25" customHeight="1">
      <c r="A1111" s="11">
        <v>46078</v>
      </c>
      <c r="B1111" s="16" t="s">
        <v>5404</v>
      </c>
      <c r="C1111" s="16" t="s">
        <v>228</v>
      </c>
      <c r="D1111" s="16" t="s">
        <v>212</v>
      </c>
      <c r="E1111" s="16" t="s">
        <v>25</v>
      </c>
      <c r="F1111" s="16" t="s">
        <v>5405</v>
      </c>
      <c r="G1111" s="16" t="s">
        <v>71</v>
      </c>
      <c r="H1111" s="16" t="s">
        <v>31</v>
      </c>
      <c r="I1111" s="1"/>
      <c r="J1111" s="1" t="s">
        <v>27</v>
      </c>
      <c r="K1111" s="16" t="s">
        <v>239</v>
      </c>
      <c r="L1111" s="1" t="s">
        <v>35</v>
      </c>
      <c r="M1111" s="17">
        <v>74</v>
      </c>
      <c r="N1111" s="6">
        <v>1.33</v>
      </c>
      <c r="O1111" s="1" t="s">
        <v>67</v>
      </c>
      <c r="P1111" s="1" t="s">
        <v>63</v>
      </c>
      <c r="Q1111" s="1" t="s">
        <v>1226</v>
      </c>
      <c r="R1111" s="1" t="s">
        <v>5331</v>
      </c>
      <c r="S1111" s="121" t="s">
        <v>5406</v>
      </c>
      <c r="T1111" s="13">
        <v>46092</v>
      </c>
      <c r="U1111" s="19"/>
      <c r="V1111" s="53">
        <f>M1111-Z1111-AB1111-AD1111-AF1111-AH1111-AJ1111-AL1111-AN1111-AP1111-AR1111-AT1111-AV1111-AX1111-AZ1111-BB1111-BD1111-BF1111-BH1111-U1111</f>
        <v>-1.5999999999999943</v>
      </c>
      <c r="W1111" s="22" t="s">
        <v>5407</v>
      </c>
      <c r="X1111" s="16"/>
      <c r="Y1111" s="9"/>
      <c r="Z1111" s="19">
        <v>75.599999999999994</v>
      </c>
      <c r="AA1111" s="252">
        <v>46091</v>
      </c>
    </row>
    <row r="1112" spans="1:29" s="28" customFormat="1" ht="20.25" customHeight="1">
      <c r="A1112" s="11">
        <v>46078</v>
      </c>
      <c r="B1112" s="16" t="s">
        <v>5408</v>
      </c>
      <c r="C1112" s="16" t="s">
        <v>267</v>
      </c>
      <c r="D1112" s="16" t="s">
        <v>212</v>
      </c>
      <c r="E1112" s="16" t="s">
        <v>25</v>
      </c>
      <c r="F1112" s="16" t="s">
        <v>5409</v>
      </c>
      <c r="G1112" s="16" t="s">
        <v>71</v>
      </c>
      <c r="H1112" s="16" t="s">
        <v>31</v>
      </c>
      <c r="I1112" s="16"/>
      <c r="J1112" s="16" t="s">
        <v>27</v>
      </c>
      <c r="K1112" s="16" t="s">
        <v>975</v>
      </c>
      <c r="L1112" s="16" t="s">
        <v>35</v>
      </c>
      <c r="M1112" s="17">
        <v>240</v>
      </c>
      <c r="N1112" s="23">
        <v>1.33</v>
      </c>
      <c r="O1112" s="16" t="s">
        <v>67</v>
      </c>
      <c r="P1112" s="16" t="s">
        <v>63</v>
      </c>
      <c r="Q1112" s="16" t="s">
        <v>29</v>
      </c>
      <c r="R1112" s="16" t="s">
        <v>5411</v>
      </c>
      <c r="S1112" s="12" t="s">
        <v>5410</v>
      </c>
      <c r="T1112" s="13">
        <v>46104</v>
      </c>
      <c r="U1112" s="19"/>
      <c r="V1112" s="53">
        <f>M1112-Z1112-AB1112-AD1112-AF1112-AH1112-AJ1112-AL1112-AN1112-AP1112-AR1112-AT1112-AV1112-AX1112-AZ1112-BB1112-BD1112-BF1112-BH1112-U1112</f>
        <v>-2</v>
      </c>
      <c r="W1112" s="22" t="s">
        <v>5412</v>
      </c>
      <c r="X1112" s="16" t="s">
        <v>5445</v>
      </c>
      <c r="Y1112" s="9"/>
      <c r="Z1112" s="19">
        <v>242</v>
      </c>
      <c r="AA1112" s="252">
        <v>46111</v>
      </c>
    </row>
    <row r="1113" spans="1:29" s="28" customFormat="1" ht="20.25" customHeight="1">
      <c r="A1113" s="11">
        <v>46079</v>
      </c>
      <c r="B1113" s="16" t="s">
        <v>5424</v>
      </c>
      <c r="C1113" s="16" t="s">
        <v>438</v>
      </c>
      <c r="D1113" s="16" t="s">
        <v>212</v>
      </c>
      <c r="E1113" s="16" t="s">
        <v>25</v>
      </c>
      <c r="F1113" s="16">
        <v>4004365389</v>
      </c>
      <c r="G1113" s="16" t="s">
        <v>71</v>
      </c>
      <c r="H1113" s="16" t="s">
        <v>31</v>
      </c>
      <c r="I1113" s="16"/>
      <c r="J1113" s="16" t="s">
        <v>27</v>
      </c>
      <c r="K1113" s="16" t="s">
        <v>1093</v>
      </c>
      <c r="L1113" s="16" t="s">
        <v>35</v>
      </c>
      <c r="M1113" s="17">
        <v>253</v>
      </c>
      <c r="N1113" s="23">
        <v>1.33</v>
      </c>
      <c r="O1113" s="16" t="s">
        <v>67</v>
      </c>
      <c r="P1113" s="16" t="s">
        <v>63</v>
      </c>
      <c r="Q1113" s="16" t="s">
        <v>29</v>
      </c>
      <c r="R1113" s="16" t="s">
        <v>29</v>
      </c>
      <c r="S1113" s="12" t="s">
        <v>5438</v>
      </c>
      <c r="T1113" s="13">
        <v>46111</v>
      </c>
      <c r="U1113" s="19"/>
      <c r="V1113" s="53">
        <f>M1113-Z1113-AB1113-AD1113-AF1113-AH1113-AJ1113-AL1113-AN1113-AP1113-AR1113-AT1113-AV1113-AX1113-AZ1113-BB1113-BD1113-BF1113-BH1113-U1113</f>
        <v>-5.1999999999999886</v>
      </c>
      <c r="W1113" s="22" t="s">
        <v>5439</v>
      </c>
      <c r="X1113" s="16" t="s">
        <v>5444</v>
      </c>
      <c r="Y1113" s="9"/>
      <c r="Z1113" s="19">
        <v>217.2</v>
      </c>
      <c r="AA1113" s="252">
        <v>46118</v>
      </c>
      <c r="AB1113" s="19">
        <v>41</v>
      </c>
      <c r="AC1113" s="252">
        <v>46121</v>
      </c>
    </row>
    <row r="1114" spans="1:29" s="28" customFormat="1" ht="20.25" customHeight="1">
      <c r="A1114" s="11">
        <v>46079</v>
      </c>
      <c r="B1114" s="16" t="s">
        <v>5425</v>
      </c>
      <c r="C1114" s="16" t="s">
        <v>267</v>
      </c>
      <c r="D1114" s="16" t="s">
        <v>212</v>
      </c>
      <c r="E1114" s="16" t="s">
        <v>25</v>
      </c>
      <c r="F1114" s="16" t="s">
        <v>5429</v>
      </c>
      <c r="G1114" s="16" t="s">
        <v>71</v>
      </c>
      <c r="H1114" s="16" t="s">
        <v>26</v>
      </c>
      <c r="I1114" s="16"/>
      <c r="J1114" s="16" t="s">
        <v>27</v>
      </c>
      <c r="K1114" s="16" t="s">
        <v>1082</v>
      </c>
      <c r="L1114" s="16" t="s">
        <v>35</v>
      </c>
      <c r="M1114" s="17">
        <v>810</v>
      </c>
      <c r="N1114" s="23">
        <v>1.33</v>
      </c>
      <c r="O1114" s="16" t="s">
        <v>67</v>
      </c>
      <c r="P1114" s="16" t="s">
        <v>63</v>
      </c>
      <c r="Q1114" s="16" t="s">
        <v>29</v>
      </c>
      <c r="R1114" s="16" t="s">
        <v>5434</v>
      </c>
      <c r="S1114" s="12" t="s">
        <v>5438</v>
      </c>
      <c r="T1114" s="13">
        <v>46111</v>
      </c>
      <c r="U1114" s="19"/>
      <c r="V1114" s="53">
        <f>M1114-Z1114-AB1114-AD1114-AF1114-AH1114-AJ1114-AL1114-AN1114-AP1114-AR1114-AT1114-AV1114-AX1114-AZ1114-BB1114-BD1114-BF1114-BH1114-U1114</f>
        <v>-2.2999999999999545</v>
      </c>
      <c r="W1114" s="22" t="s">
        <v>5440</v>
      </c>
      <c r="X1114" s="16" t="s">
        <v>29</v>
      </c>
      <c r="Y1114" s="9"/>
      <c r="Z1114" s="19">
        <v>812.3</v>
      </c>
      <c r="AA1114" s="252">
        <v>46121</v>
      </c>
    </row>
    <row r="1115" spans="1:29" s="28" customFormat="1" ht="20.25" customHeight="1">
      <c r="A1115" s="11">
        <v>46079</v>
      </c>
      <c r="B1115" s="16" t="s">
        <v>5426</v>
      </c>
      <c r="C1115" s="16" t="s">
        <v>267</v>
      </c>
      <c r="D1115" s="16" t="s">
        <v>212</v>
      </c>
      <c r="E1115" s="16" t="s">
        <v>25</v>
      </c>
      <c r="F1115" s="16" t="s">
        <v>5430</v>
      </c>
      <c r="G1115" s="16" t="s">
        <v>71</v>
      </c>
      <c r="H1115" s="16" t="s">
        <v>26</v>
      </c>
      <c r="I1115" s="16"/>
      <c r="J1115" s="16" t="s">
        <v>27</v>
      </c>
      <c r="K1115" s="16" t="s">
        <v>5433</v>
      </c>
      <c r="L1115" s="16" t="s">
        <v>35</v>
      </c>
      <c r="M1115" s="17">
        <v>1210</v>
      </c>
      <c r="N1115" s="23">
        <v>1.33</v>
      </c>
      <c r="O1115" s="16" t="s">
        <v>67</v>
      </c>
      <c r="P1115" s="16" t="s">
        <v>63</v>
      </c>
      <c r="Q1115" s="16" t="s">
        <v>29</v>
      </c>
      <c r="R1115" s="16" t="s">
        <v>5434</v>
      </c>
      <c r="S1115" s="12" t="s">
        <v>5438</v>
      </c>
      <c r="T1115" s="13">
        <v>46111</v>
      </c>
      <c r="U1115" s="19"/>
      <c r="V1115" s="53">
        <f>M1115-Z1115-AB1115-AD1115-AF1115-AH1115-AJ1115-AL1115-AN1115-AP1115-AR1115-AT1115-AV1115-AX1115-AZ1115-BB1115-BD1115-BF1115-BH1115-U1115</f>
        <v>-4.5999999999999091</v>
      </c>
      <c r="W1115" s="22" t="s">
        <v>5441</v>
      </c>
      <c r="X1115" s="16" t="s">
        <v>29</v>
      </c>
      <c r="Y1115" s="9"/>
      <c r="Z1115" s="19">
        <v>1214.5999999999999</v>
      </c>
      <c r="AA1115" s="252">
        <v>46121</v>
      </c>
    </row>
    <row r="1116" spans="1:29" s="28" customFormat="1" ht="20.25" customHeight="1">
      <c r="A1116" s="11">
        <v>46079</v>
      </c>
      <c r="B1116" s="16" t="s">
        <v>5427</v>
      </c>
      <c r="C1116" s="16" t="s">
        <v>228</v>
      </c>
      <c r="D1116" s="16" t="s">
        <v>212</v>
      </c>
      <c r="E1116" s="16" t="s">
        <v>25</v>
      </c>
      <c r="F1116" s="16" t="s">
        <v>5431</v>
      </c>
      <c r="G1116" s="16" t="s">
        <v>71</v>
      </c>
      <c r="H1116" s="16" t="s">
        <v>31</v>
      </c>
      <c r="I1116" s="1"/>
      <c r="J1116" s="1" t="s">
        <v>27</v>
      </c>
      <c r="K1116" s="16" t="s">
        <v>1116</v>
      </c>
      <c r="L1116" s="1" t="s">
        <v>35</v>
      </c>
      <c r="M1116" s="17">
        <v>2568.16</v>
      </c>
      <c r="N1116" s="23">
        <v>1.33</v>
      </c>
      <c r="O1116" s="16" t="s">
        <v>67</v>
      </c>
      <c r="P1116" s="16" t="s">
        <v>63</v>
      </c>
      <c r="Q1116" s="16" t="s">
        <v>5435</v>
      </c>
      <c r="R1116" s="16" t="s">
        <v>5436</v>
      </c>
      <c r="S1116" s="12" t="s">
        <v>5438</v>
      </c>
      <c r="T1116" s="13">
        <v>46111</v>
      </c>
      <c r="U1116" s="19"/>
      <c r="V1116" s="55">
        <f>M1116-Z1116-AB1116-AD1116-AF1116-AH1116-AJ1116-AL1116-AN1116-AP1116-AR1116-AT1116-AV1116-AX1116-AZ1116-BB1116-BD1116-BF1116-BH1116-U1116</f>
        <v>-0.14000000000032742</v>
      </c>
      <c r="W1116" s="22" t="s">
        <v>5442</v>
      </c>
      <c r="X1116" s="16" t="s">
        <v>29</v>
      </c>
      <c r="Y1116" s="9"/>
      <c r="Z1116" s="19">
        <f>2038.5+529.8</f>
        <v>2568.3000000000002</v>
      </c>
      <c r="AA1116" s="252">
        <v>46113</v>
      </c>
    </row>
    <row r="1117" spans="1:29" s="28" customFormat="1" ht="20.25" customHeight="1">
      <c r="A1117" s="11">
        <v>46079</v>
      </c>
      <c r="B1117" s="16" t="s">
        <v>5428</v>
      </c>
      <c r="C1117" s="16" t="s">
        <v>535</v>
      </c>
      <c r="D1117" s="16" t="s">
        <v>212</v>
      </c>
      <c r="E1117" s="16" t="s">
        <v>25</v>
      </c>
      <c r="F1117" s="16" t="s">
        <v>5432</v>
      </c>
      <c r="G1117" s="16" t="s">
        <v>71</v>
      </c>
      <c r="H1117" s="16" t="s">
        <v>31</v>
      </c>
      <c r="I1117" s="16"/>
      <c r="J1117" s="16" t="s">
        <v>27</v>
      </c>
      <c r="K1117" s="16" t="s">
        <v>3684</v>
      </c>
      <c r="L1117" s="16" t="s">
        <v>35</v>
      </c>
      <c r="M1117" s="17">
        <v>208</v>
      </c>
      <c r="N1117" s="23">
        <v>1.33</v>
      </c>
      <c r="O1117" s="16" t="s">
        <v>67</v>
      </c>
      <c r="P1117" s="16" t="s">
        <v>63</v>
      </c>
      <c r="Q1117" s="16" t="s">
        <v>5437</v>
      </c>
      <c r="R1117" s="16" t="s">
        <v>29</v>
      </c>
      <c r="S1117" s="12" t="s">
        <v>5005</v>
      </c>
      <c r="T1117" s="13">
        <v>46093</v>
      </c>
      <c r="U1117" s="19"/>
      <c r="V1117" s="53">
        <f>M1117-Z1117-AB1117-AD1117-AF1117-AH1117-AJ1117-AL1117-AN1117-AP1117-AR1117-AT1117-AV1117-AX1117-AZ1117-BB1117-BD1117-BF1117-BH1117-U1117</f>
        <v>-0.30000000000001137</v>
      </c>
      <c r="W1117" s="22" t="s">
        <v>5443</v>
      </c>
      <c r="X1117" s="16" t="s">
        <v>29</v>
      </c>
      <c r="Y1117" s="9"/>
      <c r="Z1117" s="19">
        <v>208.3</v>
      </c>
      <c r="AA1117" s="252">
        <v>46091</v>
      </c>
    </row>
    <row r="1118" spans="1:29" s="28" customFormat="1" ht="20.25" customHeight="1">
      <c r="A1118" s="11">
        <v>46080</v>
      </c>
      <c r="B1118" s="16" t="s">
        <v>5450</v>
      </c>
      <c r="C1118" s="16" t="s">
        <v>267</v>
      </c>
      <c r="D1118" s="16" t="s">
        <v>212</v>
      </c>
      <c r="E1118" s="16" t="s">
        <v>25</v>
      </c>
      <c r="F1118" s="16" t="s">
        <v>5455</v>
      </c>
      <c r="G1118" s="16" t="s">
        <v>71</v>
      </c>
      <c r="H1118" s="16" t="s">
        <v>26</v>
      </c>
      <c r="I1118" s="16"/>
      <c r="J1118" s="16" t="s">
        <v>27</v>
      </c>
      <c r="K1118" s="16" t="s">
        <v>239</v>
      </c>
      <c r="L1118" s="16" t="s">
        <v>35</v>
      </c>
      <c r="M1118" s="17">
        <v>50</v>
      </c>
      <c r="N1118" s="23">
        <v>1.33</v>
      </c>
      <c r="O1118" s="16" t="s">
        <v>67</v>
      </c>
      <c r="P1118" s="16" t="s">
        <v>63</v>
      </c>
      <c r="Q1118" s="16" t="s">
        <v>29</v>
      </c>
      <c r="R1118" s="16" t="s">
        <v>4498</v>
      </c>
      <c r="S1118" s="12" t="s">
        <v>5271</v>
      </c>
      <c r="T1118" s="13">
        <v>46094</v>
      </c>
      <c r="U1118" s="19"/>
      <c r="V1118" s="53">
        <f>M1118-Z1118-AB1118-AD1118-AF1118-AH1118-AJ1118-AL1118-AN1118-AP1118-AR1118-AT1118-AV1118-AX1118-AZ1118-BB1118-BD1118-BF1118-BH1118-U1118</f>
        <v>-4</v>
      </c>
      <c r="W1118" s="22" t="s">
        <v>5462</v>
      </c>
      <c r="X1118" s="16"/>
      <c r="Y1118" s="9"/>
      <c r="Z1118" s="19">
        <v>54</v>
      </c>
      <c r="AA1118" s="252">
        <v>46091</v>
      </c>
    </row>
    <row r="1119" spans="1:29" s="28" customFormat="1" ht="20.25" customHeight="1">
      <c r="A1119" s="11">
        <v>46080</v>
      </c>
      <c r="B1119" s="16" t="s">
        <v>5451</v>
      </c>
      <c r="C1119" s="16" t="s">
        <v>228</v>
      </c>
      <c r="D1119" s="16" t="s">
        <v>212</v>
      </c>
      <c r="E1119" s="16" t="s">
        <v>25</v>
      </c>
      <c r="F1119" s="16" t="s">
        <v>5456</v>
      </c>
      <c r="G1119" s="16" t="s">
        <v>71</v>
      </c>
      <c r="H1119" s="16" t="s">
        <v>31</v>
      </c>
      <c r="I1119" s="1"/>
      <c r="J1119" s="1" t="s">
        <v>27</v>
      </c>
      <c r="K1119" s="16" t="s">
        <v>1822</v>
      </c>
      <c r="L1119" s="1" t="s">
        <v>35</v>
      </c>
      <c r="M1119" s="17">
        <v>567.41999999999996</v>
      </c>
      <c r="N1119" s="23">
        <v>1.33</v>
      </c>
      <c r="O1119" s="16" t="s">
        <v>67</v>
      </c>
      <c r="P1119" s="16" t="s">
        <v>63</v>
      </c>
      <c r="Q1119" s="16" t="s">
        <v>362</v>
      </c>
      <c r="R1119" s="16" t="s">
        <v>235</v>
      </c>
      <c r="S1119" s="12" t="s">
        <v>5438</v>
      </c>
      <c r="T1119" s="13">
        <v>46111</v>
      </c>
      <c r="U1119" s="19"/>
      <c r="V1119" s="53">
        <f>M1119-Z1119-AB1119-AD1119-AF1119-AH1119-AJ1119-AL1119-AN1119-AP1119-AR1119-AT1119-AV1119-AX1119-AZ1119-BB1119-BD1119-BF1119-BH1119-U1119</f>
        <v>-10.480000000000075</v>
      </c>
      <c r="W1119" s="22" t="s">
        <v>5463</v>
      </c>
      <c r="X1119" s="16"/>
      <c r="Y1119" s="9"/>
      <c r="Z1119" s="19">
        <v>103.6</v>
      </c>
      <c r="AA1119" s="252">
        <v>46091</v>
      </c>
      <c r="AB1119" s="19">
        <v>474.3</v>
      </c>
      <c r="AC1119" s="252">
        <v>46113</v>
      </c>
    </row>
    <row r="1120" spans="1:29" s="28" customFormat="1" ht="20.25" customHeight="1">
      <c r="A1120" s="11">
        <v>46080</v>
      </c>
      <c r="B1120" s="16" t="s">
        <v>5452</v>
      </c>
      <c r="C1120" s="16" t="s">
        <v>400</v>
      </c>
      <c r="D1120" s="16" t="s">
        <v>212</v>
      </c>
      <c r="E1120" s="16" t="s">
        <v>25</v>
      </c>
      <c r="F1120" s="16" t="s">
        <v>5457</v>
      </c>
      <c r="G1120" s="16" t="s">
        <v>71</v>
      </c>
      <c r="H1120" s="16" t="s">
        <v>31</v>
      </c>
      <c r="I1120" s="16"/>
      <c r="J1120" s="16" t="s">
        <v>27</v>
      </c>
      <c r="K1120" s="16" t="s">
        <v>1106</v>
      </c>
      <c r="L1120" s="16" t="s">
        <v>35</v>
      </c>
      <c r="M1120" s="17">
        <v>6128.79</v>
      </c>
      <c r="N1120" s="23">
        <v>1.33</v>
      </c>
      <c r="O1120" s="16" t="s">
        <v>67</v>
      </c>
      <c r="P1120" s="16" t="s">
        <v>63</v>
      </c>
      <c r="Q1120" s="16" t="s">
        <v>362</v>
      </c>
      <c r="R1120" s="16" t="s">
        <v>235</v>
      </c>
      <c r="S1120" s="12" t="s">
        <v>5438</v>
      </c>
      <c r="T1120" s="13">
        <v>46111</v>
      </c>
      <c r="U1120" s="19"/>
      <c r="V1120" s="53">
        <f>M1120-Z1120-AB1120-AD1120-AF1120-AH1120-AJ1120-AL1120-AN1120-AP1120-AR1120-AT1120-AV1120-AX1120-AZ1120-BB1120-BD1120-BF1120-BH1120-U1120</f>
        <v>-1.0000000001127773E-2</v>
      </c>
      <c r="W1120" s="22" t="s">
        <v>5464</v>
      </c>
      <c r="X1120" s="16"/>
      <c r="Y1120" s="9"/>
      <c r="Z1120" s="19">
        <v>1735.9</v>
      </c>
      <c r="AA1120" s="252">
        <v>46111</v>
      </c>
      <c r="AB1120" s="19">
        <f>2118.8+689.6+1087.2+497.3</f>
        <v>4392.9000000000005</v>
      </c>
      <c r="AC1120" s="252">
        <v>46121</v>
      </c>
    </row>
    <row r="1121" spans="1:29" s="28" customFormat="1" ht="20.25" customHeight="1">
      <c r="A1121" s="11">
        <v>46080</v>
      </c>
      <c r="B1121" s="16" t="s">
        <v>5453</v>
      </c>
      <c r="C1121" s="16" t="s">
        <v>535</v>
      </c>
      <c r="D1121" s="16" t="s">
        <v>212</v>
      </c>
      <c r="E1121" s="16" t="s">
        <v>25</v>
      </c>
      <c r="F1121" s="16" t="s">
        <v>5458</v>
      </c>
      <c r="G1121" s="16" t="s">
        <v>71</v>
      </c>
      <c r="H1121" s="16" t="s">
        <v>31</v>
      </c>
      <c r="I1121" s="16"/>
      <c r="J1121" s="16" t="s">
        <v>27</v>
      </c>
      <c r="K1121" s="16" t="s">
        <v>2653</v>
      </c>
      <c r="L1121" s="16" t="s">
        <v>35</v>
      </c>
      <c r="M1121" s="17">
        <v>2514</v>
      </c>
      <c r="N1121" s="23">
        <v>1.33</v>
      </c>
      <c r="O1121" s="16" t="s">
        <v>67</v>
      </c>
      <c r="P1121" s="16" t="s">
        <v>63</v>
      </c>
      <c r="Q1121" s="16" t="s">
        <v>5460</v>
      </c>
      <c r="R1121" s="16" t="s">
        <v>29</v>
      </c>
      <c r="S1121" s="12" t="s">
        <v>5438</v>
      </c>
      <c r="T1121" s="13">
        <v>46113</v>
      </c>
      <c r="U1121" s="19"/>
      <c r="V1121" s="53">
        <f>M1121-Z1121-AB1121-AD1121-AF1121-AH1121-AJ1121-AL1121-AN1121-AP1121-AR1121-AT1121-AV1121-AX1121-AZ1121-BB1121-BD1121-BF1121-BH1121-U1121</f>
        <v>-2.5</v>
      </c>
      <c r="W1121" s="22" t="s">
        <v>5465</v>
      </c>
      <c r="X1121" s="16"/>
      <c r="Y1121" s="9"/>
      <c r="Z1121" s="19">
        <v>1917.8</v>
      </c>
      <c r="AA1121" s="252">
        <v>46113</v>
      </c>
      <c r="AB1121" s="19">
        <v>598.70000000000005</v>
      </c>
      <c r="AC1121" s="252">
        <v>46133</v>
      </c>
    </row>
    <row r="1122" spans="1:29" s="28" customFormat="1" ht="20.25" customHeight="1">
      <c r="A1122" s="11">
        <v>46080</v>
      </c>
      <c r="B1122" s="16" t="s">
        <v>5454</v>
      </c>
      <c r="C1122" s="16" t="s">
        <v>535</v>
      </c>
      <c r="D1122" s="16" t="s">
        <v>212</v>
      </c>
      <c r="E1122" s="16" t="s">
        <v>25</v>
      </c>
      <c r="F1122" s="16" t="s">
        <v>5459</v>
      </c>
      <c r="G1122" s="16" t="s">
        <v>71</v>
      </c>
      <c r="H1122" s="16" t="s">
        <v>31</v>
      </c>
      <c r="I1122" s="1"/>
      <c r="J1122" s="1" t="s">
        <v>27</v>
      </c>
      <c r="K1122" s="16" t="s">
        <v>913</v>
      </c>
      <c r="L1122" s="1" t="s">
        <v>35</v>
      </c>
      <c r="M1122" s="17">
        <v>622</v>
      </c>
      <c r="N1122" s="23">
        <v>1.33</v>
      </c>
      <c r="O1122" s="16" t="s">
        <v>67</v>
      </c>
      <c r="P1122" s="16" t="s">
        <v>63</v>
      </c>
      <c r="Q1122" s="16" t="s">
        <v>5461</v>
      </c>
      <c r="R1122" s="16" t="s">
        <v>29</v>
      </c>
      <c r="S1122" s="12" t="s">
        <v>5438</v>
      </c>
      <c r="T1122" s="13">
        <v>46113</v>
      </c>
      <c r="U1122" s="315"/>
      <c r="V1122" s="53">
        <f>M1122-Z1122-AB1122-AD1122-AF1122-AH1122-AJ1122-AL1122-AN1122-AP1122-AR1122-AT1122-AV1122-AX1122-AZ1122-BB1122-BD1122-BF1122-BH1122-U1122</f>
        <v>0</v>
      </c>
      <c r="W1122" s="22" t="s">
        <v>5466</v>
      </c>
      <c r="X1122" s="16"/>
      <c r="Y1122" s="9"/>
      <c r="Z1122" s="19">
        <v>622</v>
      </c>
      <c r="AA1122" s="252">
        <v>46113</v>
      </c>
    </row>
    <row r="1123" spans="1:29" s="28" customFormat="1" ht="20.25" customHeight="1">
      <c r="A1123" s="11">
        <v>46083</v>
      </c>
      <c r="B1123" s="16" t="s">
        <v>5468</v>
      </c>
      <c r="C1123" s="16" t="s">
        <v>228</v>
      </c>
      <c r="D1123" s="16" t="s">
        <v>212</v>
      </c>
      <c r="E1123" s="16" t="s">
        <v>25</v>
      </c>
      <c r="F1123" s="16" t="s">
        <v>5470</v>
      </c>
      <c r="G1123" s="16" t="s">
        <v>71</v>
      </c>
      <c r="H1123" s="16" t="s">
        <v>31</v>
      </c>
      <c r="I1123" s="1"/>
      <c r="J1123" s="1" t="s">
        <v>27</v>
      </c>
      <c r="K1123" s="16" t="s">
        <v>1822</v>
      </c>
      <c r="L1123" s="1" t="s">
        <v>35</v>
      </c>
      <c r="M1123" s="17">
        <v>34</v>
      </c>
      <c r="N1123" s="6">
        <v>1.33</v>
      </c>
      <c r="O1123" s="1" t="s">
        <v>67</v>
      </c>
      <c r="P1123" s="1" t="s">
        <v>63</v>
      </c>
      <c r="Q1123" s="1" t="s">
        <v>362</v>
      </c>
      <c r="R1123" s="1" t="s">
        <v>235</v>
      </c>
      <c r="S1123" s="121" t="s">
        <v>5438</v>
      </c>
      <c r="T1123" s="13">
        <v>46111</v>
      </c>
      <c r="U1123" s="19"/>
      <c r="V1123" s="53">
        <f>M1123-Z1123-AB1123-AD1123-AF1123-AH1123-AJ1123-AL1123-AN1123-AP1123-AR1123-AT1123-AV1123-AX1123-AZ1123-BB1123-BD1123-BF1123-BH1123-U1123</f>
        <v>-1.2999999999999972</v>
      </c>
      <c r="W1123" s="22" t="s">
        <v>5473</v>
      </c>
      <c r="X1123" s="16"/>
      <c r="Y1123" s="9"/>
      <c r="Z1123" s="19">
        <v>35.299999999999997</v>
      </c>
      <c r="AA1123" s="252">
        <v>46091</v>
      </c>
    </row>
    <row r="1124" spans="1:29" s="28" customFormat="1" ht="20.25" customHeight="1">
      <c r="A1124" s="11">
        <v>46083</v>
      </c>
      <c r="B1124" s="16" t="s">
        <v>5469</v>
      </c>
      <c r="C1124" s="16" t="s">
        <v>1568</v>
      </c>
      <c r="D1124" s="16" t="s">
        <v>212</v>
      </c>
      <c r="E1124" s="16" t="s">
        <v>25</v>
      </c>
      <c r="F1124" s="16" t="s">
        <v>5471</v>
      </c>
      <c r="G1124" s="16" t="s">
        <v>71</v>
      </c>
      <c r="H1124" s="16" t="s">
        <v>31</v>
      </c>
      <c r="I1124" s="16"/>
      <c r="J1124" s="16" t="s">
        <v>27</v>
      </c>
      <c r="K1124" s="16" t="s">
        <v>250</v>
      </c>
      <c r="L1124" s="16" t="s">
        <v>35</v>
      </c>
      <c r="M1124" s="17">
        <v>3251</v>
      </c>
      <c r="N1124" s="23">
        <v>1.33</v>
      </c>
      <c r="O1124" s="16" t="s">
        <v>67</v>
      </c>
      <c r="P1124" s="16" t="s">
        <v>63</v>
      </c>
      <c r="Q1124" s="16" t="s">
        <v>29</v>
      </c>
      <c r="R1124" s="16" t="s">
        <v>5472</v>
      </c>
      <c r="S1124" s="12" t="s">
        <v>5438</v>
      </c>
      <c r="T1124" s="13">
        <v>46113</v>
      </c>
      <c r="U1124" s="19"/>
      <c r="V1124" s="53">
        <f>M1124-Z1124-AB1124-AD1124-AF1124-AH1124-AJ1124-AL1124-AN1124-AP1124-AR1124-AT1124-AV1124-AX1124-AZ1124-BB1124-BD1124-BF1124-BH1124-U1124</f>
        <v>-3.7000000000000455</v>
      </c>
      <c r="W1124" s="22" t="s">
        <v>5474</v>
      </c>
      <c r="X1124" s="16"/>
      <c r="Y1124" s="9"/>
      <c r="Z1124" s="19">
        <v>1241</v>
      </c>
      <c r="AA1124" s="252">
        <v>46091</v>
      </c>
      <c r="AB1124" s="19">
        <v>2013.7</v>
      </c>
      <c r="AC1124" s="252">
        <v>46111</v>
      </c>
    </row>
    <row r="1125" spans="1:29" s="28" customFormat="1" ht="20.25" customHeight="1">
      <c r="A1125" s="11">
        <v>46084</v>
      </c>
      <c r="B1125" s="16" t="s">
        <v>5483</v>
      </c>
      <c r="C1125" s="16" t="s">
        <v>1568</v>
      </c>
      <c r="D1125" s="16" t="s">
        <v>212</v>
      </c>
      <c r="E1125" s="16" t="s">
        <v>25</v>
      </c>
      <c r="F1125" s="16" t="s">
        <v>5484</v>
      </c>
      <c r="G1125" s="16" t="s">
        <v>71</v>
      </c>
      <c r="H1125" s="16" t="s">
        <v>31</v>
      </c>
      <c r="I1125" s="16"/>
      <c r="J1125" s="16" t="s">
        <v>27</v>
      </c>
      <c r="K1125" s="16" t="s">
        <v>966</v>
      </c>
      <c r="L1125" s="16" t="s">
        <v>35</v>
      </c>
      <c r="M1125" s="17">
        <v>2719</v>
      </c>
      <c r="N1125" s="23">
        <v>1.33</v>
      </c>
      <c r="O1125" s="16" t="s">
        <v>67</v>
      </c>
      <c r="P1125" s="16" t="s">
        <v>63</v>
      </c>
      <c r="Q1125" s="16" t="s">
        <v>29</v>
      </c>
      <c r="R1125" s="16" t="s">
        <v>5485</v>
      </c>
      <c r="S1125" s="12" t="s">
        <v>5438</v>
      </c>
      <c r="T1125" s="13">
        <v>46113</v>
      </c>
      <c r="U1125" s="19"/>
      <c r="V1125" s="53">
        <f>M1125-Z1125-AB1125-AD1125-AF1125-AH1125-AJ1125-AL1125-AN1125-AP1125-AR1125-AT1125-AV1125-AX1125-AZ1125-BB1125-BD1125-BF1125-BH1125-U1125</f>
        <v>-2</v>
      </c>
      <c r="W1125" s="22" t="s">
        <v>5486</v>
      </c>
      <c r="X1125" s="16"/>
      <c r="Y1125" s="9"/>
      <c r="Z1125" s="19">
        <v>2721</v>
      </c>
      <c r="AA1125" s="252">
        <v>46111</v>
      </c>
    </row>
    <row r="1126" spans="1:29" s="28" customFormat="1" ht="20.25" customHeight="1">
      <c r="A1126" s="11">
        <v>46084</v>
      </c>
      <c r="B1126" s="16" t="s">
        <v>5487</v>
      </c>
      <c r="C1126" s="16" t="s">
        <v>304</v>
      </c>
      <c r="D1126" s="16" t="s">
        <v>212</v>
      </c>
      <c r="E1126" s="16" t="s">
        <v>25</v>
      </c>
      <c r="F1126" s="16" t="s">
        <v>5488</v>
      </c>
      <c r="G1126" s="16" t="s">
        <v>71</v>
      </c>
      <c r="H1126" s="16" t="s">
        <v>31</v>
      </c>
      <c r="I1126" s="16"/>
      <c r="J1126" s="16" t="s">
        <v>27</v>
      </c>
      <c r="K1126" s="16" t="s">
        <v>966</v>
      </c>
      <c r="L1126" s="16" t="s">
        <v>35</v>
      </c>
      <c r="M1126" s="17">
        <v>25</v>
      </c>
      <c r="N1126" s="23">
        <v>1.33</v>
      </c>
      <c r="O1126" s="16" t="s">
        <v>67</v>
      </c>
      <c r="P1126" s="16" t="s">
        <v>63</v>
      </c>
      <c r="Q1126" s="16" t="s">
        <v>29</v>
      </c>
      <c r="R1126" s="16" t="s">
        <v>4750</v>
      </c>
      <c r="S1126" s="12" t="s">
        <v>5438</v>
      </c>
      <c r="T1126" s="13">
        <v>46111</v>
      </c>
      <c r="U1126" s="19"/>
      <c r="V1126" s="53">
        <f>M1126-Z1126-AB1126-AD1126-AF1126-AH1126-AJ1126-AL1126-AN1126-AP1126-AR1126-AT1126-AV1126-AX1126-AZ1126-BB1126-BD1126-BF1126-BH1126-U1126</f>
        <v>-2.8999999999999986</v>
      </c>
      <c r="W1126" s="22" t="s">
        <v>5489</v>
      </c>
      <c r="X1126" s="16"/>
      <c r="Y1126" s="9"/>
      <c r="Z1126" s="19">
        <v>27.9</v>
      </c>
      <c r="AA1126" s="252">
        <v>46091</v>
      </c>
    </row>
    <row r="1127" spans="1:29" s="28" customFormat="1" ht="20.25" customHeight="1">
      <c r="A1127" s="11">
        <v>46085</v>
      </c>
      <c r="B1127" s="16" t="s">
        <v>5517</v>
      </c>
      <c r="C1127" s="16" t="s">
        <v>400</v>
      </c>
      <c r="D1127" s="16" t="s">
        <v>212</v>
      </c>
      <c r="E1127" s="16" t="s">
        <v>25</v>
      </c>
      <c r="F1127" s="16" t="s">
        <v>5518</v>
      </c>
      <c r="G1127" s="16" t="s">
        <v>71</v>
      </c>
      <c r="H1127" s="16" t="s">
        <v>26</v>
      </c>
      <c r="I1127" s="16"/>
      <c r="J1127" s="16" t="s">
        <v>27</v>
      </c>
      <c r="K1127" s="16" t="s">
        <v>3685</v>
      </c>
      <c r="L1127" s="16" t="s">
        <v>35</v>
      </c>
      <c r="M1127" s="17">
        <v>206.05</v>
      </c>
      <c r="N1127" s="23">
        <v>1.33</v>
      </c>
      <c r="O1127" s="16" t="s">
        <v>67</v>
      </c>
      <c r="P1127" s="16" t="s">
        <v>63</v>
      </c>
      <c r="Q1127" s="16" t="s">
        <v>725</v>
      </c>
      <c r="R1127" s="16" t="s">
        <v>2493</v>
      </c>
      <c r="S1127" s="12" t="s">
        <v>5438</v>
      </c>
      <c r="T1127" s="13">
        <v>46111</v>
      </c>
      <c r="U1127" s="19"/>
      <c r="V1127" s="53">
        <f>M1127-Z1127-AB1127-AD1127-AF1127-AH1127-AJ1127-AL1127-AN1127-AP1127-AR1127-AT1127-AV1127-AX1127-AZ1127-BB1127-BD1127-BF1127-BH1127-U1127</f>
        <v>-6.3499999999999943</v>
      </c>
      <c r="W1127" s="22" t="s">
        <v>5524</v>
      </c>
      <c r="X1127" s="16"/>
      <c r="Y1127" s="9"/>
      <c r="Z1127" s="19">
        <v>212.4</v>
      </c>
      <c r="AA1127" s="252">
        <v>46118</v>
      </c>
    </row>
    <row r="1128" spans="1:29" s="28" customFormat="1" ht="20.25" customHeight="1">
      <c r="A1128" s="11">
        <v>46085</v>
      </c>
      <c r="B1128" s="16" t="s">
        <v>5519</v>
      </c>
      <c r="C1128" s="16" t="s">
        <v>267</v>
      </c>
      <c r="D1128" s="16" t="s">
        <v>212</v>
      </c>
      <c r="E1128" s="16" t="s">
        <v>25</v>
      </c>
      <c r="F1128" s="16" t="s">
        <v>5520</v>
      </c>
      <c r="G1128" s="16" t="s">
        <v>71</v>
      </c>
      <c r="H1128" s="16" t="s">
        <v>31</v>
      </c>
      <c r="I1128" s="16"/>
      <c r="J1128" s="16" t="s">
        <v>27</v>
      </c>
      <c r="K1128" s="16" t="s">
        <v>3668</v>
      </c>
      <c r="L1128" s="16" t="s">
        <v>35</v>
      </c>
      <c r="M1128" s="17">
        <v>1580</v>
      </c>
      <c r="N1128" s="23">
        <v>1.33</v>
      </c>
      <c r="O1128" s="16" t="s">
        <v>67</v>
      </c>
      <c r="P1128" s="16" t="s">
        <v>63</v>
      </c>
      <c r="Q1128" s="16" t="s">
        <v>29</v>
      </c>
      <c r="R1128" s="16" t="s">
        <v>5523</v>
      </c>
      <c r="S1128" s="12" t="s">
        <v>5406</v>
      </c>
      <c r="T1128" s="13">
        <v>46092</v>
      </c>
      <c r="U1128" s="19"/>
      <c r="V1128" s="53">
        <f>M1128-Z1128-AB1128-AD1128-AF1128-AH1128-AJ1128-AL1128-AN1128-AP1128-AR1128-AT1128-AV1128-AX1128-AZ1128-BB1128-BD1128-BF1128-BH1128-U1128</f>
        <v>-2.7000000000000455</v>
      </c>
      <c r="W1128" s="22" t="s">
        <v>5525</v>
      </c>
      <c r="X1128" s="16"/>
      <c r="Y1128" s="9"/>
      <c r="Z1128" s="19">
        <v>1582.7</v>
      </c>
      <c r="AA1128" s="252">
        <v>46091</v>
      </c>
    </row>
    <row r="1129" spans="1:29" s="28" customFormat="1" ht="20.25" customHeight="1">
      <c r="A1129" s="11">
        <v>46085</v>
      </c>
      <c r="B1129" s="16" t="s">
        <v>5521</v>
      </c>
      <c r="C1129" s="16" t="s">
        <v>267</v>
      </c>
      <c r="D1129" s="16" t="s">
        <v>212</v>
      </c>
      <c r="E1129" s="16" t="s">
        <v>25</v>
      </c>
      <c r="F1129" s="16" t="s">
        <v>5522</v>
      </c>
      <c r="G1129" s="16" t="s">
        <v>71</v>
      </c>
      <c r="H1129" s="16" t="s">
        <v>31</v>
      </c>
      <c r="I1129" s="16"/>
      <c r="J1129" s="16" t="s">
        <v>27</v>
      </c>
      <c r="K1129" s="16" t="s">
        <v>3551</v>
      </c>
      <c r="L1129" s="16" t="s">
        <v>35</v>
      </c>
      <c r="M1129" s="17">
        <v>970</v>
      </c>
      <c r="N1129" s="23">
        <v>1.33</v>
      </c>
      <c r="O1129" s="16" t="s">
        <v>67</v>
      </c>
      <c r="P1129" s="16" t="s">
        <v>63</v>
      </c>
      <c r="Q1129" s="16" t="s">
        <v>29</v>
      </c>
      <c r="R1129" s="16" t="s">
        <v>1277</v>
      </c>
      <c r="S1129" s="12" t="s">
        <v>5406</v>
      </c>
      <c r="T1129" s="13">
        <v>46092</v>
      </c>
      <c r="U1129" s="19"/>
      <c r="V1129" s="53">
        <f>M1129-Z1129-AB1129-AD1129-AF1129-AH1129-AJ1129-AL1129-AN1129-AP1129-AR1129-AT1129-AV1129-AX1129-AZ1129-BB1129-BD1129-BF1129-BH1129-U1129</f>
        <v>-3.2000000000000455</v>
      </c>
      <c r="W1129" s="22" t="s">
        <v>5526</v>
      </c>
      <c r="X1129" s="16"/>
      <c r="Y1129" s="9"/>
      <c r="Z1129" s="19">
        <v>973.2</v>
      </c>
      <c r="AA1129" s="252">
        <v>46091</v>
      </c>
    </row>
    <row r="1130" spans="1:29" s="28" customFormat="1" ht="20.25" customHeight="1">
      <c r="A1130" s="11">
        <v>46086</v>
      </c>
      <c r="B1130" s="16" t="s">
        <v>5528</v>
      </c>
      <c r="C1130" s="16" t="s">
        <v>2624</v>
      </c>
      <c r="D1130" s="16" t="s">
        <v>212</v>
      </c>
      <c r="E1130" s="16" t="s">
        <v>25</v>
      </c>
      <c r="F1130" s="16" t="s">
        <v>5529</v>
      </c>
      <c r="G1130" s="16" t="s">
        <v>71</v>
      </c>
      <c r="H1130" s="16" t="s">
        <v>31</v>
      </c>
      <c r="I1130" s="16"/>
      <c r="J1130" s="16" t="s">
        <v>27</v>
      </c>
      <c r="K1130" s="16" t="s">
        <v>218</v>
      </c>
      <c r="L1130" s="16" t="s">
        <v>35</v>
      </c>
      <c r="M1130" s="17">
        <v>234.5</v>
      </c>
      <c r="N1130" s="23">
        <v>1.33</v>
      </c>
      <c r="O1130" s="16" t="s">
        <v>67</v>
      </c>
      <c r="P1130" s="16" t="s">
        <v>63</v>
      </c>
      <c r="Q1130" s="16" t="s">
        <v>920</v>
      </c>
      <c r="R1130" s="16" t="s">
        <v>2000</v>
      </c>
      <c r="S1130" s="12" t="s">
        <v>5038</v>
      </c>
      <c r="T1130" s="13">
        <v>46087</v>
      </c>
      <c r="U1130" s="301"/>
      <c r="V1130" s="53">
        <f>M1130-Z1130-AB1130-AD1130-AF1130-AH1130-AJ1130-AL1130-AN1130-AP1130-AR1130-AT1130-AV1130-AX1130-AZ1130-BB1130-BD1130-BF1130-BH1130-U1130</f>
        <v>-3.3000000000000114</v>
      </c>
      <c r="W1130" s="22" t="s">
        <v>5530</v>
      </c>
      <c r="X1130" s="16"/>
      <c r="Y1130" s="9"/>
      <c r="Z1130" s="301">
        <v>237.8</v>
      </c>
      <c r="AA1130" s="252">
        <v>46087</v>
      </c>
    </row>
    <row r="1131" spans="1:29" s="28" customFormat="1" ht="20.25" customHeight="1">
      <c r="A1131" s="11">
        <v>46087</v>
      </c>
      <c r="B1131" s="16" t="s">
        <v>5539</v>
      </c>
      <c r="C1131" s="16" t="s">
        <v>228</v>
      </c>
      <c r="D1131" s="16" t="s">
        <v>212</v>
      </c>
      <c r="E1131" s="16" t="s">
        <v>25</v>
      </c>
      <c r="F1131" s="16" t="s">
        <v>5541</v>
      </c>
      <c r="G1131" s="16" t="s">
        <v>71</v>
      </c>
      <c r="H1131" s="16" t="s">
        <v>31</v>
      </c>
      <c r="I1131" s="1"/>
      <c r="J1131" s="1" t="s">
        <v>27</v>
      </c>
      <c r="K1131" s="16" t="s">
        <v>2653</v>
      </c>
      <c r="L1131" s="1" t="s">
        <v>35</v>
      </c>
      <c r="M1131" s="17">
        <v>27</v>
      </c>
      <c r="N1131" s="23">
        <v>1.33</v>
      </c>
      <c r="O1131" s="16" t="s">
        <v>67</v>
      </c>
      <c r="P1131" s="16" t="s">
        <v>63</v>
      </c>
      <c r="Q1131" s="16" t="s">
        <v>1965</v>
      </c>
      <c r="R1131" s="16" t="s">
        <v>1966</v>
      </c>
      <c r="S1131" s="12" t="s">
        <v>5543</v>
      </c>
      <c r="T1131" s="13">
        <v>46114</v>
      </c>
      <c r="U1131" s="19"/>
      <c r="V1131" s="53">
        <f>M1131-Z1131-AB1131-AD1131-AF1131-AH1131-AJ1131-AL1131-AN1131-AP1131-AR1131-AT1131-AV1131-AX1131-AZ1131-BB1131-BD1131-BF1131-BH1131-U1131</f>
        <v>-3.5</v>
      </c>
      <c r="W1131" s="22" t="s">
        <v>5544</v>
      </c>
      <c r="X1131" s="16"/>
      <c r="Y1131" s="9"/>
      <c r="Z1131" s="19">
        <v>30.5</v>
      </c>
      <c r="AA1131" s="252">
        <v>46113</v>
      </c>
    </row>
    <row r="1132" spans="1:29" s="28" customFormat="1" ht="20.25" customHeight="1">
      <c r="A1132" s="11">
        <v>46087</v>
      </c>
      <c r="B1132" s="16" t="s">
        <v>5540</v>
      </c>
      <c r="C1132" s="16" t="s">
        <v>304</v>
      </c>
      <c r="D1132" s="16" t="s">
        <v>212</v>
      </c>
      <c r="E1132" s="16" t="s">
        <v>25</v>
      </c>
      <c r="F1132" s="16" t="s">
        <v>5542</v>
      </c>
      <c r="G1132" s="16" t="s">
        <v>71</v>
      </c>
      <c r="H1132" s="16" t="s">
        <v>31</v>
      </c>
      <c r="I1132" s="16"/>
      <c r="J1132" s="16" t="s">
        <v>27</v>
      </c>
      <c r="K1132" s="16" t="s">
        <v>913</v>
      </c>
      <c r="L1132" s="16" t="s">
        <v>35</v>
      </c>
      <c r="M1132" s="17">
        <v>25</v>
      </c>
      <c r="N1132" s="23">
        <v>1.33</v>
      </c>
      <c r="O1132" s="16" t="s">
        <v>67</v>
      </c>
      <c r="P1132" s="16" t="s">
        <v>63</v>
      </c>
      <c r="Q1132" s="16" t="s">
        <v>29</v>
      </c>
      <c r="R1132" s="16" t="s">
        <v>1200</v>
      </c>
      <c r="S1132" s="12" t="s">
        <v>5438</v>
      </c>
      <c r="T1132" s="13">
        <v>46118</v>
      </c>
      <c r="U1132" s="19"/>
      <c r="V1132" s="53">
        <f>M1132-Z1132-AB1132-AD1132-AF1132-AH1132-AJ1132-AL1132-AN1132-AP1132-AR1132-AT1132-AV1132-AX1132-AZ1132-BB1132-BD1132-BF1132-BH1132-U1132</f>
        <v>-2.6999999999999993</v>
      </c>
      <c r="W1132" s="22" t="s">
        <v>5545</v>
      </c>
      <c r="X1132" s="16"/>
      <c r="Y1132" s="9"/>
      <c r="Z1132" s="19">
        <v>27.7</v>
      </c>
      <c r="AA1132" s="252">
        <v>46121</v>
      </c>
    </row>
    <row r="1133" spans="1:29" s="28" customFormat="1" ht="20.25" customHeight="1">
      <c r="A1133" s="11">
        <v>46092</v>
      </c>
      <c r="B1133" s="16" t="s">
        <v>5565</v>
      </c>
      <c r="C1133" s="16" t="s">
        <v>304</v>
      </c>
      <c r="D1133" s="16" t="s">
        <v>212</v>
      </c>
      <c r="E1133" s="16" t="s">
        <v>25</v>
      </c>
      <c r="F1133" s="16" t="s">
        <v>5569</v>
      </c>
      <c r="G1133" s="16" t="s">
        <v>71</v>
      </c>
      <c r="H1133" s="16" t="s">
        <v>31</v>
      </c>
      <c r="I1133" s="1"/>
      <c r="J1133" s="1" t="s">
        <v>27</v>
      </c>
      <c r="K1133" s="16" t="s">
        <v>598</v>
      </c>
      <c r="L1133" s="1" t="s">
        <v>35</v>
      </c>
      <c r="M1133" s="17">
        <v>50</v>
      </c>
      <c r="N1133" s="23">
        <v>1.33</v>
      </c>
      <c r="O1133" s="16" t="s">
        <v>67</v>
      </c>
      <c r="P1133" s="16" t="s">
        <v>63</v>
      </c>
      <c r="Q1133" s="16" t="s">
        <v>29</v>
      </c>
      <c r="R1133" s="16" t="s">
        <v>5574</v>
      </c>
      <c r="S1133" s="12" t="s">
        <v>5576</v>
      </c>
      <c r="T1133" s="13">
        <v>46118</v>
      </c>
      <c r="U1133" s="19"/>
      <c r="V1133" s="53">
        <f>M1133-Z1133-AB1133-AD1133-AF1133-AH1133-AJ1133-AL1133-AN1133-AP1133-AR1133-AT1133-AV1133-AX1133-AZ1133-BB1133-BD1133-BF1133-BH1133-U1133</f>
        <v>-0.10000000000000142</v>
      </c>
      <c r="W1133" s="22" t="s">
        <v>5578</v>
      </c>
      <c r="X1133" s="16"/>
      <c r="Y1133" s="9"/>
      <c r="Z1133" s="19">
        <v>50.1</v>
      </c>
      <c r="AA1133" s="252">
        <v>46113</v>
      </c>
    </row>
    <row r="1134" spans="1:29" s="28" customFormat="1" ht="20.25" customHeight="1">
      <c r="A1134" s="11">
        <v>46092</v>
      </c>
      <c r="B1134" s="16" t="s">
        <v>5566</v>
      </c>
      <c r="C1134" s="16" t="s">
        <v>304</v>
      </c>
      <c r="D1134" s="16" t="s">
        <v>212</v>
      </c>
      <c r="E1134" s="16" t="s">
        <v>25</v>
      </c>
      <c r="F1134" s="16" t="s">
        <v>5570</v>
      </c>
      <c r="G1134" s="16" t="s">
        <v>71</v>
      </c>
      <c r="H1134" s="16" t="s">
        <v>31</v>
      </c>
      <c r="I1134" s="16"/>
      <c r="J1134" s="16" t="s">
        <v>27</v>
      </c>
      <c r="K1134" s="16" t="s">
        <v>5573</v>
      </c>
      <c r="L1134" s="16" t="s">
        <v>35</v>
      </c>
      <c r="M1134" s="17">
        <v>25</v>
      </c>
      <c r="N1134" s="23">
        <v>1.33</v>
      </c>
      <c r="O1134" s="16" t="s">
        <v>67</v>
      </c>
      <c r="P1134" s="16" t="s">
        <v>63</v>
      </c>
      <c r="Q1134" s="16" t="s">
        <v>29</v>
      </c>
      <c r="R1134" s="16" t="s">
        <v>4005</v>
      </c>
      <c r="S1134" s="12" t="s">
        <v>5576</v>
      </c>
      <c r="T1134" s="13">
        <v>46118</v>
      </c>
      <c r="U1134" s="19"/>
      <c r="V1134" s="53">
        <f>M1134-Z1134-AB1134-AD1134-AF1134-AH1134-AJ1134-AL1134-AN1134-AP1134-AR1134-AT1134-AV1134-AX1134-AZ1134-BB1134-BD1134-BF1134-BH1134-U1134</f>
        <v>0</v>
      </c>
      <c r="W1134" s="22" t="s">
        <v>5579</v>
      </c>
      <c r="X1134" s="16"/>
      <c r="Y1134" s="9"/>
      <c r="Z1134" s="19">
        <v>25</v>
      </c>
      <c r="AA1134" s="252">
        <v>46111</v>
      </c>
    </row>
    <row r="1135" spans="1:29" s="282" customFormat="1" ht="20.25" customHeight="1">
      <c r="A1135" s="272">
        <v>46092</v>
      </c>
      <c r="B1135" s="273" t="s">
        <v>5567</v>
      </c>
      <c r="C1135" s="273" t="s">
        <v>267</v>
      </c>
      <c r="D1135" s="273" t="s">
        <v>212</v>
      </c>
      <c r="E1135" s="273" t="s">
        <v>25</v>
      </c>
      <c r="F1135" s="273" t="s">
        <v>5571</v>
      </c>
      <c r="G1135" s="273" t="s">
        <v>71</v>
      </c>
      <c r="H1135" s="273" t="s">
        <v>31</v>
      </c>
      <c r="I1135" s="273"/>
      <c r="J1135" s="273" t="s">
        <v>27</v>
      </c>
      <c r="K1135" s="273" t="s">
        <v>598</v>
      </c>
      <c r="L1135" s="273" t="s">
        <v>35</v>
      </c>
      <c r="M1135" s="274">
        <v>8600</v>
      </c>
      <c r="N1135" s="275">
        <v>1.33</v>
      </c>
      <c r="O1135" s="273" t="s">
        <v>67</v>
      </c>
      <c r="P1135" s="273" t="s">
        <v>63</v>
      </c>
      <c r="Q1135" s="273" t="s">
        <v>29</v>
      </c>
      <c r="R1135" s="273" t="s">
        <v>5575</v>
      </c>
      <c r="S1135" s="276" t="s">
        <v>5577</v>
      </c>
      <c r="T1135" s="277">
        <v>46128</v>
      </c>
      <c r="U1135" s="278"/>
      <c r="V1135" s="279">
        <f>M1135-Z1135-AB1135-AD1135-AF1135-AH1135-AJ1135-AL1135-AN1135-AP1135-AR1135-AT1135-AV1135-AX1135-AZ1135-BB1135-BD1135-BF1135-BH1135-U1135</f>
        <v>8600</v>
      </c>
      <c r="W1135" s="280" t="s">
        <v>5580</v>
      </c>
      <c r="X1135" s="273" t="s">
        <v>5596</v>
      </c>
      <c r="Y1135" s="322"/>
      <c r="Z1135" s="322"/>
    </row>
    <row r="1136" spans="1:29" s="28" customFormat="1" ht="20.25" customHeight="1">
      <c r="A1136" s="11">
        <v>46092</v>
      </c>
      <c r="B1136" s="16" t="s">
        <v>5568</v>
      </c>
      <c r="C1136" s="16" t="s">
        <v>438</v>
      </c>
      <c r="D1136" s="16" t="s">
        <v>212</v>
      </c>
      <c r="E1136" s="16" t="s">
        <v>25</v>
      </c>
      <c r="F1136" s="16" t="s">
        <v>5572</v>
      </c>
      <c r="G1136" s="16" t="s">
        <v>71</v>
      </c>
      <c r="H1136" s="16" t="s">
        <v>31</v>
      </c>
      <c r="I1136" s="16"/>
      <c r="J1136" s="16" t="s">
        <v>27</v>
      </c>
      <c r="K1136" s="16" t="s">
        <v>913</v>
      </c>
      <c r="L1136" s="16" t="s">
        <v>35</v>
      </c>
      <c r="M1136" s="17">
        <v>15</v>
      </c>
      <c r="N1136" s="23">
        <v>1.33</v>
      </c>
      <c r="O1136" s="16" t="s">
        <v>67</v>
      </c>
      <c r="P1136" s="16" t="s">
        <v>63</v>
      </c>
      <c r="Q1136" s="16" t="s">
        <v>29</v>
      </c>
      <c r="R1136" s="16" t="s">
        <v>29</v>
      </c>
      <c r="S1136" s="12" t="s">
        <v>5576</v>
      </c>
      <c r="T1136" s="13">
        <v>46113</v>
      </c>
      <c r="U1136" s="19"/>
      <c r="V1136" s="53">
        <f>M1136-Z1136-AB1136-AD1136-AF1136-AH1136-AJ1136-AL1136-AN1136-AP1136-AR1136-AT1136-AV1136-AX1136-AZ1136-BB1136-BD1136-BF1136-BH1136-U1136</f>
        <v>-7</v>
      </c>
      <c r="W1136" s="22" t="s">
        <v>5581</v>
      </c>
      <c r="X1136" s="16"/>
      <c r="Y1136" s="9"/>
      <c r="Z1136" s="19">
        <v>22</v>
      </c>
      <c r="AA1136" s="252">
        <v>46113</v>
      </c>
    </row>
    <row r="1137" spans="1:27" s="28" customFormat="1" ht="20.25" customHeight="1">
      <c r="A1137" s="11">
        <v>46092</v>
      </c>
      <c r="B1137" s="16" t="s">
        <v>5568</v>
      </c>
      <c r="C1137" s="16" t="s">
        <v>438</v>
      </c>
      <c r="D1137" s="16" t="s">
        <v>212</v>
      </c>
      <c r="E1137" s="16" t="s">
        <v>25</v>
      </c>
      <c r="F1137" s="16" t="s">
        <v>5572</v>
      </c>
      <c r="G1137" s="16" t="s">
        <v>71</v>
      </c>
      <c r="H1137" s="16" t="s">
        <v>31</v>
      </c>
      <c r="I1137" s="16"/>
      <c r="J1137" s="16" t="s">
        <v>27</v>
      </c>
      <c r="K1137" s="16" t="s">
        <v>913</v>
      </c>
      <c r="L1137" s="16" t="s">
        <v>35</v>
      </c>
      <c r="M1137" s="17">
        <v>73</v>
      </c>
      <c r="N1137" s="23">
        <v>1.33</v>
      </c>
      <c r="O1137" s="16" t="s">
        <v>67</v>
      </c>
      <c r="P1137" s="16" t="s">
        <v>63</v>
      </c>
      <c r="Q1137" s="16" t="s">
        <v>29</v>
      </c>
      <c r="R1137" s="16" t="s">
        <v>29</v>
      </c>
      <c r="S1137" s="12" t="s">
        <v>5576</v>
      </c>
      <c r="T1137" s="13">
        <v>46113</v>
      </c>
      <c r="U1137" s="19"/>
      <c r="V1137" s="53">
        <f>M1137-Z1137-AB1137-AD1137-AF1137-AH1137-AJ1137-AL1137-AN1137-AP1137-AR1137-AT1137-AV1137-AX1137-AZ1137-BB1137-BD1137-BF1137-BH1137-U1137</f>
        <v>-3.5999999999999943</v>
      </c>
      <c r="W1137" s="22" t="s">
        <v>5582</v>
      </c>
      <c r="X1137" s="16"/>
      <c r="Y1137" s="9"/>
      <c r="Z1137" s="19">
        <v>76.599999999999994</v>
      </c>
      <c r="AA1137" s="252">
        <v>46113</v>
      </c>
    </row>
    <row r="1138" spans="1:27" s="28" customFormat="1" ht="20.25" customHeight="1">
      <c r="A1138" s="11">
        <v>46093</v>
      </c>
      <c r="B1138" s="16" t="s">
        <v>5606</v>
      </c>
      <c r="C1138" s="16" t="s">
        <v>228</v>
      </c>
      <c r="D1138" s="16" t="s">
        <v>212</v>
      </c>
      <c r="E1138" s="16" t="s">
        <v>25</v>
      </c>
      <c r="F1138" s="16" t="s">
        <v>5607</v>
      </c>
      <c r="G1138" s="16" t="s">
        <v>71</v>
      </c>
      <c r="H1138" s="16" t="s">
        <v>31</v>
      </c>
      <c r="I1138" s="1"/>
      <c r="J1138" s="1" t="s">
        <v>27</v>
      </c>
      <c r="K1138" s="16" t="s">
        <v>1470</v>
      </c>
      <c r="L1138" s="1" t="s">
        <v>35</v>
      </c>
      <c r="M1138" s="17">
        <v>18</v>
      </c>
      <c r="N1138" s="23">
        <v>1.33</v>
      </c>
      <c r="O1138" s="16" t="s">
        <v>67</v>
      </c>
      <c r="P1138" s="16" t="s">
        <v>63</v>
      </c>
      <c r="Q1138" s="16" t="s">
        <v>362</v>
      </c>
      <c r="R1138" s="16" t="s">
        <v>466</v>
      </c>
      <c r="S1138" s="12" t="s">
        <v>5576</v>
      </c>
      <c r="T1138" s="13">
        <v>46113</v>
      </c>
      <c r="U1138" s="19"/>
      <c r="V1138" s="53">
        <f>M1138-Z1138-AB1138-AD1138-AF1138-AH1138-AJ1138-AL1138-AN1138-AP1138-AR1138-AT1138-AV1138-AX1138-AZ1138-BB1138-BD1138-BF1138-BH1138-U1138</f>
        <v>-3.8000000000000007</v>
      </c>
      <c r="W1138" s="22" t="s">
        <v>5608</v>
      </c>
      <c r="X1138" s="16"/>
      <c r="Y1138" s="9"/>
      <c r="Z1138" s="19">
        <v>21.8</v>
      </c>
      <c r="AA1138" s="252">
        <v>46113</v>
      </c>
    </row>
    <row r="1139" spans="1:27" s="28" customFormat="1" ht="20.25" customHeight="1">
      <c r="A1139" s="11">
        <v>46094</v>
      </c>
      <c r="B1139" s="16" t="s">
        <v>5612</v>
      </c>
      <c r="C1139" s="16" t="s">
        <v>304</v>
      </c>
      <c r="D1139" s="16" t="s">
        <v>212</v>
      </c>
      <c r="E1139" s="16" t="s">
        <v>25</v>
      </c>
      <c r="F1139" s="16" t="s">
        <v>5613</v>
      </c>
      <c r="G1139" s="16" t="s">
        <v>71</v>
      </c>
      <c r="H1139" s="16" t="s">
        <v>31</v>
      </c>
      <c r="I1139" s="1"/>
      <c r="J1139" s="1" t="s">
        <v>27</v>
      </c>
      <c r="K1139" s="16" t="s">
        <v>613</v>
      </c>
      <c r="L1139" s="1" t="s">
        <v>35</v>
      </c>
      <c r="M1139" s="17">
        <v>8600</v>
      </c>
      <c r="N1139" s="23">
        <v>1.33</v>
      </c>
      <c r="O1139" s="16" t="s">
        <v>67</v>
      </c>
      <c r="P1139" s="16"/>
      <c r="Q1139" s="16" t="s">
        <v>5575</v>
      </c>
      <c r="R1139" s="16"/>
      <c r="S1139" s="12" t="s">
        <v>5576</v>
      </c>
      <c r="T1139" s="13">
        <v>46113</v>
      </c>
      <c r="U1139" s="19"/>
      <c r="V1139" s="53">
        <f>M1139-Z1139-AB1139-AD1139-AF1139-AH1139-AJ1139-AL1139-AN1139-AP1139-AR1139-AT1139-AV1139-AX1139-AZ1139-BB1139-BD1139-BF1139-BH1139-U1139</f>
        <v>0</v>
      </c>
      <c r="W1139" s="22" t="s">
        <v>5614</v>
      </c>
      <c r="X1139" s="16"/>
      <c r="Y1139" s="9"/>
      <c r="Z1139" s="19">
        <f>1962.4+705.1+5932.5</f>
        <v>8600</v>
      </c>
      <c r="AA1139" s="252">
        <v>46113</v>
      </c>
    </row>
    <row r="1140" spans="1:27" s="28" customFormat="1" ht="20.25" customHeight="1">
      <c r="A1140" s="11">
        <v>46094</v>
      </c>
      <c r="B1140" s="16" t="s">
        <v>5615</v>
      </c>
      <c r="C1140" s="16" t="s">
        <v>267</v>
      </c>
      <c r="D1140" s="16" t="s">
        <v>212</v>
      </c>
      <c r="E1140" s="16" t="s">
        <v>25</v>
      </c>
      <c r="F1140" s="16" t="s">
        <v>5616</v>
      </c>
      <c r="G1140" s="16" t="s">
        <v>71</v>
      </c>
      <c r="H1140" s="16" t="s">
        <v>31</v>
      </c>
      <c r="I1140" s="16"/>
      <c r="J1140" s="16" t="s">
        <v>27</v>
      </c>
      <c r="K1140" s="16" t="s">
        <v>966</v>
      </c>
      <c r="L1140" s="16" t="s">
        <v>35</v>
      </c>
      <c r="M1140" s="17">
        <v>125</v>
      </c>
      <c r="N1140" s="23">
        <v>1.33</v>
      </c>
      <c r="O1140" s="16" t="s">
        <v>67</v>
      </c>
      <c r="P1140" s="16"/>
      <c r="Q1140" s="16" t="s">
        <v>5575</v>
      </c>
      <c r="R1140" s="16"/>
      <c r="S1140" s="12" t="s">
        <v>5576</v>
      </c>
      <c r="T1140" s="13">
        <v>46113</v>
      </c>
      <c r="U1140" s="19"/>
      <c r="V1140" s="53">
        <f>M1140-Z1140-AB1140-AD1140-AF1140-AH1140-AJ1140-AL1140-AN1140-AP1140-AR1140-AT1140-AV1140-AX1140-AZ1140-BB1140-BD1140-BF1140-BH1140-U1140</f>
        <v>0</v>
      </c>
      <c r="W1140" s="22" t="s">
        <v>5617</v>
      </c>
      <c r="X1140" s="16"/>
      <c r="Y1140" s="9"/>
      <c r="Z1140" s="19">
        <v>125</v>
      </c>
      <c r="AA1140" s="252">
        <v>46113</v>
      </c>
    </row>
    <row r="1141" spans="1:27" s="28" customFormat="1" ht="20.25" customHeight="1">
      <c r="A1141" s="11">
        <v>46094</v>
      </c>
      <c r="B1141" s="16" t="s">
        <v>5618</v>
      </c>
      <c r="C1141" s="16" t="s">
        <v>267</v>
      </c>
      <c r="D1141" s="16" t="s">
        <v>212</v>
      </c>
      <c r="E1141" s="16" t="s">
        <v>34</v>
      </c>
      <c r="F1141" s="16" t="s">
        <v>5619</v>
      </c>
      <c r="G1141" s="16" t="s">
        <v>71</v>
      </c>
      <c r="H1141" s="16" t="s">
        <v>31</v>
      </c>
      <c r="I1141" s="16"/>
      <c r="J1141" s="16" t="s">
        <v>27</v>
      </c>
      <c r="K1141" s="16" t="s">
        <v>683</v>
      </c>
      <c r="L1141" s="16" t="s">
        <v>35</v>
      </c>
      <c r="M1141" s="17">
        <v>225</v>
      </c>
      <c r="N1141" s="23">
        <v>1.33</v>
      </c>
      <c r="O1141" s="16" t="s">
        <v>67</v>
      </c>
      <c r="P1141" s="16"/>
      <c r="Q1141" s="16" t="s">
        <v>4999</v>
      </c>
      <c r="R1141" s="16"/>
      <c r="S1141" s="12" t="s">
        <v>5576</v>
      </c>
      <c r="T1141" s="13">
        <v>46113</v>
      </c>
      <c r="U1141" s="19"/>
      <c r="V1141" s="53">
        <f>M1141-Z1141-AB1141-AD1141-AF1141-AH1141-AJ1141-AL1141-AN1141-AP1141-AR1141-AT1141-AV1141-AX1141-AZ1141-BB1141-BD1141-BF1141-BH1141-U1141</f>
        <v>-0.59999999999999432</v>
      </c>
      <c r="W1141" s="22" t="s">
        <v>5620</v>
      </c>
      <c r="X1141" s="16"/>
      <c r="Y1141" s="9"/>
      <c r="Z1141" s="19">
        <v>225.6</v>
      </c>
      <c r="AA1141" s="252">
        <v>46121</v>
      </c>
    </row>
    <row r="1142" spans="1:27" s="28" customFormat="1" ht="20.25" customHeight="1">
      <c r="A1142" s="11">
        <v>46097</v>
      </c>
      <c r="B1142" s="16" t="s">
        <v>5625</v>
      </c>
      <c r="C1142" s="16" t="s">
        <v>304</v>
      </c>
      <c r="D1142" s="16" t="s">
        <v>212</v>
      </c>
      <c r="E1142" s="16" t="s">
        <v>25</v>
      </c>
      <c r="F1142" s="16" t="s">
        <v>5626</v>
      </c>
      <c r="G1142" s="16" t="s">
        <v>71</v>
      </c>
      <c r="H1142" s="16" t="s">
        <v>31</v>
      </c>
      <c r="I1142" s="16"/>
      <c r="J1142" s="16" t="s">
        <v>27</v>
      </c>
      <c r="K1142" s="16" t="s">
        <v>913</v>
      </c>
      <c r="L1142" s="16" t="s">
        <v>35</v>
      </c>
      <c r="M1142" s="17">
        <v>4155</v>
      </c>
      <c r="N1142" s="23">
        <v>1.33</v>
      </c>
      <c r="O1142" s="16" t="s">
        <v>67</v>
      </c>
      <c r="P1142" s="16" t="s">
        <v>63</v>
      </c>
      <c r="Q1142" s="16" t="s">
        <v>29</v>
      </c>
      <c r="R1142" s="16" t="s">
        <v>4746</v>
      </c>
      <c r="S1142" s="12" t="s">
        <v>5627</v>
      </c>
      <c r="T1142" s="13">
        <v>46122</v>
      </c>
      <c r="U1142" s="19"/>
      <c r="V1142" s="53">
        <f>M1142-Z1142-AB1142-AD1142-AF1142-AH1142-AJ1142-AL1142-AN1142-AP1142-AR1142-AT1142-AV1142-AX1142-AZ1142-BB1142-BD1142-BF1142-BH1142-U1142</f>
        <v>-0.6000000000003638</v>
      </c>
      <c r="W1142" s="22" t="s">
        <v>5628</v>
      </c>
      <c r="X1142" s="16"/>
      <c r="Y1142" s="9"/>
      <c r="Z1142" s="19">
        <f>3326+829.6</f>
        <v>4155.6000000000004</v>
      </c>
      <c r="AA1142" s="252">
        <v>46121</v>
      </c>
    </row>
    <row r="1143" spans="1:27" s="28" customFormat="1" ht="20.25" customHeight="1">
      <c r="A1143" s="11">
        <v>46098</v>
      </c>
      <c r="B1143" s="16" t="s">
        <v>5637</v>
      </c>
      <c r="C1143" s="16" t="s">
        <v>267</v>
      </c>
      <c r="D1143" s="16" t="s">
        <v>212</v>
      </c>
      <c r="E1143" s="16" t="s">
        <v>34</v>
      </c>
      <c r="F1143" s="16" t="s">
        <v>5638</v>
      </c>
      <c r="G1143" s="16" t="s">
        <v>71</v>
      </c>
      <c r="H1143" s="16" t="s">
        <v>31</v>
      </c>
      <c r="I1143" s="16"/>
      <c r="J1143" s="16" t="s">
        <v>27</v>
      </c>
      <c r="K1143" s="16" t="s">
        <v>5479</v>
      </c>
      <c r="L1143" s="16" t="s">
        <v>35</v>
      </c>
      <c r="M1143" s="17">
        <v>100</v>
      </c>
      <c r="N1143" s="23">
        <v>1.33</v>
      </c>
      <c r="O1143" s="16" t="s">
        <v>67</v>
      </c>
      <c r="P1143" s="16" t="s">
        <v>63</v>
      </c>
      <c r="Q1143" s="16" t="s">
        <v>29</v>
      </c>
      <c r="R1143" s="16" t="s">
        <v>29</v>
      </c>
      <c r="S1143" s="12" t="s">
        <v>5639</v>
      </c>
      <c r="T1143" s="13">
        <v>46112</v>
      </c>
      <c r="U1143" s="19"/>
      <c r="V1143" s="53">
        <f>M1143-Z1143-AB1143-AD1143-AF1143-AH1143-AJ1143-AL1143-AN1143-AP1143-AR1143-AT1143-AV1143-AX1143-AZ1143-BB1143-BD1143-BF1143-BH1143-U1143</f>
        <v>-2.4000000000000057</v>
      </c>
      <c r="W1143" s="22" t="s">
        <v>5640</v>
      </c>
      <c r="X1143" s="16"/>
      <c r="Y1143" s="9"/>
      <c r="Z1143" s="19">
        <v>102.4</v>
      </c>
      <c r="AA1143" s="252">
        <v>46121</v>
      </c>
    </row>
    <row r="1144" spans="1:27" s="28" customFormat="1" ht="20.25" customHeight="1">
      <c r="A1144" s="11">
        <v>46098</v>
      </c>
      <c r="B1144" s="16" t="s">
        <v>5641</v>
      </c>
      <c r="C1144" s="16" t="s">
        <v>267</v>
      </c>
      <c r="D1144" s="16" t="s">
        <v>212</v>
      </c>
      <c r="E1144" s="16" t="s">
        <v>34</v>
      </c>
      <c r="F1144" s="16" t="s">
        <v>5642</v>
      </c>
      <c r="G1144" s="16" t="s">
        <v>71</v>
      </c>
      <c r="H1144" s="16" t="s">
        <v>31</v>
      </c>
      <c r="I1144" s="16"/>
      <c r="J1144" s="16" t="s">
        <v>27</v>
      </c>
      <c r="K1144" s="16" t="s">
        <v>3199</v>
      </c>
      <c r="L1144" s="16" t="s">
        <v>35</v>
      </c>
      <c r="M1144" s="17">
        <v>50</v>
      </c>
      <c r="N1144" s="23">
        <v>1.33</v>
      </c>
      <c r="O1144" s="16" t="s">
        <v>67</v>
      </c>
      <c r="P1144" s="16" t="s">
        <v>63</v>
      </c>
      <c r="Q1144" s="16" t="s">
        <v>29</v>
      </c>
      <c r="R1144" s="16" t="s">
        <v>4364</v>
      </c>
      <c r="S1144" s="12" t="s">
        <v>5639</v>
      </c>
      <c r="T1144" s="13">
        <v>46112</v>
      </c>
      <c r="U1144" s="19"/>
      <c r="V1144" s="53">
        <f>M1144-Z1144-AB1144-AD1144-AF1144-AH1144-AJ1144-AL1144-AN1144-AP1144-AR1144-AT1144-AV1144-AX1144-AZ1144-BB1144-BD1144-BF1144-BH1144-U1144</f>
        <v>-3.1000000000000014</v>
      </c>
      <c r="W1144" s="22" t="s">
        <v>5643</v>
      </c>
      <c r="X1144" s="16"/>
      <c r="Y1144" s="9"/>
      <c r="Z1144" s="19">
        <v>53.1</v>
      </c>
      <c r="AA1144" s="252">
        <v>46113</v>
      </c>
    </row>
    <row r="1145" spans="1:27" s="28" customFormat="1" ht="20.25" customHeight="1">
      <c r="A1145" s="11">
        <v>46098</v>
      </c>
      <c r="B1145" s="16" t="s">
        <v>5644</v>
      </c>
      <c r="C1145" s="16" t="s">
        <v>228</v>
      </c>
      <c r="D1145" s="16" t="s">
        <v>212</v>
      </c>
      <c r="E1145" s="16" t="s">
        <v>34</v>
      </c>
      <c r="F1145" s="16" t="s">
        <v>5645</v>
      </c>
      <c r="G1145" s="16" t="s">
        <v>71</v>
      </c>
      <c r="H1145" s="16" t="s">
        <v>31</v>
      </c>
      <c r="I1145" s="16"/>
      <c r="J1145" s="16" t="s">
        <v>27</v>
      </c>
      <c r="K1145" s="16" t="s">
        <v>1470</v>
      </c>
      <c r="L1145" s="16" t="s">
        <v>35</v>
      </c>
      <c r="M1145" s="17">
        <v>118</v>
      </c>
      <c r="N1145" s="23">
        <v>1.33</v>
      </c>
      <c r="O1145" s="16" t="s">
        <v>67</v>
      </c>
      <c r="P1145" s="16" t="s">
        <v>63</v>
      </c>
      <c r="Q1145" s="16" t="s">
        <v>362</v>
      </c>
      <c r="R1145" s="16" t="s">
        <v>466</v>
      </c>
      <c r="S1145" s="12" t="s">
        <v>5646</v>
      </c>
      <c r="T1145" s="13">
        <v>46119</v>
      </c>
      <c r="U1145" s="19"/>
      <c r="V1145" s="324">
        <f>M1145-Z1145-AB1145-AD1145-AF1145-AH1145-AJ1145-AL1145-AN1145-AP1145-AR1145-AT1145-AV1145-AX1145-AZ1145-BB1145-BD1145-BF1145-BH1145-U1145</f>
        <v>-4.6999999999999886</v>
      </c>
      <c r="W1145" s="22" t="s">
        <v>5647</v>
      </c>
      <c r="X1145" s="16"/>
      <c r="Y1145" s="9"/>
      <c r="Z1145" s="19">
        <f>86.1+36.6</f>
        <v>122.69999999999999</v>
      </c>
      <c r="AA1145" s="252">
        <v>46128</v>
      </c>
    </row>
    <row r="1146" spans="1:27" s="28" customFormat="1" ht="20.25" customHeight="1">
      <c r="A1146" s="11">
        <v>46098</v>
      </c>
      <c r="B1146" s="16" t="s">
        <v>5644</v>
      </c>
      <c r="C1146" s="16" t="s">
        <v>228</v>
      </c>
      <c r="D1146" s="16" t="s">
        <v>212</v>
      </c>
      <c r="E1146" s="16" t="s">
        <v>34</v>
      </c>
      <c r="F1146" s="16" t="s">
        <v>5645</v>
      </c>
      <c r="G1146" s="16" t="s">
        <v>71</v>
      </c>
      <c r="H1146" s="16" t="s">
        <v>31</v>
      </c>
      <c r="I1146" s="1"/>
      <c r="J1146" s="1" t="s">
        <v>27</v>
      </c>
      <c r="K1146" s="16" t="s">
        <v>1116</v>
      </c>
      <c r="L1146" s="1" t="s">
        <v>35</v>
      </c>
      <c r="M1146" s="17">
        <v>54</v>
      </c>
      <c r="N1146" s="23">
        <v>1.33</v>
      </c>
      <c r="O1146" s="16" t="s">
        <v>67</v>
      </c>
      <c r="P1146" s="16" t="s">
        <v>63</v>
      </c>
      <c r="Q1146" s="16" t="s">
        <v>362</v>
      </c>
      <c r="R1146" s="16" t="s">
        <v>1966</v>
      </c>
      <c r="S1146" s="12" t="s">
        <v>5646</v>
      </c>
      <c r="T1146" s="13">
        <v>46119</v>
      </c>
      <c r="U1146" s="19"/>
      <c r="V1146" s="53">
        <f>M1146-Z1146-AB1146-AD1146-AF1146-AH1146-AJ1146-AL1146-AN1146-AP1146-AR1146-AT1146-AV1146-AX1146-AZ1146-BB1146-BD1146-BF1146-BH1146-U1146</f>
        <v>-0.89999999999999858</v>
      </c>
      <c r="W1146" s="22" t="s">
        <v>5648</v>
      </c>
      <c r="X1146" s="16"/>
      <c r="Y1146" s="9"/>
      <c r="Z1146" s="19">
        <v>54.9</v>
      </c>
      <c r="AA1146" s="252">
        <v>46113</v>
      </c>
    </row>
    <row r="1147" spans="1:27" s="28" customFormat="1" ht="20.25" customHeight="1">
      <c r="A1147" s="11">
        <v>46099</v>
      </c>
      <c r="B1147" s="16" t="s">
        <v>5649</v>
      </c>
      <c r="C1147" s="16" t="s">
        <v>438</v>
      </c>
      <c r="D1147" s="16" t="s">
        <v>212</v>
      </c>
      <c r="E1147" s="16" t="s">
        <v>25</v>
      </c>
      <c r="F1147" s="16">
        <v>4000143493</v>
      </c>
      <c r="G1147" s="16" t="s">
        <v>71</v>
      </c>
      <c r="H1147" s="16" t="s">
        <v>31</v>
      </c>
      <c r="I1147" s="16"/>
      <c r="J1147" s="16" t="s">
        <v>27</v>
      </c>
      <c r="K1147" s="16" t="s">
        <v>5433</v>
      </c>
      <c r="L1147" s="16" t="s">
        <v>35</v>
      </c>
      <c r="M1147" s="17">
        <v>72</v>
      </c>
      <c r="N1147" s="23">
        <v>1.33</v>
      </c>
      <c r="O1147" s="16" t="s">
        <v>67</v>
      </c>
      <c r="P1147" s="16" t="s">
        <v>63</v>
      </c>
      <c r="Q1147" s="16" t="s">
        <v>29</v>
      </c>
      <c r="R1147" s="16" t="s">
        <v>29</v>
      </c>
      <c r="S1147" s="12" t="s">
        <v>5650</v>
      </c>
      <c r="T1147" s="13">
        <v>46127</v>
      </c>
      <c r="U1147" s="19"/>
      <c r="V1147" s="53">
        <f>M1147-Z1147-AB1147-AD1147-AF1147-AH1147-AJ1147-AL1147-AN1147-AP1147-AR1147-AT1147-AV1147-AX1147-AZ1147-BB1147-BD1147-BF1147-BH1147-U1147</f>
        <v>-5.5</v>
      </c>
      <c r="W1147" s="22" t="s">
        <v>5651</v>
      </c>
      <c r="X1147" s="16" t="s">
        <v>5444</v>
      </c>
      <c r="Y1147" s="9"/>
      <c r="Z1147" s="19">
        <v>77.5</v>
      </c>
      <c r="AA1147" s="252">
        <v>46121</v>
      </c>
    </row>
    <row r="1148" spans="1:27" s="28" customFormat="1" ht="20.25" customHeight="1">
      <c r="A1148" s="11">
        <v>46099</v>
      </c>
      <c r="B1148" s="16" t="s">
        <v>5652</v>
      </c>
      <c r="C1148" s="16" t="s">
        <v>382</v>
      </c>
      <c r="D1148" s="16" t="s">
        <v>212</v>
      </c>
      <c r="E1148" s="16" t="s">
        <v>25</v>
      </c>
      <c r="F1148" s="16" t="s">
        <v>5653</v>
      </c>
      <c r="G1148" s="16" t="s">
        <v>71</v>
      </c>
      <c r="H1148" s="16" t="s">
        <v>31</v>
      </c>
      <c r="I1148" s="16"/>
      <c r="J1148" s="16" t="s">
        <v>27</v>
      </c>
      <c r="K1148" s="16" t="s">
        <v>1116</v>
      </c>
      <c r="L1148" s="16" t="s">
        <v>35</v>
      </c>
      <c r="M1148" s="17">
        <v>25000</v>
      </c>
      <c r="N1148" s="23">
        <v>1.33</v>
      </c>
      <c r="O1148" s="16" t="s">
        <v>67</v>
      </c>
      <c r="P1148" s="16" t="s">
        <v>63</v>
      </c>
      <c r="Q1148" s="16" t="s">
        <v>2767</v>
      </c>
      <c r="R1148" s="16" t="s">
        <v>1222</v>
      </c>
      <c r="S1148" s="12" t="s">
        <v>5654</v>
      </c>
      <c r="T1148" s="13">
        <v>46120</v>
      </c>
      <c r="U1148" s="19"/>
      <c r="V1148" s="53">
        <f>M1148-Z1148-AB1148-AD1148-AF1148-AH1148-AJ1148-AL1148-AN1148-AP1148-AR1148-AT1148-AV1148-AX1148-AZ1148-BB1148-BD1148-BF1148-BH1148-U1148</f>
        <v>-4</v>
      </c>
      <c r="W1148" s="22" t="s">
        <v>5655</v>
      </c>
      <c r="X1148" s="16"/>
      <c r="Y1148" s="9"/>
      <c r="Z1148" s="19">
        <f>4434.3+2233.1+4473.7+2540.6+1527.8+909.4+4666+4219.1</f>
        <v>25004</v>
      </c>
      <c r="AA1148" s="252">
        <v>46122</v>
      </c>
    </row>
    <row r="1149" spans="1:27" s="28" customFormat="1" ht="20.25" customHeight="1">
      <c r="A1149" s="11">
        <v>46111</v>
      </c>
      <c r="B1149" s="16" t="s">
        <v>5656</v>
      </c>
      <c r="C1149" s="16" t="s">
        <v>535</v>
      </c>
      <c r="D1149" s="16" t="s">
        <v>212</v>
      </c>
      <c r="E1149" s="16" t="s">
        <v>25</v>
      </c>
      <c r="F1149" s="16" t="s">
        <v>5679</v>
      </c>
      <c r="G1149" s="16" t="s">
        <v>71</v>
      </c>
      <c r="H1149" s="16" t="s">
        <v>31</v>
      </c>
      <c r="I1149" s="16"/>
      <c r="J1149" s="16" t="s">
        <v>27</v>
      </c>
      <c r="K1149" s="16" t="s">
        <v>3882</v>
      </c>
      <c r="L1149" s="16" t="s">
        <v>35</v>
      </c>
      <c r="M1149" s="17">
        <v>150</v>
      </c>
      <c r="N1149" s="23">
        <v>1.31</v>
      </c>
      <c r="O1149" s="16" t="s">
        <v>67</v>
      </c>
      <c r="P1149" s="16" t="s">
        <v>63</v>
      </c>
      <c r="Q1149" s="16" t="s">
        <v>29</v>
      </c>
      <c r="R1149" s="16" t="s">
        <v>5704</v>
      </c>
      <c r="S1149" s="12" t="s">
        <v>5717</v>
      </c>
      <c r="T1149" s="13">
        <v>46126</v>
      </c>
      <c r="U1149" s="19"/>
      <c r="V1149" s="55">
        <f>M1149-Z1149-AB1149-AD1149-AF1149-AH1149-AJ1149-AL1149-AN1149-AP1149-AR1149-AT1149-AV1149-AX1149-AZ1149-BB1149-BD1149-BF1149-BH1149-U1149</f>
        <v>-2.5999999999999943</v>
      </c>
      <c r="W1149" s="22" t="s">
        <v>5720</v>
      </c>
      <c r="X1149" s="16" t="s">
        <v>29</v>
      </c>
      <c r="Y1149" s="9"/>
      <c r="Z1149" s="19">
        <v>152.6</v>
      </c>
      <c r="AA1149" s="252">
        <v>46133</v>
      </c>
    </row>
    <row r="1150" spans="1:27" s="28" customFormat="1" ht="20.25" customHeight="1">
      <c r="A1150" s="11">
        <v>46111</v>
      </c>
      <c r="B1150" s="16" t="s">
        <v>5657</v>
      </c>
      <c r="C1150" s="16" t="s">
        <v>535</v>
      </c>
      <c r="D1150" s="16" t="s">
        <v>212</v>
      </c>
      <c r="E1150" s="16" t="s">
        <v>25</v>
      </c>
      <c r="F1150" s="16" t="s">
        <v>5680</v>
      </c>
      <c r="G1150" s="16" t="s">
        <v>71</v>
      </c>
      <c r="H1150" s="16" t="s">
        <v>31</v>
      </c>
      <c r="I1150" s="16"/>
      <c r="J1150" s="16" t="s">
        <v>27</v>
      </c>
      <c r="K1150" s="16" t="s">
        <v>1458</v>
      </c>
      <c r="L1150" s="16" t="s">
        <v>35</v>
      </c>
      <c r="M1150" s="17">
        <v>40</v>
      </c>
      <c r="N1150" s="23">
        <v>1.31</v>
      </c>
      <c r="O1150" s="16" t="s">
        <v>67</v>
      </c>
      <c r="P1150" s="16" t="s">
        <v>63</v>
      </c>
      <c r="Q1150" s="16" t="s">
        <v>29</v>
      </c>
      <c r="R1150" s="16" t="s">
        <v>5705</v>
      </c>
      <c r="S1150" s="12" t="s">
        <v>5717</v>
      </c>
      <c r="T1150" s="13">
        <v>46126</v>
      </c>
      <c r="U1150" s="19"/>
      <c r="V1150" s="53">
        <f>M1150-Z1150-AB1150-AD1150-AF1150-AH1150-AJ1150-AL1150-AN1150-AP1150-AR1150-AT1150-AV1150-AX1150-AZ1150-BB1150-BD1150-BF1150-BH1150-U1150</f>
        <v>-1.6000000000000014</v>
      </c>
      <c r="W1150" s="22" t="s">
        <v>5721</v>
      </c>
      <c r="X1150" s="16" t="s">
        <v>29</v>
      </c>
      <c r="Y1150" s="9"/>
      <c r="Z1150" s="19">
        <v>41.6</v>
      </c>
      <c r="AA1150" s="252">
        <v>46133</v>
      </c>
    </row>
    <row r="1151" spans="1:27" s="28" customFormat="1" ht="20.25" customHeight="1">
      <c r="A1151" s="11">
        <v>46111</v>
      </c>
      <c r="B1151" s="16" t="s">
        <v>5658</v>
      </c>
      <c r="C1151" s="16" t="s">
        <v>535</v>
      </c>
      <c r="D1151" s="16" t="s">
        <v>212</v>
      </c>
      <c r="E1151" s="16" t="s">
        <v>25</v>
      </c>
      <c r="F1151" s="16" t="s">
        <v>5681</v>
      </c>
      <c r="G1151" s="16" t="s">
        <v>71</v>
      </c>
      <c r="H1151" s="16" t="s">
        <v>31</v>
      </c>
      <c r="I1151" s="16"/>
      <c r="J1151" s="16" t="s">
        <v>27</v>
      </c>
      <c r="K1151" s="16" t="s">
        <v>1342</v>
      </c>
      <c r="L1151" s="16" t="s">
        <v>35</v>
      </c>
      <c r="M1151" s="17">
        <v>40</v>
      </c>
      <c r="N1151" s="23">
        <v>1.31</v>
      </c>
      <c r="O1151" s="16" t="s">
        <v>67</v>
      </c>
      <c r="P1151" s="16" t="s">
        <v>63</v>
      </c>
      <c r="Q1151" s="16" t="s">
        <v>29</v>
      </c>
      <c r="R1151" s="16" t="s">
        <v>5706</v>
      </c>
      <c r="S1151" s="12" t="s">
        <v>5717</v>
      </c>
      <c r="T1151" s="13">
        <v>46126</v>
      </c>
      <c r="U1151" s="19"/>
      <c r="V1151" s="53">
        <f>M1151-Z1151-AB1151-AD1151-AF1151-AH1151-AJ1151-AL1151-AN1151-AP1151-AR1151-AT1151-AV1151-AX1151-AZ1151-BB1151-BD1151-BF1151-BH1151-U1151</f>
        <v>-0.20000000000000284</v>
      </c>
      <c r="W1151" s="22" t="s">
        <v>5722</v>
      </c>
      <c r="X1151" s="16" t="s">
        <v>29</v>
      </c>
      <c r="Y1151" s="9"/>
      <c r="Z1151" s="19">
        <v>40.200000000000003</v>
      </c>
      <c r="AA1151" s="252">
        <v>46133</v>
      </c>
    </row>
    <row r="1152" spans="1:27" s="28" customFormat="1" ht="20.25" customHeight="1">
      <c r="A1152" s="11">
        <v>46111</v>
      </c>
      <c r="B1152" s="16" t="s">
        <v>5659</v>
      </c>
      <c r="C1152" s="16" t="s">
        <v>267</v>
      </c>
      <c r="D1152" s="16" t="s">
        <v>212</v>
      </c>
      <c r="E1152" s="16" t="s">
        <v>25</v>
      </c>
      <c r="F1152" s="16" t="s">
        <v>5682</v>
      </c>
      <c r="G1152" s="16" t="s">
        <v>71</v>
      </c>
      <c r="H1152" s="16" t="s">
        <v>26</v>
      </c>
      <c r="I1152" s="16"/>
      <c r="J1152" s="16" t="s">
        <v>27</v>
      </c>
      <c r="K1152" s="16" t="s">
        <v>218</v>
      </c>
      <c r="L1152" s="16" t="s">
        <v>35</v>
      </c>
      <c r="M1152" s="17">
        <v>175</v>
      </c>
      <c r="N1152" s="23">
        <v>1.33</v>
      </c>
      <c r="O1152" s="16" t="s">
        <v>67</v>
      </c>
      <c r="P1152" s="16" t="s">
        <v>63</v>
      </c>
      <c r="Q1152" s="16" t="s">
        <v>29</v>
      </c>
      <c r="R1152" s="16" t="s">
        <v>5707</v>
      </c>
      <c r="S1152" s="12" t="s">
        <v>5718</v>
      </c>
      <c r="T1152" s="13">
        <v>46133</v>
      </c>
      <c r="U1152" s="19"/>
      <c r="V1152" s="53">
        <f>M1152-Z1152-AB1152-AD1152-AF1152-AH1152-AJ1152-AL1152-AN1152-AP1152-AR1152-AT1152-AV1152-AX1152-AZ1152-BB1152-BD1152-BF1152-BH1152-U1152</f>
        <v>-1</v>
      </c>
      <c r="W1152" s="22" t="s">
        <v>5723</v>
      </c>
      <c r="X1152" s="16" t="s">
        <v>29</v>
      </c>
      <c r="Y1152" s="9"/>
      <c r="Z1152" s="19">
        <v>176</v>
      </c>
      <c r="AA1152" s="252">
        <v>46121</v>
      </c>
    </row>
    <row r="1153" spans="1:31" s="28" customFormat="1" ht="20.25" customHeight="1">
      <c r="A1153" s="11">
        <v>46111</v>
      </c>
      <c r="B1153" s="16" t="s">
        <v>5660</v>
      </c>
      <c r="C1153" s="16" t="s">
        <v>267</v>
      </c>
      <c r="D1153" s="16" t="s">
        <v>212</v>
      </c>
      <c r="E1153" s="16" t="s">
        <v>25</v>
      </c>
      <c r="F1153" s="16" t="s">
        <v>5683</v>
      </c>
      <c r="G1153" s="16" t="s">
        <v>71</v>
      </c>
      <c r="H1153" s="16" t="s">
        <v>26</v>
      </c>
      <c r="I1153" s="16"/>
      <c r="J1153" s="16" t="s">
        <v>27</v>
      </c>
      <c r="K1153" s="16" t="s">
        <v>598</v>
      </c>
      <c r="L1153" s="16" t="s">
        <v>35</v>
      </c>
      <c r="M1153" s="17">
        <v>700</v>
      </c>
      <c r="N1153" s="23">
        <v>1.33</v>
      </c>
      <c r="O1153" s="16" t="s">
        <v>67</v>
      </c>
      <c r="P1153" s="16" t="s">
        <v>63</v>
      </c>
      <c r="Q1153" s="16" t="s">
        <v>29</v>
      </c>
      <c r="R1153" s="16" t="s">
        <v>5708</v>
      </c>
      <c r="S1153" s="12" t="s">
        <v>5718</v>
      </c>
      <c r="T1153" s="13">
        <v>46133</v>
      </c>
      <c r="U1153" s="19"/>
      <c r="V1153" s="53">
        <f>M1153-Z1153-AB1153-AD1153-AF1153-AH1153-AJ1153-AL1153-AN1153-AP1153-AR1153-AT1153-AV1153-AX1153-AZ1153-BB1153-BD1153-BF1153-BH1153-U1153</f>
        <v>-4.2632564145606011E-14</v>
      </c>
      <c r="W1153" s="22" t="s">
        <v>5724</v>
      </c>
      <c r="X1153" s="16" t="s">
        <v>29</v>
      </c>
      <c r="Y1153" s="9"/>
      <c r="Z1153" s="19">
        <v>589.20000000000005</v>
      </c>
      <c r="AA1153" s="252">
        <v>46113</v>
      </c>
      <c r="AB1153" s="19">
        <v>110.8</v>
      </c>
      <c r="AC1153" s="252">
        <v>46121</v>
      </c>
    </row>
    <row r="1154" spans="1:31" s="28" customFormat="1" ht="20.25" customHeight="1">
      <c r="A1154" s="11">
        <v>46111</v>
      </c>
      <c r="B1154" s="16" t="s">
        <v>5661</v>
      </c>
      <c r="C1154" s="16" t="s">
        <v>267</v>
      </c>
      <c r="D1154" s="16" t="s">
        <v>212</v>
      </c>
      <c r="E1154" s="16" t="s">
        <v>25</v>
      </c>
      <c r="F1154" s="16" t="s">
        <v>5684</v>
      </c>
      <c r="G1154" s="16" t="s">
        <v>71</v>
      </c>
      <c r="H1154" s="16" t="s">
        <v>26</v>
      </c>
      <c r="I1154" s="16"/>
      <c r="J1154" s="16" t="s">
        <v>27</v>
      </c>
      <c r="K1154" s="16" t="s">
        <v>1082</v>
      </c>
      <c r="L1154" s="16" t="s">
        <v>35</v>
      </c>
      <c r="M1154" s="17">
        <v>1020</v>
      </c>
      <c r="N1154" s="23">
        <v>1.33</v>
      </c>
      <c r="O1154" s="16" t="s">
        <v>67</v>
      </c>
      <c r="P1154" s="16" t="s">
        <v>63</v>
      </c>
      <c r="Q1154" s="16" t="s">
        <v>29</v>
      </c>
      <c r="R1154" s="16" t="s">
        <v>5709</v>
      </c>
      <c r="S1154" s="12" t="s">
        <v>5718</v>
      </c>
      <c r="T1154" s="13">
        <v>46133</v>
      </c>
      <c r="U1154" s="19"/>
      <c r="V1154" s="53">
        <f>M1154-Z1154-AB1154-AD1154-AF1154-AH1154-AJ1154-AL1154-AN1154-AP1154-AR1154-AT1154-AV1154-AX1154-AZ1154-BB1154-BD1154-BF1154-BH1154-U1154</f>
        <v>-2.8999999999999773</v>
      </c>
      <c r="W1154" s="22" t="s">
        <v>5725</v>
      </c>
      <c r="X1154" s="16" t="s">
        <v>29</v>
      </c>
      <c r="Y1154" s="9"/>
      <c r="Z1154" s="19">
        <v>1022.9</v>
      </c>
      <c r="AA1154" s="252">
        <v>46121</v>
      </c>
    </row>
    <row r="1155" spans="1:31" s="28" customFormat="1" ht="20.25" customHeight="1">
      <c r="A1155" s="11">
        <v>46111</v>
      </c>
      <c r="B1155" s="16" t="s">
        <v>5662</v>
      </c>
      <c r="C1155" s="16" t="s">
        <v>267</v>
      </c>
      <c r="D1155" s="16" t="s">
        <v>212</v>
      </c>
      <c r="E1155" s="16" t="s">
        <v>25</v>
      </c>
      <c r="F1155" s="16" t="s">
        <v>5685</v>
      </c>
      <c r="G1155" s="16" t="s">
        <v>71</v>
      </c>
      <c r="H1155" s="16" t="s">
        <v>26</v>
      </c>
      <c r="I1155" s="16"/>
      <c r="J1155" s="16" t="s">
        <v>27</v>
      </c>
      <c r="K1155" s="16" t="s">
        <v>218</v>
      </c>
      <c r="L1155" s="16" t="s">
        <v>35</v>
      </c>
      <c r="M1155" s="17">
        <v>9210</v>
      </c>
      <c r="N1155" s="23">
        <v>1.33</v>
      </c>
      <c r="O1155" s="16" t="s">
        <v>67</v>
      </c>
      <c r="P1155" s="16" t="s">
        <v>63</v>
      </c>
      <c r="Q1155" s="16" t="s">
        <v>29</v>
      </c>
      <c r="R1155" s="16" t="s">
        <v>5710</v>
      </c>
      <c r="S1155" s="12" t="s">
        <v>5718</v>
      </c>
      <c r="T1155" s="13">
        <v>46133</v>
      </c>
      <c r="U1155" s="19"/>
      <c r="V1155" s="55">
        <f>M1155-Z1155-AB1155-AD1155-AF1155-AH1155-AJ1155-AL1155-AN1155-AP1155-AR1155-AT1155-AV1155-AX1155-AZ1155-BB1155-BD1155-BF1155-BH1155-U1155</f>
        <v>-1.7000000000000455</v>
      </c>
      <c r="W1155" s="22" t="s">
        <v>5726</v>
      </c>
      <c r="X1155" s="16" t="s">
        <v>29</v>
      </c>
      <c r="Y1155" s="9"/>
      <c r="Z1155" s="19">
        <v>2653.2</v>
      </c>
      <c r="AA1155" s="252">
        <v>46121</v>
      </c>
      <c r="AB1155" s="19">
        <f>732.6+3994.7</f>
        <v>4727.3</v>
      </c>
      <c r="AC1155" s="252">
        <v>46125</v>
      </c>
      <c r="AD1155" s="19">
        <v>1831.2</v>
      </c>
      <c r="AE1155" s="252">
        <v>46126</v>
      </c>
    </row>
    <row r="1156" spans="1:31" s="28" customFormat="1" ht="20.25" customHeight="1">
      <c r="A1156" s="11">
        <v>46111</v>
      </c>
      <c r="B1156" s="16" t="s">
        <v>5663</v>
      </c>
      <c r="C1156" s="16" t="s">
        <v>267</v>
      </c>
      <c r="D1156" s="16" t="s">
        <v>212</v>
      </c>
      <c r="E1156" s="16" t="s">
        <v>25</v>
      </c>
      <c r="F1156" s="16" t="s">
        <v>5686</v>
      </c>
      <c r="G1156" s="16" t="s">
        <v>71</v>
      </c>
      <c r="H1156" s="16" t="s">
        <v>26</v>
      </c>
      <c r="I1156" s="16"/>
      <c r="J1156" s="16" t="s">
        <v>27</v>
      </c>
      <c r="K1156" s="16" t="s">
        <v>598</v>
      </c>
      <c r="L1156" s="16" t="s">
        <v>35</v>
      </c>
      <c r="M1156" s="17">
        <v>1210</v>
      </c>
      <c r="N1156" s="23">
        <v>1.33</v>
      </c>
      <c r="O1156" s="16" t="s">
        <v>67</v>
      </c>
      <c r="P1156" s="16" t="s">
        <v>63</v>
      </c>
      <c r="Q1156" s="16" t="s">
        <v>29</v>
      </c>
      <c r="R1156" s="16" t="s">
        <v>5708</v>
      </c>
      <c r="S1156" s="12" t="s">
        <v>5718</v>
      </c>
      <c r="T1156" s="13">
        <v>46133</v>
      </c>
      <c r="U1156" s="19"/>
      <c r="V1156" s="53">
        <f>M1156-Z1156-AB1156-AD1156-AF1156-AH1156-AJ1156-AL1156-AN1156-AP1156-AR1156-AT1156-AV1156-AX1156-AZ1156-BB1156-BD1156-BF1156-BH1156-U1156</f>
        <v>-0.59999999999990905</v>
      </c>
      <c r="W1156" s="22" t="s">
        <v>5727</v>
      </c>
      <c r="X1156" s="16" t="s">
        <v>29</v>
      </c>
      <c r="Y1156" s="9"/>
      <c r="Z1156" s="19">
        <v>1210.5999999999999</v>
      </c>
      <c r="AA1156" s="252">
        <v>46121</v>
      </c>
    </row>
    <row r="1157" spans="1:31" s="28" customFormat="1" ht="20.25" customHeight="1">
      <c r="A1157" s="11">
        <v>46111</v>
      </c>
      <c r="B1157" s="16" t="s">
        <v>5664</v>
      </c>
      <c r="C1157" s="16" t="s">
        <v>267</v>
      </c>
      <c r="D1157" s="16" t="s">
        <v>212</v>
      </c>
      <c r="E1157" s="16" t="s">
        <v>25</v>
      </c>
      <c r="F1157" s="16" t="s">
        <v>5687</v>
      </c>
      <c r="G1157" s="16" t="s">
        <v>71</v>
      </c>
      <c r="H1157" s="16" t="s">
        <v>26</v>
      </c>
      <c r="I1157" s="1"/>
      <c r="J1157" s="1" t="s">
        <v>27</v>
      </c>
      <c r="K1157" s="16" t="s">
        <v>3882</v>
      </c>
      <c r="L1157" s="16" t="s">
        <v>35</v>
      </c>
      <c r="M1157" s="17">
        <v>3625</v>
      </c>
      <c r="N1157" s="23">
        <v>1.33</v>
      </c>
      <c r="O1157" s="16" t="s">
        <v>67</v>
      </c>
      <c r="P1157" s="16" t="s">
        <v>63</v>
      </c>
      <c r="Q1157" s="16" t="s">
        <v>29</v>
      </c>
      <c r="R1157" s="16" t="s">
        <v>5711</v>
      </c>
      <c r="S1157" s="12" t="s">
        <v>5718</v>
      </c>
      <c r="T1157" s="13">
        <v>46133</v>
      </c>
      <c r="U1157" s="19"/>
      <c r="V1157" s="53">
        <f>M1157-Z1157-AB1157-AD1157-AF1157-AH1157-AJ1157-AL1157-AN1157-AP1157-AR1157-AT1157-AV1157-AX1157-AZ1157-BB1157-BD1157-BF1157-BH1157-U1157</f>
        <v>0</v>
      </c>
      <c r="W1157" s="22" t="s">
        <v>5728</v>
      </c>
      <c r="X1157" s="16" t="s">
        <v>29</v>
      </c>
      <c r="Y1157" s="9"/>
      <c r="Z1157" s="19">
        <v>3625</v>
      </c>
      <c r="AA1157" s="252">
        <v>46129</v>
      </c>
    </row>
    <row r="1158" spans="1:31" s="28" customFormat="1" ht="20.25" customHeight="1">
      <c r="A1158" s="11">
        <v>46111</v>
      </c>
      <c r="B1158" s="16" t="s">
        <v>5665</v>
      </c>
      <c r="C1158" s="16" t="s">
        <v>267</v>
      </c>
      <c r="D1158" s="16" t="s">
        <v>212</v>
      </c>
      <c r="E1158" s="16" t="s">
        <v>25</v>
      </c>
      <c r="F1158" s="16" t="s">
        <v>5688</v>
      </c>
      <c r="G1158" s="16" t="s">
        <v>71</v>
      </c>
      <c r="H1158" s="16" t="s">
        <v>26</v>
      </c>
      <c r="I1158" s="1"/>
      <c r="J1158" s="1" t="s">
        <v>27</v>
      </c>
      <c r="K1158" s="16" t="s">
        <v>218</v>
      </c>
      <c r="L1158" s="16" t="s">
        <v>35</v>
      </c>
      <c r="M1158" s="17">
        <v>10010</v>
      </c>
      <c r="N1158" s="23">
        <v>1.33</v>
      </c>
      <c r="O1158" s="16" t="s">
        <v>67</v>
      </c>
      <c r="P1158" s="16" t="s">
        <v>63</v>
      </c>
      <c r="Q1158" s="16" t="s">
        <v>29</v>
      </c>
      <c r="R1158" s="16" t="s">
        <v>5712</v>
      </c>
      <c r="S1158" s="12" t="s">
        <v>5718</v>
      </c>
      <c r="T1158" s="13">
        <v>46133</v>
      </c>
      <c r="U1158" s="19"/>
      <c r="V1158" s="53">
        <f>M1158-Z1158-AB1158-AD1158-AF1158-AH1158-AJ1158-AL1158-AN1158-AP1158-AR1158-AT1158-AV1158-AX1158-AZ1158-BB1158-BD1158-BF1158-BH1158-U1158</f>
        <v>-5.6999999999998181</v>
      </c>
      <c r="W1158" s="22" t="s">
        <v>5729</v>
      </c>
      <c r="X1158" s="16" t="s">
        <v>29</v>
      </c>
      <c r="Y1158" s="9"/>
      <c r="Z1158" s="19">
        <f>4023.6+2916.1</f>
        <v>6939.7</v>
      </c>
      <c r="AA1158" s="252">
        <v>46126</v>
      </c>
      <c r="AB1158" s="19">
        <v>3076</v>
      </c>
      <c r="AC1158" s="252">
        <v>46129</v>
      </c>
    </row>
    <row r="1159" spans="1:31" s="36" customFormat="1" ht="20.25" customHeight="1">
      <c r="A1159" s="7">
        <v>46111</v>
      </c>
      <c r="B1159" s="19" t="s">
        <v>5666</v>
      </c>
      <c r="C1159" s="19" t="s">
        <v>267</v>
      </c>
      <c r="D1159" s="19" t="s">
        <v>212</v>
      </c>
      <c r="E1159" s="19" t="s">
        <v>25</v>
      </c>
      <c r="F1159" s="19" t="s">
        <v>5689</v>
      </c>
      <c r="G1159" s="19" t="s">
        <v>71</v>
      </c>
      <c r="H1159" s="19" t="s">
        <v>26</v>
      </c>
      <c r="I1159" s="19"/>
      <c r="J1159" s="19" t="s">
        <v>27</v>
      </c>
      <c r="K1159" s="19" t="s">
        <v>340</v>
      </c>
      <c r="L1159" s="19" t="s">
        <v>35</v>
      </c>
      <c r="M1159" s="20">
        <v>2310</v>
      </c>
      <c r="N1159" s="25">
        <v>1.33</v>
      </c>
      <c r="O1159" s="19" t="s">
        <v>5894</v>
      </c>
      <c r="P1159" s="19" t="s">
        <v>63</v>
      </c>
      <c r="Q1159" s="19" t="s">
        <v>29</v>
      </c>
      <c r="R1159" s="19" t="s">
        <v>5713</v>
      </c>
      <c r="S1159" s="45" t="s">
        <v>5718</v>
      </c>
      <c r="T1159" s="8">
        <v>46133</v>
      </c>
      <c r="U1159" s="19"/>
      <c r="V1159" s="55">
        <f>M1159-Z1159-AB1159-AD1159-AF1159-AH1159-AJ1159-AL1159-AN1159-AP1159-AR1159-AT1159-AV1159-AX1159-AZ1159-BB1159-BD1159-BF1159-BH1159-U1159</f>
        <v>-0.8000000000001819</v>
      </c>
      <c r="W1159" s="15" t="s">
        <v>5730</v>
      </c>
      <c r="X1159" s="19" t="s">
        <v>29</v>
      </c>
      <c r="Y1159" s="10"/>
      <c r="Z1159" s="19">
        <v>2310.8000000000002</v>
      </c>
      <c r="AA1159" s="123">
        <v>46125</v>
      </c>
    </row>
    <row r="1160" spans="1:31" s="36" customFormat="1" ht="20.25" customHeight="1">
      <c r="A1160" s="7">
        <v>46111</v>
      </c>
      <c r="B1160" s="19" t="s">
        <v>5667</v>
      </c>
      <c r="C1160" s="19" t="s">
        <v>267</v>
      </c>
      <c r="D1160" s="19" t="s">
        <v>212</v>
      </c>
      <c r="E1160" s="19" t="s">
        <v>25</v>
      </c>
      <c r="F1160" s="19" t="s">
        <v>5690</v>
      </c>
      <c r="G1160" s="19" t="s">
        <v>71</v>
      </c>
      <c r="H1160" s="19" t="s">
        <v>31</v>
      </c>
      <c r="I1160" s="19"/>
      <c r="J1160" s="19" t="s">
        <v>27</v>
      </c>
      <c r="K1160" s="19" t="s">
        <v>340</v>
      </c>
      <c r="L1160" s="19" t="s">
        <v>35</v>
      </c>
      <c r="M1160" s="20">
        <v>430</v>
      </c>
      <c r="N1160" s="25">
        <v>1.33</v>
      </c>
      <c r="O1160" s="19" t="s">
        <v>5894</v>
      </c>
      <c r="P1160" s="19" t="s">
        <v>63</v>
      </c>
      <c r="Q1160" s="19" t="s">
        <v>29</v>
      </c>
      <c r="R1160" s="19" t="s">
        <v>5714</v>
      </c>
      <c r="S1160" s="45" t="s">
        <v>5718</v>
      </c>
      <c r="T1160" s="8">
        <v>46133</v>
      </c>
      <c r="U1160" s="19"/>
      <c r="V1160" s="55">
        <f>M1160-Z1160-AB1160-AD1160-AF1160-AH1160-AJ1160-AL1160-AN1160-AP1160-AR1160-AT1160-AV1160-AX1160-AZ1160-BB1160-BD1160-BF1160-BH1160-U1160</f>
        <v>-0.10000000000002274</v>
      </c>
      <c r="W1160" s="15" t="s">
        <v>5731</v>
      </c>
      <c r="X1160" s="19" t="s">
        <v>29</v>
      </c>
      <c r="Y1160" s="10"/>
      <c r="Z1160" s="19">
        <v>430.1</v>
      </c>
      <c r="AA1160" s="123">
        <v>46125</v>
      </c>
    </row>
    <row r="1161" spans="1:31" s="28" customFormat="1" ht="20.25" customHeight="1">
      <c r="A1161" s="11">
        <v>46111</v>
      </c>
      <c r="B1161" s="16" t="s">
        <v>5668</v>
      </c>
      <c r="C1161" s="16" t="s">
        <v>267</v>
      </c>
      <c r="D1161" s="16" t="s">
        <v>212</v>
      </c>
      <c r="E1161" s="16" t="s">
        <v>25</v>
      </c>
      <c r="F1161" s="16" t="s">
        <v>5691</v>
      </c>
      <c r="G1161" s="16" t="s">
        <v>71</v>
      </c>
      <c r="H1161" s="16" t="s">
        <v>26</v>
      </c>
      <c r="I1161" s="1"/>
      <c r="J1161" s="1" t="s">
        <v>27</v>
      </c>
      <c r="K1161" s="16" t="s">
        <v>218</v>
      </c>
      <c r="L1161" s="16" t="s">
        <v>35</v>
      </c>
      <c r="M1161" s="17">
        <v>765</v>
      </c>
      <c r="N1161" s="23">
        <v>1.33</v>
      </c>
      <c r="O1161" s="16" t="s">
        <v>67</v>
      </c>
      <c r="P1161" s="16" t="s">
        <v>63</v>
      </c>
      <c r="Q1161" s="16" t="s">
        <v>29</v>
      </c>
      <c r="R1161" s="16" t="s">
        <v>2988</v>
      </c>
      <c r="S1161" s="12" t="s">
        <v>5718</v>
      </c>
      <c r="T1161" s="13">
        <v>46133</v>
      </c>
      <c r="U1161" s="19"/>
      <c r="V1161" s="53">
        <f>M1161-Z1161-AB1161-AD1161-AF1161-AH1161-AJ1161-AL1161-AN1161-AP1161-AR1161-AT1161-AV1161-AX1161-AZ1161-BB1161-BD1161-BF1161-BH1161-U1161</f>
        <v>-2.7999999999999545</v>
      </c>
      <c r="W1161" s="22" t="s">
        <v>5732</v>
      </c>
      <c r="X1161" s="16" t="s">
        <v>29</v>
      </c>
      <c r="Y1161" s="9"/>
      <c r="Z1161" s="19">
        <v>767.8</v>
      </c>
      <c r="AA1161" s="252">
        <v>46129</v>
      </c>
    </row>
    <row r="1162" spans="1:31" s="28" customFormat="1" ht="20.25" customHeight="1">
      <c r="A1162" s="11">
        <v>46111</v>
      </c>
      <c r="B1162" s="16" t="s">
        <v>5669</v>
      </c>
      <c r="C1162" s="16" t="s">
        <v>267</v>
      </c>
      <c r="D1162" s="16" t="s">
        <v>212</v>
      </c>
      <c r="E1162" s="16" t="s">
        <v>25</v>
      </c>
      <c r="F1162" s="16" t="s">
        <v>5692</v>
      </c>
      <c r="G1162" s="16" t="s">
        <v>71</v>
      </c>
      <c r="H1162" s="16" t="s">
        <v>26</v>
      </c>
      <c r="I1162" s="1"/>
      <c r="J1162" s="1" t="s">
        <v>27</v>
      </c>
      <c r="K1162" s="16" t="s">
        <v>2975</v>
      </c>
      <c r="L1162" s="16" t="s">
        <v>35</v>
      </c>
      <c r="M1162" s="17">
        <v>205</v>
      </c>
      <c r="N1162" s="23">
        <v>1.33</v>
      </c>
      <c r="O1162" s="16" t="s">
        <v>67</v>
      </c>
      <c r="P1162" s="16" t="s">
        <v>63</v>
      </c>
      <c r="Q1162" s="16" t="s">
        <v>29</v>
      </c>
      <c r="R1162" s="16" t="s">
        <v>5711</v>
      </c>
      <c r="S1162" s="12" t="s">
        <v>5718</v>
      </c>
      <c r="T1162" s="13">
        <v>46133</v>
      </c>
      <c r="U1162" s="19"/>
      <c r="V1162" s="53">
        <f>M1162-Z1162-AB1162-AD1162-AF1162-AH1162-AJ1162-AL1162-AN1162-AP1162-AR1162-AT1162-AV1162-AX1162-AZ1162-BB1162-BD1162-BF1162-BH1162-U1162</f>
        <v>-2.5999999999999943</v>
      </c>
      <c r="W1162" s="22" t="s">
        <v>5733</v>
      </c>
      <c r="X1162" s="16" t="s">
        <v>29</v>
      </c>
      <c r="Y1162" s="9"/>
      <c r="Z1162" s="19">
        <v>207.6</v>
      </c>
      <c r="AA1162" s="252">
        <v>46129</v>
      </c>
    </row>
    <row r="1163" spans="1:31" s="28" customFormat="1" ht="20.25" customHeight="1">
      <c r="A1163" s="11">
        <v>46111</v>
      </c>
      <c r="B1163" s="16" t="s">
        <v>5670</v>
      </c>
      <c r="C1163" s="16" t="s">
        <v>267</v>
      </c>
      <c r="D1163" s="16" t="s">
        <v>212</v>
      </c>
      <c r="E1163" s="16" t="s">
        <v>25</v>
      </c>
      <c r="F1163" s="16" t="s">
        <v>5693</v>
      </c>
      <c r="G1163" s="16" t="s">
        <v>71</v>
      </c>
      <c r="H1163" s="16" t="s">
        <v>26</v>
      </c>
      <c r="I1163" s="16"/>
      <c r="J1163" s="16" t="s">
        <v>27</v>
      </c>
      <c r="K1163" s="16" t="s">
        <v>1093</v>
      </c>
      <c r="L1163" s="16" t="s">
        <v>35</v>
      </c>
      <c r="M1163" s="17">
        <v>300</v>
      </c>
      <c r="N1163" s="23">
        <v>1.33</v>
      </c>
      <c r="O1163" s="16" t="s">
        <v>67</v>
      </c>
      <c r="P1163" s="16" t="s">
        <v>63</v>
      </c>
      <c r="Q1163" s="16" t="s">
        <v>29</v>
      </c>
      <c r="R1163" s="16" t="s">
        <v>5709</v>
      </c>
      <c r="S1163" s="12" t="s">
        <v>5718</v>
      </c>
      <c r="T1163" s="13">
        <v>46133</v>
      </c>
      <c r="U1163" s="19"/>
      <c r="V1163" s="53">
        <f>M1163-Z1163-AB1163-AD1163-AF1163-AH1163-AJ1163-AL1163-AN1163-AP1163-AR1163-AT1163-AV1163-AX1163-AZ1163-BB1163-BD1163-BF1163-BH1163-U1163</f>
        <v>-0.5</v>
      </c>
      <c r="W1163" s="22" t="s">
        <v>5734</v>
      </c>
      <c r="X1163" s="16" t="s">
        <v>29</v>
      </c>
      <c r="Y1163" s="9"/>
      <c r="Z1163" s="19">
        <v>300.5</v>
      </c>
      <c r="AA1163" s="252">
        <v>46121</v>
      </c>
    </row>
    <row r="1164" spans="1:31" s="28" customFormat="1" ht="20.25" customHeight="1">
      <c r="A1164" s="11">
        <v>46111</v>
      </c>
      <c r="B1164" s="16" t="s">
        <v>5671</v>
      </c>
      <c r="C1164" s="16" t="s">
        <v>315</v>
      </c>
      <c r="D1164" s="16" t="s">
        <v>212</v>
      </c>
      <c r="E1164" s="16" t="s">
        <v>25</v>
      </c>
      <c r="F1164" s="16" t="s">
        <v>5694</v>
      </c>
      <c r="G1164" s="16" t="s">
        <v>71</v>
      </c>
      <c r="H1164" s="16" t="s">
        <v>31</v>
      </c>
      <c r="I1164" s="16"/>
      <c r="J1164" s="16" t="s">
        <v>27</v>
      </c>
      <c r="K1164" s="16" t="s">
        <v>218</v>
      </c>
      <c r="L1164" s="16" t="s">
        <v>35</v>
      </c>
      <c r="M1164" s="17">
        <v>9890</v>
      </c>
      <c r="N1164" s="23">
        <v>1.33</v>
      </c>
      <c r="O1164" s="16" t="s">
        <v>67</v>
      </c>
      <c r="P1164" s="16" t="s">
        <v>63</v>
      </c>
      <c r="Q1164" s="16" t="s">
        <v>29</v>
      </c>
      <c r="R1164" s="16" t="s">
        <v>29</v>
      </c>
      <c r="S1164" s="12" t="s">
        <v>5646</v>
      </c>
      <c r="T1164" s="13">
        <v>46119</v>
      </c>
      <c r="U1164" s="19"/>
      <c r="V1164" s="324">
        <f>M1164-Z1164-AB1164-AD1164-AF1164-AH1164-AJ1164-AL1164-AN1164-AP1164-AR1164-AT1164-AV1164-AX1164-AZ1164-BB1164-BD1164-BF1164-BH1164-U1164</f>
        <v>-3</v>
      </c>
      <c r="W1164" s="22" t="s">
        <v>5735</v>
      </c>
      <c r="X1164" s="16" t="s">
        <v>29</v>
      </c>
      <c r="Y1164" s="9"/>
      <c r="Z1164" s="19">
        <f>1862.9+1339.9+4083+2607.2</f>
        <v>9893</v>
      </c>
      <c r="AA1164" s="252">
        <v>46120</v>
      </c>
    </row>
    <row r="1165" spans="1:31" s="28" customFormat="1" ht="20.25" customHeight="1">
      <c r="A1165" s="11">
        <v>46111</v>
      </c>
      <c r="B1165" s="16" t="s">
        <v>5672</v>
      </c>
      <c r="C1165" s="16" t="s">
        <v>228</v>
      </c>
      <c r="D1165" s="16" t="s">
        <v>212</v>
      </c>
      <c r="E1165" s="16" t="s">
        <v>25</v>
      </c>
      <c r="F1165" s="16" t="s">
        <v>5695</v>
      </c>
      <c r="G1165" s="16" t="s">
        <v>71</v>
      </c>
      <c r="H1165" s="16" t="s">
        <v>31</v>
      </c>
      <c r="I1165" s="16"/>
      <c r="J1165" s="16" t="s">
        <v>27</v>
      </c>
      <c r="K1165" s="16" t="s">
        <v>2462</v>
      </c>
      <c r="L1165" s="16" t="s">
        <v>35</v>
      </c>
      <c r="M1165" s="17">
        <v>87.21</v>
      </c>
      <c r="N1165" s="23">
        <v>1.33</v>
      </c>
      <c r="O1165" s="16" t="s">
        <v>67</v>
      </c>
      <c r="P1165" s="16" t="s">
        <v>63</v>
      </c>
      <c r="Q1165" s="16" t="s">
        <v>480</v>
      </c>
      <c r="R1165" s="16" t="s">
        <v>481</v>
      </c>
      <c r="S1165" s="12" t="s">
        <v>5717</v>
      </c>
      <c r="T1165" s="13">
        <v>46126</v>
      </c>
      <c r="U1165" s="19"/>
      <c r="V1165" s="53">
        <f>M1165-Z1165-AB1165-AD1165-AF1165-AH1165-AJ1165-AL1165-AN1165-AP1165-AR1165-AT1165-AV1165-AX1165-AZ1165-BB1165-BD1165-BF1165-BH1165-U1165</f>
        <v>-2.3900000000000006</v>
      </c>
      <c r="W1165" s="22" t="s">
        <v>5736</v>
      </c>
      <c r="X1165" s="16" t="s">
        <v>29</v>
      </c>
      <c r="Y1165" s="9"/>
      <c r="Z1165" s="19">
        <v>89.6</v>
      </c>
      <c r="AA1165" s="252">
        <v>46128</v>
      </c>
    </row>
    <row r="1166" spans="1:31" s="28" customFormat="1" ht="20.25" customHeight="1">
      <c r="A1166" s="11">
        <v>46111</v>
      </c>
      <c r="B1166" s="16" t="s">
        <v>5672</v>
      </c>
      <c r="C1166" s="16" t="s">
        <v>228</v>
      </c>
      <c r="D1166" s="16" t="s">
        <v>212</v>
      </c>
      <c r="E1166" s="16" t="s">
        <v>25</v>
      </c>
      <c r="F1166" s="16" t="s">
        <v>5695</v>
      </c>
      <c r="G1166" s="16" t="s">
        <v>71</v>
      </c>
      <c r="H1166" s="16" t="s">
        <v>31</v>
      </c>
      <c r="I1166" s="16"/>
      <c r="J1166" s="16" t="s">
        <v>27</v>
      </c>
      <c r="K1166" s="16" t="s">
        <v>2462</v>
      </c>
      <c r="L1166" s="16" t="s">
        <v>35</v>
      </c>
      <c r="M1166" s="17">
        <v>23.97</v>
      </c>
      <c r="N1166" s="23">
        <v>1.33</v>
      </c>
      <c r="O1166" s="16" t="s">
        <v>67</v>
      </c>
      <c r="P1166" s="16" t="s">
        <v>63</v>
      </c>
      <c r="Q1166" s="16" t="s">
        <v>480</v>
      </c>
      <c r="R1166" s="16" t="s">
        <v>2026</v>
      </c>
      <c r="S1166" s="12" t="s">
        <v>5717</v>
      </c>
      <c r="T1166" s="13">
        <v>46126</v>
      </c>
      <c r="U1166" s="19"/>
      <c r="V1166" s="53">
        <f>M1166-Z1166-AB1166-AD1166-AF1166-AH1166-AJ1166-AL1166-AN1166-AP1166-AR1166-AT1166-AV1166-AX1166-AZ1166-BB1166-BD1166-BF1166-BH1166-U1166</f>
        <v>-1.7300000000000004</v>
      </c>
      <c r="W1166" s="22" t="s">
        <v>5737</v>
      </c>
      <c r="X1166" s="16" t="s">
        <v>29</v>
      </c>
      <c r="Y1166" s="9"/>
      <c r="Z1166" s="19">
        <v>25.7</v>
      </c>
      <c r="AA1166" s="252">
        <v>46128</v>
      </c>
    </row>
    <row r="1167" spans="1:31" s="28" customFormat="1" ht="20.25" customHeight="1">
      <c r="A1167" s="11">
        <v>46111</v>
      </c>
      <c r="B1167" s="16" t="s">
        <v>5673</v>
      </c>
      <c r="C1167" s="16" t="s">
        <v>228</v>
      </c>
      <c r="D1167" s="16" t="s">
        <v>212</v>
      </c>
      <c r="E1167" s="16" t="s">
        <v>25</v>
      </c>
      <c r="F1167" s="16" t="s">
        <v>5696</v>
      </c>
      <c r="G1167" s="16" t="s">
        <v>71</v>
      </c>
      <c r="H1167" s="16" t="s">
        <v>31</v>
      </c>
      <c r="I1167" s="16"/>
      <c r="J1167" s="16" t="s">
        <v>27</v>
      </c>
      <c r="K1167" s="16" t="s">
        <v>2462</v>
      </c>
      <c r="L1167" s="16" t="s">
        <v>35</v>
      </c>
      <c r="M1167" s="17">
        <v>875.57</v>
      </c>
      <c r="N1167" s="23">
        <v>1.33</v>
      </c>
      <c r="O1167" s="16" t="s">
        <v>67</v>
      </c>
      <c r="P1167" s="16" t="s">
        <v>63</v>
      </c>
      <c r="Q1167" s="16" t="s">
        <v>480</v>
      </c>
      <c r="R1167" s="16" t="s">
        <v>481</v>
      </c>
      <c r="S1167" s="12" t="s">
        <v>5717</v>
      </c>
      <c r="T1167" s="13">
        <v>46126</v>
      </c>
      <c r="U1167" s="19"/>
      <c r="V1167" s="53">
        <f>M1167-Z1167-AB1167-AD1167-AF1167-AH1167-AJ1167-AL1167-AN1167-AP1167-AR1167-AT1167-AV1167-AX1167-AZ1167-BB1167-BD1167-BF1167-BH1167-U1167</f>
        <v>-1.1299999999998818</v>
      </c>
      <c r="W1167" s="22" t="s">
        <v>5738</v>
      </c>
      <c r="X1167" s="16" t="s">
        <v>29</v>
      </c>
      <c r="Y1167" s="9"/>
      <c r="Z1167" s="19">
        <f>47.3+829.4</f>
        <v>876.69999999999993</v>
      </c>
      <c r="AA1167" s="252">
        <v>46128</v>
      </c>
    </row>
    <row r="1168" spans="1:31" s="28" customFormat="1" ht="20.25" customHeight="1">
      <c r="A1168" s="11">
        <v>46111</v>
      </c>
      <c r="B1168" s="16" t="s">
        <v>5674</v>
      </c>
      <c r="C1168" s="16" t="s">
        <v>1568</v>
      </c>
      <c r="D1168" s="16" t="s">
        <v>212</v>
      </c>
      <c r="E1168" s="16" t="s">
        <v>25</v>
      </c>
      <c r="F1168" s="16" t="s">
        <v>5697</v>
      </c>
      <c r="G1168" s="16" t="s">
        <v>71</v>
      </c>
      <c r="H1168" s="16" t="s">
        <v>26</v>
      </c>
      <c r="I1168" s="16"/>
      <c r="J1168" s="16" t="s">
        <v>27</v>
      </c>
      <c r="K1168" s="16" t="s">
        <v>913</v>
      </c>
      <c r="L1168" s="16" t="s">
        <v>35</v>
      </c>
      <c r="M1168" s="17">
        <v>2738</v>
      </c>
      <c r="N1168" s="23">
        <v>1.33</v>
      </c>
      <c r="O1168" s="16" t="s">
        <v>67</v>
      </c>
      <c r="P1168" s="16" t="s">
        <v>63</v>
      </c>
      <c r="Q1168" s="16" t="s">
        <v>29</v>
      </c>
      <c r="R1168" s="16" t="s">
        <v>1520</v>
      </c>
      <c r="S1168" s="12" t="s">
        <v>5719</v>
      </c>
      <c r="T1168" s="13">
        <v>46136</v>
      </c>
      <c r="U1168" s="19"/>
      <c r="V1168" s="53">
        <f>M1168-Z1168-AB1168-AD1168-AF1168-AH1168-AJ1168-AL1168-AN1168-AP1168-AR1168-AT1168-AV1168-AX1168-AZ1168-BB1168-BD1168-BF1168-BH1168-U1168</f>
        <v>-4.7999999999997272</v>
      </c>
      <c r="W1168" s="22" t="s">
        <v>5739</v>
      </c>
      <c r="X1168" s="16" t="s">
        <v>29</v>
      </c>
      <c r="Y1168" s="9"/>
      <c r="Z1168" s="19">
        <f>2282.6+460.2</f>
        <v>2742.7999999999997</v>
      </c>
      <c r="AA1168" s="252">
        <v>46133</v>
      </c>
    </row>
    <row r="1169" spans="1:29" s="28" customFormat="1" ht="20.25" customHeight="1">
      <c r="A1169" s="11">
        <v>46111</v>
      </c>
      <c r="B1169" s="16" t="s">
        <v>5674</v>
      </c>
      <c r="C1169" s="16" t="s">
        <v>1568</v>
      </c>
      <c r="D1169" s="16" t="s">
        <v>212</v>
      </c>
      <c r="E1169" s="16" t="s">
        <v>25</v>
      </c>
      <c r="F1169" s="16" t="s">
        <v>5697</v>
      </c>
      <c r="G1169" s="16" t="s">
        <v>71</v>
      </c>
      <c r="H1169" s="16" t="s">
        <v>26</v>
      </c>
      <c r="I1169" s="16"/>
      <c r="J1169" s="16" t="s">
        <v>27</v>
      </c>
      <c r="K1169" s="16" t="s">
        <v>5702</v>
      </c>
      <c r="L1169" s="16" t="s">
        <v>35</v>
      </c>
      <c r="M1169" s="17">
        <v>9828</v>
      </c>
      <c r="N1169" s="23">
        <v>1.33</v>
      </c>
      <c r="O1169" s="16" t="s">
        <v>67</v>
      </c>
      <c r="P1169" s="16" t="s">
        <v>63</v>
      </c>
      <c r="Q1169" s="16" t="s">
        <v>29</v>
      </c>
      <c r="R1169" s="16" t="s">
        <v>5715</v>
      </c>
      <c r="S1169" s="12" t="s">
        <v>5719</v>
      </c>
      <c r="T1169" s="13">
        <v>46136</v>
      </c>
      <c r="U1169" s="19"/>
      <c r="V1169" s="53">
        <f>M1169-Z1169-AB1169-AD1169-AF1169-AH1169-AJ1169-AL1169-AN1169-AP1169-AR1169-AT1169-AV1169-AX1169-AZ1169-BB1169-BD1169-BF1169-BH1169-U1169</f>
        <v>-0.6999999999998181</v>
      </c>
      <c r="W1169" s="22" t="s">
        <v>5740</v>
      </c>
      <c r="X1169" s="16" t="s">
        <v>29</v>
      </c>
      <c r="Y1169" s="9"/>
      <c r="Z1169" s="19">
        <f>650.7+3252.1</f>
        <v>3902.8</v>
      </c>
      <c r="AA1169" s="252">
        <v>46133</v>
      </c>
      <c r="AB1169" s="19">
        <f>1163.5+3589.4+1135+38</f>
        <v>5925.9</v>
      </c>
      <c r="AC1169" s="252">
        <v>46136</v>
      </c>
    </row>
    <row r="1170" spans="1:29" s="36" customFormat="1" ht="20.25" customHeight="1">
      <c r="A1170" s="7">
        <v>46111</v>
      </c>
      <c r="B1170" s="19" t="s">
        <v>5674</v>
      </c>
      <c r="C1170" s="19" t="s">
        <v>1568</v>
      </c>
      <c r="D1170" s="19" t="s">
        <v>212</v>
      </c>
      <c r="E1170" s="19" t="s">
        <v>25</v>
      </c>
      <c r="F1170" s="19" t="s">
        <v>5697</v>
      </c>
      <c r="G1170" s="19" t="s">
        <v>71</v>
      </c>
      <c r="H1170" s="19" t="s">
        <v>26</v>
      </c>
      <c r="I1170" s="19"/>
      <c r="J1170" s="19" t="s">
        <v>27</v>
      </c>
      <c r="K1170" s="19" t="s">
        <v>3882</v>
      </c>
      <c r="L1170" s="19" t="s">
        <v>35</v>
      </c>
      <c r="M1170" s="20">
        <v>825</v>
      </c>
      <c r="N1170" s="25">
        <v>1.33</v>
      </c>
      <c r="O1170" s="19" t="s">
        <v>67</v>
      </c>
      <c r="P1170" s="19" t="s">
        <v>63</v>
      </c>
      <c r="Q1170" s="19" t="s">
        <v>29</v>
      </c>
      <c r="R1170" s="19" t="s">
        <v>3937</v>
      </c>
      <c r="S1170" s="45" t="s">
        <v>5719</v>
      </c>
      <c r="T1170" s="8">
        <v>46136</v>
      </c>
      <c r="U1170" s="19"/>
      <c r="V1170" s="55">
        <f>M1170-Z1170-AB1170-AD1170-AF1170-AH1170-AJ1170-AL1170-AN1170-AP1170-AR1170-AT1170-AV1170-AX1170-AZ1170-BB1170-BD1170-BF1170-BH1170-U1170</f>
        <v>-3.3999999999999773</v>
      </c>
      <c r="W1170" s="15" t="s">
        <v>5741</v>
      </c>
      <c r="X1170" s="19" t="s">
        <v>29</v>
      </c>
      <c r="Y1170" s="10"/>
      <c r="Z1170" s="19">
        <f>451.9+376.5</f>
        <v>828.4</v>
      </c>
      <c r="AA1170" s="123">
        <v>46133</v>
      </c>
    </row>
    <row r="1171" spans="1:29" s="28" customFormat="1" ht="20.25" customHeight="1">
      <c r="A1171" s="11">
        <v>46111</v>
      </c>
      <c r="B1171" s="16" t="s">
        <v>5674</v>
      </c>
      <c r="C1171" s="16" t="s">
        <v>1568</v>
      </c>
      <c r="D1171" s="16" t="s">
        <v>212</v>
      </c>
      <c r="E1171" s="16" t="s">
        <v>25</v>
      </c>
      <c r="F1171" s="16" t="s">
        <v>5697</v>
      </c>
      <c r="G1171" s="16" t="s">
        <v>71</v>
      </c>
      <c r="H1171" s="16" t="s">
        <v>26</v>
      </c>
      <c r="I1171" s="16"/>
      <c r="J1171" s="16" t="s">
        <v>27</v>
      </c>
      <c r="K1171" s="16" t="s">
        <v>5702</v>
      </c>
      <c r="L1171" s="16" t="s">
        <v>35</v>
      </c>
      <c r="M1171" s="17">
        <v>874</v>
      </c>
      <c r="N1171" s="23">
        <v>1.33</v>
      </c>
      <c r="O1171" s="16" t="s">
        <v>67</v>
      </c>
      <c r="P1171" s="16" t="s">
        <v>63</v>
      </c>
      <c r="Q1171" s="16" t="s">
        <v>29</v>
      </c>
      <c r="R1171" s="16" t="s">
        <v>5716</v>
      </c>
      <c r="S1171" s="12" t="s">
        <v>5719</v>
      </c>
      <c r="T1171" s="13">
        <v>46136</v>
      </c>
      <c r="U1171" s="19"/>
      <c r="V1171" s="53">
        <f>M1171-Z1171-AB1171-AD1171-AF1171-AH1171-AJ1171-AL1171-AN1171-AP1171-AR1171-AT1171-AV1171-AX1171-AZ1171-BB1171-BD1171-BF1171-BH1171-U1171</f>
        <v>0</v>
      </c>
      <c r="W1171" s="22" t="s">
        <v>5742</v>
      </c>
      <c r="X1171" s="16" t="s">
        <v>29</v>
      </c>
      <c r="Y1171" s="9"/>
      <c r="Z1171" s="19">
        <f>673.4+200.6</f>
        <v>874</v>
      </c>
      <c r="AA1171" s="252">
        <v>46139</v>
      </c>
    </row>
    <row r="1172" spans="1:29" s="28" customFormat="1" ht="20.25" customHeight="1">
      <c r="A1172" s="11">
        <v>46111</v>
      </c>
      <c r="B1172" s="16" t="s">
        <v>5674</v>
      </c>
      <c r="C1172" s="16" t="s">
        <v>1568</v>
      </c>
      <c r="D1172" s="16" t="s">
        <v>212</v>
      </c>
      <c r="E1172" s="16" t="s">
        <v>25</v>
      </c>
      <c r="F1172" s="16" t="s">
        <v>5697</v>
      </c>
      <c r="G1172" s="16" t="s">
        <v>71</v>
      </c>
      <c r="H1172" s="16" t="s">
        <v>31</v>
      </c>
      <c r="I1172" s="16"/>
      <c r="J1172" s="16" t="s">
        <v>27</v>
      </c>
      <c r="K1172" s="16" t="s">
        <v>598</v>
      </c>
      <c r="L1172" s="16" t="s">
        <v>35</v>
      </c>
      <c r="M1172" s="17">
        <v>7047</v>
      </c>
      <c r="N1172" s="23">
        <v>1.33</v>
      </c>
      <c r="O1172" s="16" t="s">
        <v>67</v>
      </c>
      <c r="P1172" s="16" t="s">
        <v>63</v>
      </c>
      <c r="Q1172" s="16" t="s">
        <v>29</v>
      </c>
      <c r="R1172" s="16" t="s">
        <v>2601</v>
      </c>
      <c r="S1172" s="12" t="s">
        <v>5719</v>
      </c>
      <c r="T1172" s="13">
        <v>46136</v>
      </c>
      <c r="U1172" s="19"/>
      <c r="V1172" s="53">
        <f>M1172-Z1172-AB1172-AD1172-AF1172-AH1172-AJ1172-AL1172-AN1172-AP1172-AR1172-AT1172-AV1172-AX1172-AZ1172-BB1172-BD1172-BF1172-BH1172-U1172</f>
        <v>-6.2999999999992724</v>
      </c>
      <c r="W1172" s="22" t="s">
        <v>5743</v>
      </c>
      <c r="X1172" s="16" t="s">
        <v>29</v>
      </c>
      <c r="Y1172" s="9"/>
      <c r="Z1172" s="19">
        <f>1700.2+677.7+4675.4</f>
        <v>7053.2999999999993</v>
      </c>
      <c r="AA1172" s="252">
        <v>46133</v>
      </c>
    </row>
    <row r="1173" spans="1:29" s="28" customFormat="1" ht="20.25" customHeight="1">
      <c r="A1173" s="11">
        <v>46111</v>
      </c>
      <c r="B1173" s="16" t="s">
        <v>5675</v>
      </c>
      <c r="C1173" s="16" t="s">
        <v>1568</v>
      </c>
      <c r="D1173" s="16" t="s">
        <v>212</v>
      </c>
      <c r="E1173" s="16" t="s">
        <v>25</v>
      </c>
      <c r="F1173" s="16" t="s">
        <v>5698</v>
      </c>
      <c r="G1173" s="16" t="s">
        <v>71</v>
      </c>
      <c r="H1173" s="16" t="s">
        <v>31</v>
      </c>
      <c r="I1173" s="16"/>
      <c r="J1173" s="16" t="s">
        <v>27</v>
      </c>
      <c r="K1173" s="16" t="s">
        <v>345</v>
      </c>
      <c r="L1173" s="16" t="s">
        <v>35</v>
      </c>
      <c r="M1173" s="17">
        <v>3248</v>
      </c>
      <c r="N1173" s="23">
        <v>1.33</v>
      </c>
      <c r="O1173" s="16" t="s">
        <v>67</v>
      </c>
      <c r="P1173" s="16" t="s">
        <v>63</v>
      </c>
      <c r="Q1173" s="16" t="s">
        <v>29</v>
      </c>
      <c r="R1173" s="16" t="s">
        <v>2601</v>
      </c>
      <c r="S1173" s="12" t="s">
        <v>5719</v>
      </c>
      <c r="T1173" s="13">
        <v>46136</v>
      </c>
      <c r="U1173" s="19"/>
      <c r="V1173" s="53">
        <f>M1173-Z1173-AB1173-AD1173-AF1173-AH1173-AJ1173-AL1173-AN1173-AP1173-AR1173-AT1173-AV1173-AX1173-AZ1173-BB1173-BD1173-BF1173-BH1173-U1173</f>
        <v>-3.5999999999999091</v>
      </c>
      <c r="W1173" s="22" t="s">
        <v>5744</v>
      </c>
      <c r="X1173" s="16" t="s">
        <v>29</v>
      </c>
      <c r="Y1173" s="9"/>
      <c r="Z1173" s="19">
        <f>3170.7+80.9</f>
        <v>3251.6</v>
      </c>
      <c r="AA1173" s="252">
        <v>46133</v>
      </c>
    </row>
    <row r="1174" spans="1:29" s="28" customFormat="1" ht="20.25" customHeight="1">
      <c r="A1174" s="11">
        <v>46111</v>
      </c>
      <c r="B1174" s="16" t="s">
        <v>5676</v>
      </c>
      <c r="C1174" s="16" t="s">
        <v>438</v>
      </c>
      <c r="D1174" s="16" t="s">
        <v>212</v>
      </c>
      <c r="E1174" s="16" t="s">
        <v>25</v>
      </c>
      <c r="F1174" s="16" t="s">
        <v>5699</v>
      </c>
      <c r="G1174" s="16" t="s">
        <v>71</v>
      </c>
      <c r="H1174" s="16" t="s">
        <v>26</v>
      </c>
      <c r="I1174" s="16"/>
      <c r="J1174" s="16" t="s">
        <v>27</v>
      </c>
      <c r="K1174" s="16" t="s">
        <v>683</v>
      </c>
      <c r="L1174" s="16" t="s">
        <v>35</v>
      </c>
      <c r="M1174" s="17">
        <v>70</v>
      </c>
      <c r="N1174" s="23">
        <v>1.33</v>
      </c>
      <c r="O1174" s="16" t="s">
        <v>67</v>
      </c>
      <c r="P1174" s="16" t="s">
        <v>63</v>
      </c>
      <c r="Q1174" s="16" t="s">
        <v>29</v>
      </c>
      <c r="R1174" s="16" t="s">
        <v>29</v>
      </c>
      <c r="S1174" s="12" t="s">
        <v>5718</v>
      </c>
      <c r="T1174" s="13">
        <v>46133</v>
      </c>
      <c r="U1174" s="19"/>
      <c r="V1174" s="53">
        <f>M1174-Z1174-AB1174-AD1174-AF1174-AH1174-AJ1174-AL1174-AN1174-AP1174-AR1174-AT1174-AV1174-AX1174-AZ1174-BB1174-BD1174-BF1174-BH1174-U1174</f>
        <v>-0.90000000000000568</v>
      </c>
      <c r="W1174" s="22" t="s">
        <v>5745</v>
      </c>
      <c r="X1174" s="16" t="s">
        <v>914</v>
      </c>
      <c r="Y1174" s="9"/>
      <c r="Z1174" s="19">
        <v>70.900000000000006</v>
      </c>
      <c r="AA1174" s="252">
        <v>46134</v>
      </c>
    </row>
    <row r="1175" spans="1:29" s="28" customFormat="1" ht="20.25" customHeight="1">
      <c r="A1175" s="11">
        <v>46111</v>
      </c>
      <c r="B1175" s="16" t="s">
        <v>5676</v>
      </c>
      <c r="C1175" s="16" t="s">
        <v>438</v>
      </c>
      <c r="D1175" s="16" t="s">
        <v>212</v>
      </c>
      <c r="E1175" s="16" t="s">
        <v>25</v>
      </c>
      <c r="F1175" s="16" t="s">
        <v>5699</v>
      </c>
      <c r="G1175" s="16" t="s">
        <v>71</v>
      </c>
      <c r="H1175" s="16" t="s">
        <v>26</v>
      </c>
      <c r="I1175" s="16"/>
      <c r="J1175" s="16" t="s">
        <v>27</v>
      </c>
      <c r="K1175" s="16" t="s">
        <v>683</v>
      </c>
      <c r="L1175" s="16" t="s">
        <v>35</v>
      </c>
      <c r="M1175" s="17">
        <v>2172</v>
      </c>
      <c r="N1175" s="23">
        <v>1.33</v>
      </c>
      <c r="O1175" s="16" t="s">
        <v>67</v>
      </c>
      <c r="P1175" s="16" t="s">
        <v>63</v>
      </c>
      <c r="Q1175" s="16" t="s">
        <v>29</v>
      </c>
      <c r="R1175" s="16" t="s">
        <v>29</v>
      </c>
      <c r="S1175" s="12" t="s">
        <v>5718</v>
      </c>
      <c r="T1175" s="13">
        <v>46133</v>
      </c>
      <c r="U1175" s="19"/>
      <c r="V1175" s="53">
        <f>M1175-Z1175-AB1175-AD1175-AF1175-AH1175-AJ1175-AL1175-AN1175-AP1175-AR1175-AT1175-AV1175-AX1175-AZ1175-BB1175-BD1175-BF1175-BH1175-U1175</f>
        <v>-1</v>
      </c>
      <c r="W1175" s="22" t="s">
        <v>5746</v>
      </c>
      <c r="X1175" s="16" t="s">
        <v>916</v>
      </c>
      <c r="Y1175" s="9"/>
      <c r="Z1175" s="19">
        <v>2173</v>
      </c>
      <c r="AA1175" s="252">
        <v>46134</v>
      </c>
    </row>
    <row r="1176" spans="1:29" s="28" customFormat="1" ht="20.25" customHeight="1">
      <c r="A1176" s="11">
        <v>46111</v>
      </c>
      <c r="B1176" s="16" t="s">
        <v>5676</v>
      </c>
      <c r="C1176" s="16" t="s">
        <v>438</v>
      </c>
      <c r="D1176" s="16" t="s">
        <v>212</v>
      </c>
      <c r="E1176" s="16" t="s">
        <v>25</v>
      </c>
      <c r="F1176" s="16" t="s">
        <v>5699</v>
      </c>
      <c r="G1176" s="16" t="s">
        <v>71</v>
      </c>
      <c r="H1176" s="16" t="s">
        <v>26</v>
      </c>
      <c r="I1176" s="16"/>
      <c r="J1176" s="16" t="s">
        <v>27</v>
      </c>
      <c r="K1176" s="16" t="s">
        <v>913</v>
      </c>
      <c r="L1176" s="16" t="s">
        <v>35</v>
      </c>
      <c r="M1176" s="17">
        <v>1472</v>
      </c>
      <c r="N1176" s="23">
        <v>1.33</v>
      </c>
      <c r="O1176" s="16" t="s">
        <v>67</v>
      </c>
      <c r="P1176" s="16" t="s">
        <v>63</v>
      </c>
      <c r="Q1176" s="16" t="s">
        <v>29</v>
      </c>
      <c r="R1176" s="16" t="s">
        <v>29</v>
      </c>
      <c r="S1176" s="12" t="s">
        <v>5718</v>
      </c>
      <c r="T1176" s="13">
        <v>46133</v>
      </c>
      <c r="U1176" s="19"/>
      <c r="V1176" s="53">
        <f>M1176-Z1176-AB1176-AD1176-AF1176-AH1176-AJ1176-AL1176-AN1176-AP1176-AR1176-AT1176-AV1176-AX1176-AZ1176-BB1176-BD1176-BF1176-BH1176-U1176</f>
        <v>-0.40000000000009095</v>
      </c>
      <c r="W1176" s="22" t="s">
        <v>5747</v>
      </c>
      <c r="X1176" s="16" t="s">
        <v>5754</v>
      </c>
      <c r="Y1176" s="9"/>
      <c r="Z1176" s="19">
        <v>1472.4</v>
      </c>
      <c r="AA1176" s="252">
        <v>46134</v>
      </c>
    </row>
    <row r="1177" spans="1:29" s="28" customFormat="1" ht="20.25" customHeight="1">
      <c r="A1177" s="11">
        <v>46111</v>
      </c>
      <c r="B1177" s="16" t="s">
        <v>5677</v>
      </c>
      <c r="C1177" s="16" t="s">
        <v>438</v>
      </c>
      <c r="D1177" s="16" t="s">
        <v>212</v>
      </c>
      <c r="E1177" s="16" t="s">
        <v>25</v>
      </c>
      <c r="F1177" s="16" t="s">
        <v>5700</v>
      </c>
      <c r="G1177" s="16" t="s">
        <v>71</v>
      </c>
      <c r="H1177" s="16" t="s">
        <v>31</v>
      </c>
      <c r="I1177" s="16"/>
      <c r="J1177" s="16" t="s">
        <v>27</v>
      </c>
      <c r="K1177" s="16" t="s">
        <v>913</v>
      </c>
      <c r="L1177" s="16" t="s">
        <v>35</v>
      </c>
      <c r="M1177" s="17">
        <v>1314</v>
      </c>
      <c r="N1177" s="23">
        <v>1.33</v>
      </c>
      <c r="O1177" s="16" t="s">
        <v>67</v>
      </c>
      <c r="P1177" s="16" t="s">
        <v>63</v>
      </c>
      <c r="Q1177" s="16" t="s">
        <v>29</v>
      </c>
      <c r="R1177" s="16" t="s">
        <v>29</v>
      </c>
      <c r="S1177" s="12" t="s">
        <v>5719</v>
      </c>
      <c r="T1177" s="13">
        <v>46136</v>
      </c>
      <c r="U1177" s="19"/>
      <c r="V1177" s="53">
        <f>M1177-Z1177-AB1177-AD1177-AF1177-AH1177-AJ1177-AL1177-AN1177-AP1177-AR1177-AT1177-AV1177-AX1177-AZ1177-BB1177-BD1177-BF1177-BH1177-U1177</f>
        <v>-0.70000000000004547</v>
      </c>
      <c r="W1177" s="22" t="s">
        <v>5748</v>
      </c>
      <c r="X1177" s="16" t="s">
        <v>1537</v>
      </c>
      <c r="Y1177" s="9"/>
      <c r="Z1177" s="19">
        <f>1017.6+297.1</f>
        <v>1314.7</v>
      </c>
      <c r="AA1177" s="252">
        <v>46134</v>
      </c>
    </row>
    <row r="1178" spans="1:29" s="28" customFormat="1" ht="20.25" customHeight="1">
      <c r="A1178" s="11">
        <v>46111</v>
      </c>
      <c r="B1178" s="16" t="s">
        <v>5677</v>
      </c>
      <c r="C1178" s="16" t="s">
        <v>438</v>
      </c>
      <c r="D1178" s="16" t="s">
        <v>212</v>
      </c>
      <c r="E1178" s="16" t="s">
        <v>25</v>
      </c>
      <c r="F1178" s="16" t="s">
        <v>5700</v>
      </c>
      <c r="G1178" s="16" t="s">
        <v>71</v>
      </c>
      <c r="H1178" s="16" t="s">
        <v>31</v>
      </c>
      <c r="I1178" s="16"/>
      <c r="J1178" s="16" t="s">
        <v>27</v>
      </c>
      <c r="K1178" s="16" t="s">
        <v>913</v>
      </c>
      <c r="L1178" s="16" t="s">
        <v>35</v>
      </c>
      <c r="M1178" s="17">
        <v>1460</v>
      </c>
      <c r="N1178" s="23">
        <v>1.33</v>
      </c>
      <c r="O1178" s="16" t="s">
        <v>67</v>
      </c>
      <c r="P1178" s="16" t="s">
        <v>63</v>
      </c>
      <c r="Q1178" s="16" t="s">
        <v>29</v>
      </c>
      <c r="R1178" s="16" t="s">
        <v>29</v>
      </c>
      <c r="S1178" s="12" t="s">
        <v>5719</v>
      </c>
      <c r="T1178" s="13">
        <v>46136</v>
      </c>
      <c r="U1178" s="19"/>
      <c r="V1178" s="53">
        <f>M1178-Z1178-AB1178-AD1178-AF1178-AH1178-AJ1178-AL1178-AN1178-AP1178-AR1178-AT1178-AV1178-AX1178-AZ1178-BB1178-BD1178-BF1178-BH1178-U1178</f>
        <v>-4.7000000000000455</v>
      </c>
      <c r="W1178" s="22" t="s">
        <v>5749</v>
      </c>
      <c r="X1178" s="16" t="s">
        <v>5376</v>
      </c>
      <c r="Y1178" s="9"/>
      <c r="Z1178" s="19">
        <v>1464.7</v>
      </c>
      <c r="AA1178" s="252">
        <v>46134</v>
      </c>
    </row>
    <row r="1179" spans="1:29" s="28" customFormat="1" ht="20.25" customHeight="1">
      <c r="A1179" s="11">
        <v>46111</v>
      </c>
      <c r="B1179" s="16" t="s">
        <v>5677</v>
      </c>
      <c r="C1179" s="16" t="s">
        <v>438</v>
      </c>
      <c r="D1179" s="16" t="s">
        <v>212</v>
      </c>
      <c r="E1179" s="16" t="s">
        <v>25</v>
      </c>
      <c r="F1179" s="16" t="s">
        <v>5700</v>
      </c>
      <c r="G1179" s="16" t="s">
        <v>71</v>
      </c>
      <c r="H1179" s="16" t="s">
        <v>31</v>
      </c>
      <c r="I1179" s="16"/>
      <c r="J1179" s="16" t="s">
        <v>27</v>
      </c>
      <c r="K1179" s="16" t="s">
        <v>913</v>
      </c>
      <c r="L1179" s="16" t="s">
        <v>35</v>
      </c>
      <c r="M1179" s="17">
        <v>73</v>
      </c>
      <c r="N1179" s="23">
        <v>1.33</v>
      </c>
      <c r="O1179" s="16" t="s">
        <v>67</v>
      </c>
      <c r="P1179" s="16" t="s">
        <v>63</v>
      </c>
      <c r="Q1179" s="16" t="s">
        <v>29</v>
      </c>
      <c r="R1179" s="16" t="s">
        <v>29</v>
      </c>
      <c r="S1179" s="12" t="s">
        <v>5719</v>
      </c>
      <c r="T1179" s="13">
        <v>46136</v>
      </c>
      <c r="U1179" s="19"/>
      <c r="V1179" s="53">
        <f>M1179-Z1179-AB1179-AD1179-AF1179-AH1179-AJ1179-AL1179-AN1179-AP1179-AR1179-AT1179-AV1179-AX1179-AZ1179-BB1179-BD1179-BF1179-BH1179-U1179</f>
        <v>-0.29999999999999716</v>
      </c>
      <c r="W1179" s="22" t="s">
        <v>5750</v>
      </c>
      <c r="X1179" s="16" t="s">
        <v>5377</v>
      </c>
      <c r="Y1179" s="9"/>
      <c r="Z1179" s="19">
        <v>73.3</v>
      </c>
      <c r="AA1179" s="252">
        <v>46134</v>
      </c>
    </row>
    <row r="1180" spans="1:29" s="28" customFormat="1" ht="20.25" customHeight="1">
      <c r="A1180" s="11">
        <v>46111</v>
      </c>
      <c r="B1180" s="16" t="s">
        <v>5677</v>
      </c>
      <c r="C1180" s="16" t="s">
        <v>438</v>
      </c>
      <c r="D1180" s="16" t="s">
        <v>212</v>
      </c>
      <c r="E1180" s="16" t="s">
        <v>25</v>
      </c>
      <c r="F1180" s="16" t="s">
        <v>5700</v>
      </c>
      <c r="G1180" s="16" t="s">
        <v>71</v>
      </c>
      <c r="H1180" s="16" t="s">
        <v>31</v>
      </c>
      <c r="I1180" s="16"/>
      <c r="J1180" s="16" t="s">
        <v>27</v>
      </c>
      <c r="K1180" s="16" t="s">
        <v>683</v>
      </c>
      <c r="L1180" s="16" t="s">
        <v>35</v>
      </c>
      <c r="M1180" s="17">
        <v>74</v>
      </c>
      <c r="N1180" s="23">
        <v>1.33</v>
      </c>
      <c r="O1180" s="16" t="s">
        <v>67</v>
      </c>
      <c r="P1180" s="16" t="s">
        <v>63</v>
      </c>
      <c r="Q1180" s="16" t="s">
        <v>29</v>
      </c>
      <c r="R1180" s="16" t="s">
        <v>29</v>
      </c>
      <c r="S1180" s="12" t="s">
        <v>5719</v>
      </c>
      <c r="T1180" s="13">
        <v>46136</v>
      </c>
      <c r="U1180" s="19"/>
      <c r="V1180" s="53">
        <f>M1180-Z1180-AB1180-AD1180-AF1180-AH1180-AJ1180-AL1180-AN1180-AP1180-AR1180-AT1180-AV1180-AX1180-AZ1180-BB1180-BD1180-BF1180-BH1180-U1180</f>
        <v>-0.29999999999999716</v>
      </c>
      <c r="W1180" s="22" t="s">
        <v>5751</v>
      </c>
      <c r="X1180" s="16" t="s">
        <v>5755</v>
      </c>
      <c r="Y1180" s="9"/>
      <c r="Z1180" s="19">
        <v>74.3</v>
      </c>
      <c r="AA1180" s="252">
        <v>46134</v>
      </c>
    </row>
    <row r="1181" spans="1:29" s="28" customFormat="1" ht="20.25" customHeight="1">
      <c r="A1181" s="11">
        <v>46111</v>
      </c>
      <c r="B1181" s="16" t="s">
        <v>5678</v>
      </c>
      <c r="C1181" s="16" t="s">
        <v>438</v>
      </c>
      <c r="D1181" s="16" t="s">
        <v>212</v>
      </c>
      <c r="E1181" s="16" t="s">
        <v>25</v>
      </c>
      <c r="F1181" s="16">
        <v>4000153027</v>
      </c>
      <c r="G1181" s="16" t="s">
        <v>71</v>
      </c>
      <c r="H1181" s="16" t="s">
        <v>31</v>
      </c>
      <c r="I1181" s="16"/>
      <c r="J1181" s="16" t="s">
        <v>27</v>
      </c>
      <c r="K1181" s="16" t="s">
        <v>1093</v>
      </c>
      <c r="L1181" s="16" t="s">
        <v>35</v>
      </c>
      <c r="M1181" s="17">
        <v>263</v>
      </c>
      <c r="N1181" s="23">
        <v>1.33</v>
      </c>
      <c r="O1181" s="16" t="s">
        <v>67</v>
      </c>
      <c r="P1181" s="16" t="s">
        <v>63</v>
      </c>
      <c r="Q1181" s="16" t="s">
        <v>29</v>
      </c>
      <c r="R1181" s="16" t="s">
        <v>29</v>
      </c>
      <c r="S1181" s="12" t="s">
        <v>5719</v>
      </c>
      <c r="T1181" s="13">
        <v>46136</v>
      </c>
      <c r="U1181" s="19"/>
      <c r="V1181" s="53">
        <f>M1181-Z1181-AB1181-AD1181-AF1181-AH1181-AJ1181-AL1181-AN1181-AP1181-AR1181-AT1181-AV1181-AX1181-AZ1181-BB1181-BD1181-BF1181-BH1181-U1181</f>
        <v>-2</v>
      </c>
      <c r="W1181" s="22" t="s">
        <v>5752</v>
      </c>
      <c r="X1181" s="16" t="s">
        <v>5444</v>
      </c>
      <c r="Y1181" s="9"/>
      <c r="Z1181" s="19">
        <v>265</v>
      </c>
      <c r="AA1181" s="252">
        <v>46121</v>
      </c>
    </row>
    <row r="1182" spans="1:29" s="28" customFormat="1" ht="20.25" customHeight="1">
      <c r="A1182" s="11">
        <v>46111</v>
      </c>
      <c r="B1182" s="16" t="s">
        <v>5678</v>
      </c>
      <c r="C1182" s="16" t="s">
        <v>438</v>
      </c>
      <c r="D1182" s="16" t="s">
        <v>212</v>
      </c>
      <c r="E1182" s="16" t="s">
        <v>25</v>
      </c>
      <c r="F1182" s="16" t="s">
        <v>5701</v>
      </c>
      <c r="G1182" s="16" t="s">
        <v>71</v>
      </c>
      <c r="H1182" s="16" t="s">
        <v>31</v>
      </c>
      <c r="I1182" s="16"/>
      <c r="J1182" s="16" t="s">
        <v>27</v>
      </c>
      <c r="K1182" s="16" t="s">
        <v>5703</v>
      </c>
      <c r="L1182" s="16" t="s">
        <v>35</v>
      </c>
      <c r="M1182" s="17">
        <v>67</v>
      </c>
      <c r="N1182" s="23">
        <v>1.33</v>
      </c>
      <c r="O1182" s="16" t="s">
        <v>67</v>
      </c>
      <c r="P1182" s="16" t="s">
        <v>63</v>
      </c>
      <c r="Q1182" s="16" t="s">
        <v>29</v>
      </c>
      <c r="R1182" s="16" t="s">
        <v>29</v>
      </c>
      <c r="S1182" s="12" t="s">
        <v>5719</v>
      </c>
      <c r="T1182" s="13">
        <v>46136</v>
      </c>
      <c r="U1182" s="19"/>
      <c r="V1182" s="53">
        <f>M1182-Z1182-AB1182-AD1182-AF1182-AH1182-AJ1182-AL1182-AN1182-AP1182-AR1182-AT1182-AV1182-AX1182-AZ1182-BB1182-BD1182-BF1182-BH1182-U1182</f>
        <v>-3.5999999999999943</v>
      </c>
      <c r="W1182" s="22" t="s">
        <v>5753</v>
      </c>
      <c r="X1182" s="16" t="s">
        <v>5756</v>
      </c>
      <c r="Y1182" s="9"/>
      <c r="Z1182" s="19">
        <f>38.7+31.9</f>
        <v>70.599999999999994</v>
      </c>
      <c r="AA1182" s="252">
        <v>46134</v>
      </c>
    </row>
    <row r="1183" spans="1:29" s="28" customFormat="1" ht="20.25" customHeight="1">
      <c r="A1183" s="11">
        <v>46112</v>
      </c>
      <c r="B1183" s="16" t="s">
        <v>5769</v>
      </c>
      <c r="C1183" s="16" t="s">
        <v>298</v>
      </c>
      <c r="D1183" s="16" t="s">
        <v>212</v>
      </c>
      <c r="E1183" s="16" t="s">
        <v>25</v>
      </c>
      <c r="F1183" s="16" t="s">
        <v>5772</v>
      </c>
      <c r="G1183" s="16" t="s">
        <v>71</v>
      </c>
      <c r="H1183" s="16" t="s">
        <v>31</v>
      </c>
      <c r="I1183" s="16"/>
      <c r="J1183" s="16" t="s">
        <v>27</v>
      </c>
      <c r="K1183" s="16" t="s">
        <v>1012</v>
      </c>
      <c r="L1183" s="16" t="s">
        <v>35</v>
      </c>
      <c r="M1183" s="17">
        <v>3784</v>
      </c>
      <c r="N1183" s="23">
        <v>1.33</v>
      </c>
      <c r="O1183" s="16" t="s">
        <v>67</v>
      </c>
      <c r="P1183" s="16" t="s">
        <v>63</v>
      </c>
      <c r="Q1183" s="16" t="s">
        <v>29</v>
      </c>
      <c r="R1183" s="16" t="s">
        <v>1087</v>
      </c>
      <c r="S1183" s="12" t="s">
        <v>5718</v>
      </c>
      <c r="T1183" s="13">
        <v>46133</v>
      </c>
      <c r="U1183" s="19"/>
      <c r="V1183" s="53">
        <f>M1183-Z1183-AB1183-AD1183-AF1183-AH1183-AJ1183-AL1183-AN1183-AP1183-AR1183-AT1183-AV1183-AX1183-AZ1183-BB1183-BD1183-BF1183-BH1183-U1183</f>
        <v>-2.2737367544323206E-13</v>
      </c>
      <c r="W1183" s="22" t="s">
        <v>5776</v>
      </c>
      <c r="X1183" s="16"/>
      <c r="Y1183" s="9"/>
      <c r="Z1183" s="19">
        <f>218.3+205.6+772+1497.9</f>
        <v>2693.8</v>
      </c>
      <c r="AA1183" s="252">
        <v>46133</v>
      </c>
      <c r="AB1183" s="19">
        <f>586.1+504.1</f>
        <v>1090.2</v>
      </c>
      <c r="AC1183" s="252">
        <v>46135</v>
      </c>
    </row>
    <row r="1184" spans="1:29" s="28" customFormat="1" ht="20.25" customHeight="1">
      <c r="A1184" s="11">
        <v>46112</v>
      </c>
      <c r="B1184" s="16" t="s">
        <v>5770</v>
      </c>
      <c r="C1184" s="16" t="s">
        <v>228</v>
      </c>
      <c r="D1184" s="16" t="s">
        <v>212</v>
      </c>
      <c r="E1184" s="16" t="s">
        <v>25</v>
      </c>
      <c r="F1184" s="16" t="s">
        <v>5773</v>
      </c>
      <c r="G1184" s="16" t="s">
        <v>71</v>
      </c>
      <c r="H1184" s="16" t="s">
        <v>31</v>
      </c>
      <c r="I1184" s="16"/>
      <c r="J1184" s="16" t="s">
        <v>27</v>
      </c>
      <c r="K1184" s="16" t="s">
        <v>4303</v>
      </c>
      <c r="L1184" s="16" t="s">
        <v>35</v>
      </c>
      <c r="M1184" s="17">
        <v>54</v>
      </c>
      <c r="N1184" s="23">
        <v>1.33</v>
      </c>
      <c r="O1184" s="16" t="s">
        <v>67</v>
      </c>
      <c r="P1184" s="16" t="s">
        <v>63</v>
      </c>
      <c r="Q1184" s="16" t="s">
        <v>470</v>
      </c>
      <c r="R1184" s="16" t="s">
        <v>466</v>
      </c>
      <c r="S1184" s="12" t="s">
        <v>5717</v>
      </c>
      <c r="T1184" s="13">
        <v>46126</v>
      </c>
      <c r="U1184" s="19"/>
      <c r="V1184" s="324">
        <f>M1184-Z1184-AB1184-AD1184-AF1184-AH1184-AJ1184-AL1184-AN1184-AP1184-AR1184-AT1184-AV1184-AX1184-AZ1184-BB1184-BD1184-BF1184-BH1184-U1184</f>
        <v>-1.6000000000000014</v>
      </c>
      <c r="W1184" s="22" t="s">
        <v>5777</v>
      </c>
      <c r="X1184" s="16"/>
      <c r="Y1184" s="9"/>
      <c r="Z1184" s="19">
        <v>55.6</v>
      </c>
      <c r="AA1184" s="252">
        <v>46128</v>
      </c>
    </row>
    <row r="1185" spans="1:29" s="28" customFormat="1" ht="20.25" customHeight="1">
      <c r="A1185" s="11">
        <v>46112</v>
      </c>
      <c r="B1185" s="16" t="s">
        <v>5771</v>
      </c>
      <c r="C1185" s="16" t="s">
        <v>228</v>
      </c>
      <c r="D1185" s="16" t="s">
        <v>212</v>
      </c>
      <c r="E1185" s="16" t="s">
        <v>25</v>
      </c>
      <c r="F1185" s="16" t="s">
        <v>5774</v>
      </c>
      <c r="G1185" s="16" t="s">
        <v>71</v>
      </c>
      <c r="H1185" s="16" t="s">
        <v>31</v>
      </c>
      <c r="I1185" s="16"/>
      <c r="J1185" s="16" t="s">
        <v>27</v>
      </c>
      <c r="K1185" s="16" t="s">
        <v>2462</v>
      </c>
      <c r="L1185" s="16" t="s">
        <v>35</v>
      </c>
      <c r="M1185" s="17">
        <v>129.37</v>
      </c>
      <c r="N1185" s="23">
        <v>1.33</v>
      </c>
      <c r="O1185" s="16" t="s">
        <v>67</v>
      </c>
      <c r="P1185" s="16" t="s">
        <v>63</v>
      </c>
      <c r="Q1185" s="16" t="s">
        <v>480</v>
      </c>
      <c r="R1185" s="16" t="s">
        <v>5775</v>
      </c>
      <c r="S1185" s="12" t="s">
        <v>5719</v>
      </c>
      <c r="T1185" s="13">
        <v>46136</v>
      </c>
      <c r="U1185" s="19"/>
      <c r="V1185" s="53">
        <f>M1185-Z1185-AB1185-AD1185-AF1185-AH1185-AJ1185-AL1185-AN1185-AP1185-AR1185-AT1185-AV1185-AX1185-AZ1185-BB1185-BD1185-BF1185-BH1185-U1185</f>
        <v>-5.2299999999999898</v>
      </c>
      <c r="W1185" s="22" t="s">
        <v>5778</v>
      </c>
      <c r="X1185" s="16"/>
      <c r="Y1185" s="9"/>
      <c r="Z1185" s="19">
        <v>134.6</v>
      </c>
      <c r="AA1185" s="252">
        <v>46128</v>
      </c>
    </row>
    <row r="1186" spans="1:29" s="87" customFormat="1" ht="20.25" customHeight="1">
      <c r="A1186" s="398">
        <v>46113</v>
      </c>
      <c r="B1186" s="63" t="s">
        <v>5794</v>
      </c>
      <c r="C1186" s="63" t="s">
        <v>1568</v>
      </c>
      <c r="D1186" s="63" t="s">
        <v>212</v>
      </c>
      <c r="E1186" s="63" t="s">
        <v>25</v>
      </c>
      <c r="F1186" s="63" t="s">
        <v>5801</v>
      </c>
      <c r="G1186" s="63" t="s">
        <v>71</v>
      </c>
      <c r="H1186" s="63" t="s">
        <v>31</v>
      </c>
      <c r="I1186" s="63"/>
      <c r="J1186" s="63" t="s">
        <v>27</v>
      </c>
      <c r="K1186" s="63" t="s">
        <v>613</v>
      </c>
      <c r="L1186" s="63" t="s">
        <v>35</v>
      </c>
      <c r="M1186" s="330">
        <v>10561</v>
      </c>
      <c r="N1186" s="394">
        <v>1.33</v>
      </c>
      <c r="O1186" s="63" t="s">
        <v>67</v>
      </c>
      <c r="P1186" s="63" t="s">
        <v>63</v>
      </c>
      <c r="Q1186" s="63" t="s">
        <v>29</v>
      </c>
      <c r="R1186" s="63" t="s">
        <v>2601</v>
      </c>
      <c r="S1186" s="395" t="s">
        <v>5814</v>
      </c>
      <c r="T1186" s="399">
        <v>46143</v>
      </c>
      <c r="U1186" s="380">
        <f>1572.7+647.6+3989.3+2574+1778.1</f>
        <v>10561.7</v>
      </c>
      <c r="V1186" s="400">
        <f>M1186-Z1186-AB1186-AD1186-AF1186-AH1186-AJ1186-AL1186-AN1186-AP1186-AR1186-AT1186-AV1186-AX1186-AZ1186-BB1186-BD1186-BF1186-BH1186-U1186</f>
        <v>-0.7000000000007276</v>
      </c>
      <c r="W1186" s="401" t="s">
        <v>5815</v>
      </c>
      <c r="X1186" s="63"/>
      <c r="Y1186" s="442"/>
      <c r="Z1186" s="442"/>
    </row>
    <row r="1187" spans="1:29" s="36" customFormat="1" ht="20.25" customHeight="1">
      <c r="A1187" s="7">
        <v>46113</v>
      </c>
      <c r="B1187" s="19" t="s">
        <v>5795</v>
      </c>
      <c r="C1187" s="19" t="s">
        <v>1568</v>
      </c>
      <c r="D1187" s="19" t="s">
        <v>212</v>
      </c>
      <c r="E1187" s="19" t="s">
        <v>25</v>
      </c>
      <c r="F1187" s="19" t="s">
        <v>5802</v>
      </c>
      <c r="G1187" s="19" t="s">
        <v>71</v>
      </c>
      <c r="H1187" s="19" t="s">
        <v>31</v>
      </c>
      <c r="I1187" s="19"/>
      <c r="J1187" s="19" t="s">
        <v>27</v>
      </c>
      <c r="K1187" s="19" t="s">
        <v>3598</v>
      </c>
      <c r="L1187" s="19" t="s">
        <v>35</v>
      </c>
      <c r="M1187" s="20">
        <v>5825</v>
      </c>
      <c r="N1187" s="25">
        <v>1.33</v>
      </c>
      <c r="O1187" s="19" t="s">
        <v>67</v>
      </c>
      <c r="P1187" s="19" t="s">
        <v>63</v>
      </c>
      <c r="Q1187" s="19" t="s">
        <v>29</v>
      </c>
      <c r="R1187" s="19" t="s">
        <v>2601</v>
      </c>
      <c r="S1187" s="45" t="s">
        <v>5814</v>
      </c>
      <c r="T1187" s="8">
        <v>46143</v>
      </c>
      <c r="U1187" s="19"/>
      <c r="V1187" s="55">
        <f>M1187-Z1187-AB1187-AD1187-AF1187-AH1187-AJ1187-AL1187-AN1187-AP1187-AR1187-AT1187-AV1187-AX1187-AZ1187-BB1187-BD1187-BF1187-BH1187-U1187</f>
        <v>-0.9000000000005457</v>
      </c>
      <c r="W1187" s="15" t="s">
        <v>5816</v>
      </c>
      <c r="X1187" s="19"/>
      <c r="Y1187" s="10"/>
      <c r="Z1187" s="19">
        <f>606.1+369.2+4850.6</f>
        <v>5825.9000000000005</v>
      </c>
      <c r="AA1187" s="123">
        <v>46136</v>
      </c>
    </row>
    <row r="1188" spans="1:29" s="28" customFormat="1" ht="20.25" customHeight="1">
      <c r="A1188" s="11">
        <v>46113</v>
      </c>
      <c r="B1188" s="16" t="s">
        <v>5795</v>
      </c>
      <c r="C1188" s="16" t="s">
        <v>1568</v>
      </c>
      <c r="D1188" s="16" t="s">
        <v>212</v>
      </c>
      <c r="E1188" s="16" t="s">
        <v>25</v>
      </c>
      <c r="F1188" s="16" t="s">
        <v>5802</v>
      </c>
      <c r="G1188" s="16" t="s">
        <v>71</v>
      </c>
      <c r="H1188" s="16" t="s">
        <v>31</v>
      </c>
      <c r="I1188" s="16"/>
      <c r="J1188" s="16" t="s">
        <v>27</v>
      </c>
      <c r="K1188" s="16" t="s">
        <v>913</v>
      </c>
      <c r="L1188" s="16" t="s">
        <v>35</v>
      </c>
      <c r="M1188" s="17">
        <v>3838</v>
      </c>
      <c r="N1188" s="23">
        <v>1.33</v>
      </c>
      <c r="O1188" s="16" t="s">
        <v>67</v>
      </c>
      <c r="P1188" s="16" t="s">
        <v>63</v>
      </c>
      <c r="Q1188" s="16" t="s">
        <v>29</v>
      </c>
      <c r="R1188" s="16" t="s">
        <v>5809</v>
      </c>
      <c r="S1188" s="12" t="s">
        <v>5814</v>
      </c>
      <c r="T1188" s="13">
        <v>46139</v>
      </c>
      <c r="U1188" s="19"/>
      <c r="V1188" s="53">
        <f>M1188-Z1188-AB1188-AD1188-AF1188-AH1188-AJ1188-AL1188-AN1188-AP1188-AR1188-AT1188-AV1188-AX1188-AZ1188-BB1188-BD1188-BF1188-BH1188-U1188</f>
        <v>-0.6999999999998181</v>
      </c>
      <c r="W1188" s="22" t="s">
        <v>5817</v>
      </c>
      <c r="X1188" s="16"/>
      <c r="Y1188" s="9"/>
      <c r="Z1188" s="19">
        <v>1645.6</v>
      </c>
      <c r="AA1188" s="252">
        <v>46133</v>
      </c>
      <c r="AB1188" s="19">
        <v>2193.1</v>
      </c>
      <c r="AC1188" s="252">
        <v>46136</v>
      </c>
    </row>
    <row r="1189" spans="1:29" s="122" customFormat="1" ht="20.25" customHeight="1">
      <c r="A1189" s="300">
        <v>46113</v>
      </c>
      <c r="B1189" s="301" t="s">
        <v>5796</v>
      </c>
      <c r="C1189" s="301" t="s">
        <v>304</v>
      </c>
      <c r="D1189" s="301" t="s">
        <v>212</v>
      </c>
      <c r="E1189" s="301" t="s">
        <v>25</v>
      </c>
      <c r="F1189" s="301" t="s">
        <v>5803</v>
      </c>
      <c r="G1189" s="301" t="s">
        <v>71</v>
      </c>
      <c r="H1189" s="301" t="s">
        <v>31</v>
      </c>
      <c r="I1189" s="301"/>
      <c r="J1189" s="301" t="s">
        <v>27</v>
      </c>
      <c r="K1189" s="301" t="s">
        <v>5808</v>
      </c>
      <c r="L1189" s="301" t="s">
        <v>35</v>
      </c>
      <c r="M1189" s="302">
        <v>285</v>
      </c>
      <c r="N1189" s="303">
        <v>1.33</v>
      </c>
      <c r="O1189" s="301" t="s">
        <v>67</v>
      </c>
      <c r="P1189" s="301" t="s">
        <v>63</v>
      </c>
      <c r="Q1189" s="301" t="s">
        <v>29</v>
      </c>
      <c r="R1189" s="301" t="s">
        <v>5810</v>
      </c>
      <c r="S1189" s="304" t="s">
        <v>5814</v>
      </c>
      <c r="T1189" s="305">
        <v>46139</v>
      </c>
      <c r="U1189" s="19"/>
      <c r="V1189" s="306">
        <f>M1189-Z1189-AB1189-AD1189-AF1189-AH1189-AJ1189-AL1189-AN1189-AP1189-AR1189-AT1189-AV1189-AX1189-AZ1189-BB1189-BD1189-BF1189-BH1189-U1189</f>
        <v>-2.1999999999999886</v>
      </c>
      <c r="W1189" s="307" t="s">
        <v>5818</v>
      </c>
      <c r="X1189" s="301"/>
      <c r="Y1189" s="335"/>
      <c r="Z1189" s="19">
        <v>287.2</v>
      </c>
      <c r="AA1189" s="312">
        <v>46140</v>
      </c>
    </row>
    <row r="1190" spans="1:29" s="36" customFormat="1" ht="20.25" customHeight="1">
      <c r="A1190" s="7">
        <v>46113</v>
      </c>
      <c r="B1190" s="19" t="s">
        <v>5797</v>
      </c>
      <c r="C1190" s="19" t="s">
        <v>304</v>
      </c>
      <c r="D1190" s="19" t="s">
        <v>212</v>
      </c>
      <c r="E1190" s="19" t="s">
        <v>25</v>
      </c>
      <c r="F1190" s="19" t="s">
        <v>5804</v>
      </c>
      <c r="G1190" s="19" t="s">
        <v>71</v>
      </c>
      <c r="H1190" s="19" t="s">
        <v>31</v>
      </c>
      <c r="I1190" s="270"/>
      <c r="J1190" s="270" t="s">
        <v>27</v>
      </c>
      <c r="K1190" s="19" t="s">
        <v>4303</v>
      </c>
      <c r="L1190" s="19" t="s">
        <v>35</v>
      </c>
      <c r="M1190" s="20">
        <v>1290</v>
      </c>
      <c r="N1190" s="25">
        <v>1.33</v>
      </c>
      <c r="O1190" s="19" t="s">
        <v>67</v>
      </c>
      <c r="P1190" s="19" t="s">
        <v>63</v>
      </c>
      <c r="Q1190" s="19" t="s">
        <v>29</v>
      </c>
      <c r="R1190" s="19" t="s">
        <v>5811</v>
      </c>
      <c r="S1190" s="45" t="s">
        <v>5814</v>
      </c>
      <c r="T1190" s="8">
        <v>46139</v>
      </c>
      <c r="U1190" s="19"/>
      <c r="V1190" s="55">
        <f>M1190-Z1190-AB1190-AD1190-AF1190-AH1190-AJ1190-AL1190-AN1190-AP1190-AR1190-AT1190-AV1190-AX1190-AZ1190-BB1190-BD1190-BF1190-BH1190-U1190</f>
        <v>-0.40000000000009095</v>
      </c>
      <c r="W1190" s="15" t="s">
        <v>5819</v>
      </c>
      <c r="X1190" s="19"/>
      <c r="Y1190" s="10"/>
      <c r="Z1190" s="19">
        <v>1290.4000000000001</v>
      </c>
      <c r="AA1190" s="123">
        <v>46129</v>
      </c>
    </row>
    <row r="1191" spans="1:29" s="36" customFormat="1" ht="20.25" customHeight="1">
      <c r="A1191" s="7">
        <v>46113</v>
      </c>
      <c r="B1191" s="19" t="s">
        <v>5798</v>
      </c>
      <c r="C1191" s="19" t="s">
        <v>304</v>
      </c>
      <c r="D1191" s="19" t="s">
        <v>212</v>
      </c>
      <c r="E1191" s="19" t="s">
        <v>25</v>
      </c>
      <c r="F1191" s="19" t="s">
        <v>5805</v>
      </c>
      <c r="G1191" s="19" t="s">
        <v>71</v>
      </c>
      <c r="H1191" s="19" t="s">
        <v>26</v>
      </c>
      <c r="I1191" s="1"/>
      <c r="J1191" s="1" t="s">
        <v>27</v>
      </c>
      <c r="K1191" s="19" t="s">
        <v>913</v>
      </c>
      <c r="L1191" s="19" t="s">
        <v>35</v>
      </c>
      <c r="M1191" s="20">
        <v>2430</v>
      </c>
      <c r="N1191" s="25">
        <v>1.33</v>
      </c>
      <c r="O1191" s="19" t="s">
        <v>67</v>
      </c>
      <c r="P1191" s="19" t="s">
        <v>63</v>
      </c>
      <c r="Q1191" s="19" t="s">
        <v>29</v>
      </c>
      <c r="R1191" s="19" t="s">
        <v>5812</v>
      </c>
      <c r="S1191" s="45" t="s">
        <v>5814</v>
      </c>
      <c r="T1191" s="8">
        <v>46139</v>
      </c>
      <c r="U1191" s="19"/>
      <c r="V1191" s="55">
        <f>M1191-Z1191-AB1191-AD1191-AF1191-AH1191-AJ1191-AL1191-AN1191-AP1191-AR1191-AT1191-AV1191-AX1191-AZ1191-BB1191-BD1191-BF1191-BH1191-U1191</f>
        <v>-0.59999999999990905</v>
      </c>
      <c r="W1191" s="15" t="s">
        <v>5820</v>
      </c>
      <c r="X1191" s="19"/>
      <c r="Y1191" s="10"/>
      <c r="Z1191" s="19">
        <v>2430.6</v>
      </c>
      <c r="AA1191" s="123">
        <v>46129</v>
      </c>
    </row>
    <row r="1192" spans="1:29" s="28" customFormat="1" ht="20.25" customHeight="1">
      <c r="A1192" s="11">
        <v>46113</v>
      </c>
      <c r="B1192" s="16" t="s">
        <v>5799</v>
      </c>
      <c r="C1192" s="16" t="s">
        <v>535</v>
      </c>
      <c r="D1192" s="16" t="s">
        <v>212</v>
      </c>
      <c r="E1192" s="16" t="s">
        <v>25</v>
      </c>
      <c r="F1192" s="16" t="s">
        <v>5806</v>
      </c>
      <c r="G1192" s="16" t="s">
        <v>71</v>
      </c>
      <c r="H1192" s="16" t="s">
        <v>31</v>
      </c>
      <c r="I1192" s="1"/>
      <c r="J1192" s="1" t="s">
        <v>27</v>
      </c>
      <c r="K1192" s="16" t="s">
        <v>2653</v>
      </c>
      <c r="L1192" s="1" t="s">
        <v>35</v>
      </c>
      <c r="M1192" s="17">
        <v>3753</v>
      </c>
      <c r="N1192" s="23">
        <v>1.33</v>
      </c>
      <c r="O1192" s="16" t="s">
        <v>67</v>
      </c>
      <c r="P1192" s="16" t="s">
        <v>63</v>
      </c>
      <c r="Q1192" s="16" t="s">
        <v>29</v>
      </c>
      <c r="R1192" s="16" t="s">
        <v>5437</v>
      </c>
      <c r="S1192" s="12" t="s">
        <v>5814</v>
      </c>
      <c r="T1192" s="13">
        <v>46139</v>
      </c>
      <c r="U1192" s="19"/>
      <c r="V1192" s="53">
        <f>M1192-Z1192-AB1192-AD1192-AF1192-AH1192-AJ1192-AL1192-AN1192-AP1192-AR1192-AT1192-AV1192-AX1192-AZ1192-BB1192-BD1192-BF1192-BH1192-U1192</f>
        <v>-3.9000000000000909</v>
      </c>
      <c r="W1192" s="22" t="s">
        <v>5821</v>
      </c>
      <c r="X1192" s="16"/>
      <c r="Y1192" s="9"/>
      <c r="Z1192" s="19">
        <v>2433.4</v>
      </c>
      <c r="AA1192" s="252">
        <v>46133</v>
      </c>
      <c r="AB1192" s="19">
        <v>1323.5</v>
      </c>
      <c r="AC1192" s="252">
        <v>46141</v>
      </c>
    </row>
    <row r="1193" spans="1:29" s="28" customFormat="1" ht="20.25" customHeight="1">
      <c r="A1193" s="11">
        <v>46113</v>
      </c>
      <c r="B1193" s="16" t="s">
        <v>5800</v>
      </c>
      <c r="C1193" s="16" t="s">
        <v>315</v>
      </c>
      <c r="D1193" s="16" t="s">
        <v>212</v>
      </c>
      <c r="E1193" s="16" t="s">
        <v>25</v>
      </c>
      <c r="F1193" s="16" t="s">
        <v>5807</v>
      </c>
      <c r="G1193" s="16" t="s">
        <v>71</v>
      </c>
      <c r="H1193" s="16" t="s">
        <v>31</v>
      </c>
      <c r="I1193" s="16"/>
      <c r="J1193" s="16" t="s">
        <v>27</v>
      </c>
      <c r="K1193" s="16" t="s">
        <v>1476</v>
      </c>
      <c r="L1193" s="16" t="s">
        <v>35</v>
      </c>
      <c r="M1193" s="17">
        <v>3077</v>
      </c>
      <c r="N1193" s="23">
        <v>1.33</v>
      </c>
      <c r="O1193" s="16" t="s">
        <v>67</v>
      </c>
      <c r="P1193" s="16" t="s">
        <v>63</v>
      </c>
      <c r="Q1193" s="16" t="s">
        <v>29</v>
      </c>
      <c r="R1193" s="16" t="s">
        <v>5813</v>
      </c>
      <c r="S1193" s="12" t="s">
        <v>5719</v>
      </c>
      <c r="T1193" s="13">
        <v>46136</v>
      </c>
      <c r="U1193" s="19"/>
      <c r="V1193" s="53">
        <f>M1193-Z1193-AB1193-AD1193-AF1193-AH1193-AJ1193-AL1193-AN1193-AP1193-AR1193-AT1193-AV1193-AX1193-AZ1193-BB1193-BD1193-BF1193-BH1193-U1193</f>
        <v>-1.2000000000002728</v>
      </c>
      <c r="W1193" s="22" t="s">
        <v>5822</v>
      </c>
      <c r="X1193" s="16"/>
      <c r="Y1193" s="9"/>
      <c r="Z1193" s="19">
        <f>704.4+2373.8</f>
        <v>3078.2000000000003</v>
      </c>
      <c r="AA1193" s="252">
        <v>46136</v>
      </c>
    </row>
    <row r="1194" spans="1:29" s="28" customFormat="1" ht="20.25" customHeight="1">
      <c r="A1194" s="11">
        <v>46114</v>
      </c>
      <c r="B1194" s="16" t="s">
        <v>5823</v>
      </c>
      <c r="C1194" s="16" t="s">
        <v>267</v>
      </c>
      <c r="D1194" s="16" t="s">
        <v>212</v>
      </c>
      <c r="E1194" s="16" t="s">
        <v>25</v>
      </c>
      <c r="F1194" s="16" t="s">
        <v>5840</v>
      </c>
      <c r="G1194" s="16" t="s">
        <v>71</v>
      </c>
      <c r="H1194" s="16" t="s">
        <v>26</v>
      </c>
      <c r="I1194" s="1"/>
      <c r="J1194" s="1" t="s">
        <v>27</v>
      </c>
      <c r="K1194" s="16" t="s">
        <v>913</v>
      </c>
      <c r="L1194" s="1" t="s">
        <v>35</v>
      </c>
      <c r="M1194" s="17">
        <v>7210</v>
      </c>
      <c r="N1194" s="23">
        <v>1.33</v>
      </c>
      <c r="O1194" s="16" t="s">
        <v>67</v>
      </c>
      <c r="P1194" s="16" t="s">
        <v>63</v>
      </c>
      <c r="Q1194" s="16" t="s">
        <v>29</v>
      </c>
      <c r="R1194" s="16" t="s">
        <v>5858</v>
      </c>
      <c r="S1194" s="12" t="s">
        <v>294</v>
      </c>
      <c r="T1194" s="13">
        <v>46140</v>
      </c>
      <c r="U1194" s="19"/>
      <c r="V1194" s="53">
        <f>M1194-Z1194-AB1194-AD1194-AF1194-AH1194-AJ1194-AL1194-AN1194-AP1194-AR1194-AT1194-AV1194-AX1194-AZ1194-BB1194-BD1194-BF1194-BH1194-U1194</f>
        <v>-2.6999999999995907</v>
      </c>
      <c r="W1194" s="22" t="s">
        <v>5870</v>
      </c>
      <c r="X1194" s="16"/>
      <c r="Y1194" s="9"/>
      <c r="Z1194" s="19">
        <f>2741.5+2466.9</f>
        <v>5208.3999999999996</v>
      </c>
      <c r="AA1194" s="252">
        <v>46140</v>
      </c>
      <c r="AB1194" s="19">
        <v>2004.3</v>
      </c>
      <c r="AC1194" s="252">
        <v>46141</v>
      </c>
    </row>
    <row r="1195" spans="1:29" s="101" customFormat="1" ht="20.25" customHeight="1">
      <c r="A1195" s="3">
        <v>46114</v>
      </c>
      <c r="B1195" s="1" t="s">
        <v>5824</v>
      </c>
      <c r="C1195" s="1" t="s">
        <v>267</v>
      </c>
      <c r="D1195" s="1" t="s">
        <v>212</v>
      </c>
      <c r="E1195" s="1" t="s">
        <v>25</v>
      </c>
      <c r="F1195" s="1" t="s">
        <v>5841</v>
      </c>
      <c r="G1195" s="1" t="s">
        <v>71</v>
      </c>
      <c r="H1195" s="1" t="s">
        <v>31</v>
      </c>
      <c r="I1195" s="1"/>
      <c r="J1195" s="1" t="s">
        <v>27</v>
      </c>
      <c r="K1195" s="1" t="s">
        <v>1476</v>
      </c>
      <c r="L1195" s="1" t="s">
        <v>35</v>
      </c>
      <c r="M1195" s="2">
        <v>9975</v>
      </c>
      <c r="N1195" s="6">
        <v>1.33</v>
      </c>
      <c r="O1195" s="1" t="s">
        <v>67</v>
      </c>
      <c r="P1195" s="1" t="s">
        <v>63</v>
      </c>
      <c r="Q1195" s="1" t="s">
        <v>29</v>
      </c>
      <c r="R1195" s="1" t="s">
        <v>4999</v>
      </c>
      <c r="S1195" s="121" t="s">
        <v>294</v>
      </c>
      <c r="T1195" s="5">
        <v>46140</v>
      </c>
      <c r="U1195" s="380">
        <v>576.6</v>
      </c>
      <c r="V1195" s="83">
        <f>M1195-Z1195-AB1195-AD1195-AF1195-AH1195-AJ1195-AL1195-AN1195-AP1195-AR1195-AT1195-AV1195-AX1195-AZ1195-BB1195-BD1195-BF1195-BH1195-U1195</f>
        <v>-2.7999999999989313</v>
      </c>
      <c r="W1195" s="4" t="s">
        <v>5871</v>
      </c>
      <c r="X1195" s="1"/>
      <c r="Y1195" s="58"/>
      <c r="Z1195" s="63">
        <f>2296.2+2199.6</f>
        <v>4495.7999999999993</v>
      </c>
      <c r="AA1195" s="334">
        <v>46140</v>
      </c>
      <c r="AB1195" s="63">
        <f>2523.9+2381.5</f>
        <v>4905.3999999999996</v>
      </c>
      <c r="AC1195" s="334">
        <v>46141</v>
      </c>
    </row>
    <row r="1196" spans="1:29" s="101" customFormat="1" ht="20.25" customHeight="1">
      <c r="A1196" s="3">
        <v>46114</v>
      </c>
      <c r="B1196" s="1" t="s">
        <v>5825</v>
      </c>
      <c r="C1196" s="1" t="s">
        <v>267</v>
      </c>
      <c r="D1196" s="1" t="s">
        <v>212</v>
      </c>
      <c r="E1196" s="1" t="s">
        <v>25</v>
      </c>
      <c r="F1196" s="1" t="s">
        <v>5842</v>
      </c>
      <c r="G1196" s="1" t="s">
        <v>71</v>
      </c>
      <c r="H1196" s="1" t="s">
        <v>31</v>
      </c>
      <c r="I1196" s="1"/>
      <c r="J1196" s="1" t="s">
        <v>27</v>
      </c>
      <c r="K1196" s="1" t="s">
        <v>5857</v>
      </c>
      <c r="L1196" s="1" t="s">
        <v>35</v>
      </c>
      <c r="M1196" s="2">
        <v>1090</v>
      </c>
      <c r="N1196" s="6">
        <v>1.33</v>
      </c>
      <c r="O1196" s="1" t="s">
        <v>67</v>
      </c>
      <c r="P1196" s="1" t="s">
        <v>63</v>
      </c>
      <c r="Q1196" s="1" t="s">
        <v>29</v>
      </c>
      <c r="R1196" s="1" t="s">
        <v>5810</v>
      </c>
      <c r="S1196" s="121" t="s">
        <v>5866</v>
      </c>
      <c r="T1196" s="5">
        <v>46149</v>
      </c>
      <c r="U1196" s="380">
        <v>421.9</v>
      </c>
      <c r="V1196" s="83">
        <f>M1196-Z1196-AB1196-AD1196-AF1196-AH1196-AJ1196-AL1196-AN1196-AP1196-AR1196-AT1196-AV1196-AX1196-AZ1196-BB1196-BD1196-BF1196-BH1196-U1196</f>
        <v>668.1</v>
      </c>
      <c r="W1196" s="4" t="s">
        <v>5872</v>
      </c>
      <c r="X1196" s="1"/>
      <c r="Y1196" s="58"/>
      <c r="Z1196" s="58"/>
    </row>
    <row r="1197" spans="1:29" s="28" customFormat="1" ht="20.25" customHeight="1">
      <c r="A1197" s="11">
        <v>46114</v>
      </c>
      <c r="B1197" s="16" t="s">
        <v>5826</v>
      </c>
      <c r="C1197" s="16" t="s">
        <v>267</v>
      </c>
      <c r="D1197" s="16" t="s">
        <v>212</v>
      </c>
      <c r="E1197" s="16" t="s">
        <v>25</v>
      </c>
      <c r="F1197" s="16" t="s">
        <v>5843</v>
      </c>
      <c r="G1197" s="16" t="s">
        <v>71</v>
      </c>
      <c r="H1197" s="16" t="s">
        <v>26</v>
      </c>
      <c r="I1197" s="16"/>
      <c r="J1197" s="16" t="s">
        <v>27</v>
      </c>
      <c r="K1197" s="16" t="s">
        <v>1470</v>
      </c>
      <c r="L1197" s="16" t="s">
        <v>35</v>
      </c>
      <c r="M1197" s="17">
        <v>685</v>
      </c>
      <c r="N1197" s="23">
        <v>1.33</v>
      </c>
      <c r="O1197" s="16" t="s">
        <v>67</v>
      </c>
      <c r="P1197" s="16" t="s">
        <v>63</v>
      </c>
      <c r="Q1197" s="16" t="s">
        <v>29</v>
      </c>
      <c r="R1197" s="16" t="s">
        <v>5711</v>
      </c>
      <c r="S1197" s="12" t="s">
        <v>294</v>
      </c>
      <c r="T1197" s="13">
        <v>46140</v>
      </c>
      <c r="U1197" s="19"/>
      <c r="V1197" s="53">
        <f>M1197-Z1197-AB1197-AD1197-AF1197-AH1197-AJ1197-AL1197-AN1197-AP1197-AR1197-AT1197-AV1197-AX1197-AZ1197-BB1197-BD1197-BF1197-BH1197-U1197</f>
        <v>-0.89999999999997726</v>
      </c>
      <c r="W1197" s="22" t="s">
        <v>5873</v>
      </c>
      <c r="X1197" s="16"/>
      <c r="Y1197" s="9"/>
      <c r="Z1197" s="19">
        <v>685.9</v>
      </c>
      <c r="AA1197" s="252">
        <v>46140</v>
      </c>
    </row>
    <row r="1198" spans="1:29" s="28" customFormat="1" ht="20.25" customHeight="1">
      <c r="A1198" s="11">
        <v>46114</v>
      </c>
      <c r="B1198" s="16" t="s">
        <v>5827</v>
      </c>
      <c r="C1198" s="16" t="s">
        <v>267</v>
      </c>
      <c r="D1198" s="16" t="s">
        <v>212</v>
      </c>
      <c r="E1198" s="16" t="s">
        <v>25</v>
      </c>
      <c r="F1198" s="16" t="s">
        <v>5844</v>
      </c>
      <c r="G1198" s="16" t="s">
        <v>71</v>
      </c>
      <c r="H1198" s="16" t="s">
        <v>31</v>
      </c>
      <c r="I1198" s="16"/>
      <c r="J1198" s="16" t="s">
        <v>27</v>
      </c>
      <c r="K1198" s="16" t="s">
        <v>966</v>
      </c>
      <c r="L1198" s="16" t="s">
        <v>35</v>
      </c>
      <c r="M1198" s="17">
        <v>1375</v>
      </c>
      <c r="N1198" s="23">
        <v>1.33</v>
      </c>
      <c r="O1198" s="16" t="s">
        <v>67</v>
      </c>
      <c r="P1198" s="16" t="s">
        <v>63</v>
      </c>
      <c r="Q1198" s="16" t="s">
        <v>29</v>
      </c>
      <c r="R1198" s="16" t="s">
        <v>5859</v>
      </c>
      <c r="S1198" s="12" t="s">
        <v>5867</v>
      </c>
      <c r="T1198" s="13">
        <v>46140</v>
      </c>
      <c r="U1198" s="19"/>
      <c r="V1198" s="53">
        <f>M1198-Z1198-AB1198-AD1198-AF1198-AH1198-AJ1198-AL1198-AN1198-AP1198-AR1198-AT1198-AV1198-AX1198-AZ1198-BB1198-BD1198-BF1198-BH1198-U1198</f>
        <v>-4.2999999999999545</v>
      </c>
      <c r="W1198" s="22" t="s">
        <v>5874</v>
      </c>
      <c r="X1198" s="16"/>
      <c r="Y1198" s="9"/>
      <c r="Z1198" s="19">
        <v>1379.3</v>
      </c>
      <c r="AA1198" s="252">
        <v>46140</v>
      </c>
    </row>
    <row r="1199" spans="1:29" s="28" customFormat="1" ht="20.25" customHeight="1">
      <c r="A1199" s="11">
        <v>46114</v>
      </c>
      <c r="B1199" s="16" t="s">
        <v>5828</v>
      </c>
      <c r="C1199" s="16" t="s">
        <v>267</v>
      </c>
      <c r="D1199" s="16" t="s">
        <v>212</v>
      </c>
      <c r="E1199" s="16" t="s">
        <v>25</v>
      </c>
      <c r="F1199" s="16" t="s">
        <v>5845</v>
      </c>
      <c r="G1199" s="16" t="s">
        <v>71</v>
      </c>
      <c r="H1199" s="16" t="s">
        <v>31</v>
      </c>
      <c r="I1199" s="16"/>
      <c r="J1199" s="16" t="s">
        <v>27</v>
      </c>
      <c r="K1199" s="16" t="s">
        <v>3882</v>
      </c>
      <c r="L1199" s="16" t="s">
        <v>35</v>
      </c>
      <c r="M1199" s="17">
        <v>3715</v>
      </c>
      <c r="N1199" s="23">
        <v>1.33</v>
      </c>
      <c r="O1199" s="16" t="s">
        <v>67</v>
      </c>
      <c r="P1199" s="16" t="s">
        <v>63</v>
      </c>
      <c r="Q1199" s="16" t="s">
        <v>29</v>
      </c>
      <c r="R1199" s="16" t="s">
        <v>5860</v>
      </c>
      <c r="S1199" s="12" t="s">
        <v>5867</v>
      </c>
      <c r="T1199" s="13">
        <v>46140</v>
      </c>
      <c r="U1199" s="19"/>
      <c r="V1199" s="324">
        <f>M1199-Z1199-AB1199-AD1199-AF1199-AH1199-AJ1199-AL1199-AN1199-AP1199-AR1199-AT1199-AV1199-AX1199-AZ1199-BB1199-BD1199-BF1199-BH1199-U1199</f>
        <v>-2.5999999999999091</v>
      </c>
      <c r="W1199" s="22" t="s">
        <v>5875</v>
      </c>
      <c r="X1199" s="16"/>
      <c r="Y1199" s="9"/>
      <c r="Z1199" s="19">
        <f>1524.9+2192.7</f>
        <v>3717.6</v>
      </c>
      <c r="AA1199" s="252">
        <v>46140</v>
      </c>
    </row>
    <row r="1200" spans="1:29" s="36" customFormat="1" ht="20.25" customHeight="1">
      <c r="A1200" s="7">
        <v>46114</v>
      </c>
      <c r="B1200" s="19" t="s">
        <v>5829</v>
      </c>
      <c r="C1200" s="19" t="s">
        <v>267</v>
      </c>
      <c r="D1200" s="19" t="s">
        <v>212</v>
      </c>
      <c r="E1200" s="19" t="s">
        <v>25</v>
      </c>
      <c r="F1200" s="19" t="s">
        <v>5846</v>
      </c>
      <c r="G1200" s="19" t="s">
        <v>71</v>
      </c>
      <c r="H1200" s="19" t="s">
        <v>31</v>
      </c>
      <c r="I1200" s="19"/>
      <c r="J1200" s="19" t="s">
        <v>27</v>
      </c>
      <c r="K1200" s="19" t="s">
        <v>332</v>
      </c>
      <c r="L1200" s="19" t="s">
        <v>35</v>
      </c>
      <c r="M1200" s="20">
        <v>125</v>
      </c>
      <c r="N1200" s="25">
        <v>1.33</v>
      </c>
      <c r="O1200" s="19" t="s">
        <v>5894</v>
      </c>
      <c r="P1200" s="19" t="s">
        <v>63</v>
      </c>
      <c r="Q1200" s="19" t="s">
        <v>29</v>
      </c>
      <c r="R1200" s="19" t="s">
        <v>5861</v>
      </c>
      <c r="S1200" s="45" t="s">
        <v>5577</v>
      </c>
      <c r="T1200" s="8">
        <v>46128</v>
      </c>
      <c r="U1200" s="19"/>
      <c r="V1200" s="55">
        <f>M1200-Z1200-AB1200-AD1200-AF1200-AH1200-AJ1200-AL1200-AN1200-AP1200-AR1200-AT1200-AV1200-AX1200-AZ1200-BB1200-BD1200-BF1200-BH1200-U1200</f>
        <v>-2.0999999999999943</v>
      </c>
      <c r="W1200" s="15" t="s">
        <v>5876</v>
      </c>
      <c r="X1200" s="19"/>
      <c r="Y1200" s="10"/>
      <c r="Z1200" s="19">
        <v>127.1</v>
      </c>
      <c r="AA1200" s="123">
        <v>46125</v>
      </c>
    </row>
    <row r="1201" spans="1:29" s="101" customFormat="1" ht="20.25" customHeight="1">
      <c r="A1201" s="3">
        <v>46114</v>
      </c>
      <c r="B1201" s="1" t="s">
        <v>5830</v>
      </c>
      <c r="C1201" s="1" t="s">
        <v>267</v>
      </c>
      <c r="D1201" s="1" t="s">
        <v>212</v>
      </c>
      <c r="E1201" s="1" t="s">
        <v>25</v>
      </c>
      <c r="F1201" s="1" t="s">
        <v>5847</v>
      </c>
      <c r="G1201" s="1" t="s">
        <v>71</v>
      </c>
      <c r="H1201" s="1" t="s">
        <v>31</v>
      </c>
      <c r="I1201" s="1"/>
      <c r="J1201" s="1" t="s">
        <v>27</v>
      </c>
      <c r="K1201" s="1" t="s">
        <v>5857</v>
      </c>
      <c r="L1201" s="1" t="s">
        <v>35</v>
      </c>
      <c r="M1201" s="2">
        <v>550</v>
      </c>
      <c r="N1201" s="6">
        <v>1.33</v>
      </c>
      <c r="O1201" s="1" t="s">
        <v>67</v>
      </c>
      <c r="P1201" s="1" t="s">
        <v>63</v>
      </c>
      <c r="Q1201" s="1" t="s">
        <v>29</v>
      </c>
      <c r="R1201" s="1" t="s">
        <v>5862</v>
      </c>
      <c r="S1201" s="121" t="s">
        <v>5868</v>
      </c>
      <c r="T1201" s="5">
        <v>46146</v>
      </c>
      <c r="U1201" s="380">
        <v>553.4</v>
      </c>
      <c r="V1201" s="83">
        <f>M1201-Z1201-AB1201-AD1201-AF1201-AH1201-AJ1201-AL1201-AN1201-AP1201-AR1201-AT1201-AV1201-AX1201-AZ1201-BB1201-BD1201-BF1201-BH1201-U1201</f>
        <v>-3.3999999999999773</v>
      </c>
      <c r="W1201" s="4" t="s">
        <v>5877</v>
      </c>
      <c r="X1201" s="1"/>
      <c r="Y1201" s="58"/>
      <c r="Z1201" s="58"/>
    </row>
    <row r="1202" spans="1:29" s="101" customFormat="1" ht="20.25" customHeight="1">
      <c r="A1202" s="3">
        <v>46114</v>
      </c>
      <c r="B1202" s="1" t="s">
        <v>5831</v>
      </c>
      <c r="C1202" s="1" t="s">
        <v>1568</v>
      </c>
      <c r="D1202" s="1" t="s">
        <v>212</v>
      </c>
      <c r="E1202" s="1" t="s">
        <v>25</v>
      </c>
      <c r="F1202" s="1" t="s">
        <v>5848</v>
      </c>
      <c r="G1202" s="1" t="s">
        <v>71</v>
      </c>
      <c r="H1202" s="1" t="s">
        <v>31</v>
      </c>
      <c r="I1202" s="1"/>
      <c r="J1202" s="1" t="s">
        <v>27</v>
      </c>
      <c r="K1202" s="1" t="s">
        <v>598</v>
      </c>
      <c r="L1202" s="1" t="s">
        <v>35</v>
      </c>
      <c r="M1202" s="2">
        <v>1637</v>
      </c>
      <c r="N1202" s="6">
        <v>1.33</v>
      </c>
      <c r="O1202" s="1" t="s">
        <v>67</v>
      </c>
      <c r="P1202" s="1" t="s">
        <v>63</v>
      </c>
      <c r="Q1202" s="1" t="s">
        <v>29</v>
      </c>
      <c r="R1202" s="1" t="s">
        <v>2601</v>
      </c>
      <c r="S1202" s="121" t="s">
        <v>5869</v>
      </c>
      <c r="T1202" s="5">
        <v>46174</v>
      </c>
      <c r="U1202" s="388">
        <v>1637</v>
      </c>
      <c r="V1202" s="83">
        <f>M1202-Z1202-AB1202-AD1202-AF1202-AH1202-AJ1202-AL1202-AN1202-AP1202-AR1202-AT1202-AV1202-AX1202-AZ1202-BB1202-BD1202-BF1202-BH1202-U1202</f>
        <v>0</v>
      </c>
      <c r="W1202" s="4" t="s">
        <v>5878</v>
      </c>
      <c r="X1202" s="1"/>
      <c r="Y1202" s="58"/>
      <c r="Z1202" s="58"/>
    </row>
    <row r="1203" spans="1:29" s="28" customFormat="1" ht="20.25" customHeight="1">
      <c r="A1203" s="11">
        <v>46114</v>
      </c>
      <c r="B1203" s="16" t="s">
        <v>5832</v>
      </c>
      <c r="C1203" s="16" t="s">
        <v>304</v>
      </c>
      <c r="D1203" s="16" t="s">
        <v>212</v>
      </c>
      <c r="E1203" s="16" t="s">
        <v>25</v>
      </c>
      <c r="F1203" s="16" t="s">
        <v>5849</v>
      </c>
      <c r="G1203" s="16" t="s">
        <v>71</v>
      </c>
      <c r="H1203" s="16" t="s">
        <v>31</v>
      </c>
      <c r="I1203" s="16"/>
      <c r="J1203" s="16" t="s">
        <v>27</v>
      </c>
      <c r="K1203" s="16" t="s">
        <v>218</v>
      </c>
      <c r="L1203" s="16" t="s">
        <v>35</v>
      </c>
      <c r="M1203" s="17">
        <v>2170</v>
      </c>
      <c r="N1203" s="23">
        <v>1.33</v>
      </c>
      <c r="O1203" s="16" t="s">
        <v>67</v>
      </c>
      <c r="P1203" s="16" t="s">
        <v>63</v>
      </c>
      <c r="Q1203" s="16" t="s">
        <v>29</v>
      </c>
      <c r="R1203" s="16" t="s">
        <v>5863</v>
      </c>
      <c r="S1203" s="12" t="s">
        <v>294</v>
      </c>
      <c r="T1203" s="13">
        <v>46140</v>
      </c>
      <c r="U1203" s="19"/>
      <c r="V1203" s="53">
        <f>M1203-Z1203-AB1203-AD1203-AF1203-AH1203-AJ1203-AL1203-AN1203-AP1203-AR1203-AT1203-AV1203-AX1203-AZ1203-BB1203-BD1203-BF1203-BH1203-U1203</f>
        <v>-0.1000000000003638</v>
      </c>
      <c r="W1203" s="22" t="s">
        <v>5879</v>
      </c>
      <c r="X1203" s="16"/>
      <c r="Y1203" s="9"/>
      <c r="Z1203" s="19">
        <f>2123.8+46.3</f>
        <v>2170.1000000000004</v>
      </c>
      <c r="AA1203" s="252">
        <v>46140</v>
      </c>
    </row>
    <row r="1204" spans="1:29" s="36" customFormat="1" ht="20.25" customHeight="1">
      <c r="A1204" s="7">
        <v>46114</v>
      </c>
      <c r="B1204" s="19" t="s">
        <v>5833</v>
      </c>
      <c r="C1204" s="19" t="s">
        <v>304</v>
      </c>
      <c r="D1204" s="19" t="s">
        <v>212</v>
      </c>
      <c r="E1204" s="19" t="s">
        <v>25</v>
      </c>
      <c r="F1204" s="19" t="s">
        <v>5850</v>
      </c>
      <c r="G1204" s="19" t="s">
        <v>71</v>
      </c>
      <c r="H1204" s="19" t="s">
        <v>26</v>
      </c>
      <c r="I1204" s="19"/>
      <c r="J1204" s="19" t="s">
        <v>27</v>
      </c>
      <c r="K1204" s="19" t="s">
        <v>340</v>
      </c>
      <c r="L1204" s="19" t="s">
        <v>35</v>
      </c>
      <c r="M1204" s="20">
        <v>700</v>
      </c>
      <c r="N1204" s="25">
        <v>1.33</v>
      </c>
      <c r="O1204" s="19" t="s">
        <v>5894</v>
      </c>
      <c r="P1204" s="19" t="s">
        <v>63</v>
      </c>
      <c r="Q1204" s="19" t="s">
        <v>29</v>
      </c>
      <c r="R1204" s="19" t="s">
        <v>2981</v>
      </c>
      <c r="S1204" s="45" t="s">
        <v>294</v>
      </c>
      <c r="T1204" s="8">
        <v>46140</v>
      </c>
      <c r="U1204" s="19"/>
      <c r="V1204" s="55">
        <f>M1204-Z1204-AB1204-AD1204-AF1204-AH1204-AJ1204-AL1204-AN1204-AP1204-AR1204-AT1204-AV1204-AX1204-AZ1204-BB1204-BD1204-BF1204-BH1204-U1204</f>
        <v>0</v>
      </c>
      <c r="W1204" s="15" t="s">
        <v>5880</v>
      </c>
      <c r="X1204" s="19"/>
      <c r="Y1204" s="10"/>
      <c r="Z1204" s="19">
        <v>700</v>
      </c>
      <c r="AA1204" s="123">
        <v>46125</v>
      </c>
    </row>
    <row r="1205" spans="1:29" s="101" customFormat="1" ht="20.25" customHeight="1">
      <c r="A1205" s="3">
        <v>46114</v>
      </c>
      <c r="B1205" s="1" t="s">
        <v>5834</v>
      </c>
      <c r="C1205" s="1" t="s">
        <v>304</v>
      </c>
      <c r="D1205" s="1" t="s">
        <v>212</v>
      </c>
      <c r="E1205" s="1" t="s">
        <v>25</v>
      </c>
      <c r="F1205" s="1" t="s">
        <v>5851</v>
      </c>
      <c r="G1205" s="1" t="s">
        <v>71</v>
      </c>
      <c r="H1205" s="1" t="s">
        <v>31</v>
      </c>
      <c r="I1205" s="1"/>
      <c r="J1205" s="1" t="s">
        <v>27</v>
      </c>
      <c r="K1205" s="1" t="s">
        <v>598</v>
      </c>
      <c r="L1205" s="1" t="s">
        <v>35</v>
      </c>
      <c r="M1205" s="2">
        <v>15</v>
      </c>
      <c r="N1205" s="6">
        <v>1.33</v>
      </c>
      <c r="O1205" s="1" t="s">
        <v>67</v>
      </c>
      <c r="P1205" s="1" t="s">
        <v>63</v>
      </c>
      <c r="Q1205" s="1" t="s">
        <v>29</v>
      </c>
      <c r="R1205" s="1" t="s">
        <v>5811</v>
      </c>
      <c r="S1205" s="121" t="s">
        <v>294</v>
      </c>
      <c r="T1205" s="5">
        <v>46140</v>
      </c>
      <c r="U1205" s="388">
        <v>15</v>
      </c>
      <c r="V1205" s="83">
        <f>M1205-Z1205-AB1205-AD1205-AF1205-AH1205-AJ1205-AL1205-AN1205-AP1205-AR1205-AT1205-AV1205-AX1205-AZ1205-BB1205-BD1205-BF1205-BH1205-U1205</f>
        <v>0</v>
      </c>
      <c r="W1205" s="4" t="s">
        <v>5881</v>
      </c>
      <c r="X1205" s="1"/>
      <c r="Y1205" s="58"/>
      <c r="Z1205" s="58"/>
    </row>
    <row r="1206" spans="1:29" s="122" customFormat="1" ht="20.25" customHeight="1">
      <c r="A1206" s="300">
        <v>46114</v>
      </c>
      <c r="B1206" s="301" t="s">
        <v>5835</v>
      </c>
      <c r="C1206" s="301" t="s">
        <v>304</v>
      </c>
      <c r="D1206" s="301" t="s">
        <v>212</v>
      </c>
      <c r="E1206" s="301" t="s">
        <v>25</v>
      </c>
      <c r="F1206" s="301" t="s">
        <v>5852</v>
      </c>
      <c r="G1206" s="301" t="s">
        <v>71</v>
      </c>
      <c r="H1206" s="301" t="s">
        <v>31</v>
      </c>
      <c r="I1206" s="301"/>
      <c r="J1206" s="301" t="s">
        <v>27</v>
      </c>
      <c r="K1206" s="301" t="s">
        <v>218</v>
      </c>
      <c r="L1206" s="301" t="s">
        <v>35</v>
      </c>
      <c r="M1206" s="302">
        <v>5775</v>
      </c>
      <c r="N1206" s="303">
        <v>1.33</v>
      </c>
      <c r="O1206" s="301" t="s">
        <v>67</v>
      </c>
      <c r="P1206" s="301" t="s">
        <v>63</v>
      </c>
      <c r="Q1206" s="301" t="s">
        <v>29</v>
      </c>
      <c r="R1206" s="301" t="s">
        <v>5864</v>
      </c>
      <c r="S1206" s="304" t="s">
        <v>294</v>
      </c>
      <c r="T1206" s="305">
        <v>46140</v>
      </c>
      <c r="U1206" s="19"/>
      <c r="V1206" s="306">
        <f>M1206-Z1206-AB1206-AD1206-AF1206-AH1206-AJ1206-AL1206-AN1206-AP1206-AR1206-AT1206-AV1206-AX1206-AZ1206-BB1206-BD1206-BF1206-BH1206-U1206</f>
        <v>-1.1999999999998181</v>
      </c>
      <c r="W1206" s="307" t="s">
        <v>5882</v>
      </c>
      <c r="X1206" s="301"/>
      <c r="Y1206" s="335"/>
      <c r="Z1206" s="19">
        <f>3242.5+2533.7</f>
        <v>5776.2</v>
      </c>
      <c r="AA1206" s="312">
        <v>46140</v>
      </c>
    </row>
    <row r="1207" spans="1:29" s="417" customFormat="1" ht="20.25" customHeight="1">
      <c r="A1207" s="411">
        <v>46114</v>
      </c>
      <c r="B1207" s="270" t="s">
        <v>5836</v>
      </c>
      <c r="C1207" s="270" t="s">
        <v>304</v>
      </c>
      <c r="D1207" s="270" t="s">
        <v>212</v>
      </c>
      <c r="E1207" s="270" t="s">
        <v>25</v>
      </c>
      <c r="F1207" s="270" t="s">
        <v>5853</v>
      </c>
      <c r="G1207" s="270" t="s">
        <v>71</v>
      </c>
      <c r="H1207" s="270" t="s">
        <v>31</v>
      </c>
      <c r="I1207" s="270"/>
      <c r="J1207" s="270" t="s">
        <v>27</v>
      </c>
      <c r="K1207" s="270" t="s">
        <v>5857</v>
      </c>
      <c r="L1207" s="270" t="s">
        <v>35</v>
      </c>
      <c r="M1207" s="412">
        <v>4925</v>
      </c>
      <c r="N1207" s="271">
        <v>1.33</v>
      </c>
      <c r="O1207" s="270" t="s">
        <v>67</v>
      </c>
      <c r="P1207" s="270" t="s">
        <v>63</v>
      </c>
      <c r="Q1207" s="270" t="s">
        <v>29</v>
      </c>
      <c r="R1207" s="270" t="s">
        <v>5865</v>
      </c>
      <c r="S1207" s="327" t="s">
        <v>294</v>
      </c>
      <c r="T1207" s="382">
        <v>46140</v>
      </c>
      <c r="U1207" s="444">
        <v>22.6</v>
      </c>
      <c r="V1207" s="413">
        <f>M1207-Z1207-AB1207-AD1207-AF1207-AH1207-AJ1207-AL1207-AN1207-AP1207-AR1207-AT1207-AV1207-AX1207-AZ1207-BB1207-BD1207-BF1207-BH1207-U1207</f>
        <v>-2.0605739337042905E-13</v>
      </c>
      <c r="W1207" s="414" t="s">
        <v>5883</v>
      </c>
      <c r="X1207" s="270"/>
      <c r="Y1207" s="415"/>
      <c r="Z1207" s="270">
        <f>2540+1448.3</f>
        <v>3988.3</v>
      </c>
      <c r="AA1207" s="416">
        <v>46140</v>
      </c>
      <c r="AB1207" s="270">
        <v>914.1</v>
      </c>
      <c r="AC1207" s="416">
        <v>46141</v>
      </c>
    </row>
    <row r="1208" spans="1:29" s="28" customFormat="1" ht="20.25" customHeight="1">
      <c r="A1208" s="11">
        <v>46114</v>
      </c>
      <c r="B1208" s="16" t="s">
        <v>5837</v>
      </c>
      <c r="C1208" s="16" t="s">
        <v>304</v>
      </c>
      <c r="D1208" s="16" t="s">
        <v>212</v>
      </c>
      <c r="E1208" s="16" t="s">
        <v>25</v>
      </c>
      <c r="F1208" s="16" t="s">
        <v>5854</v>
      </c>
      <c r="G1208" s="16" t="s">
        <v>71</v>
      </c>
      <c r="H1208" s="16" t="s">
        <v>31</v>
      </c>
      <c r="I1208" s="16"/>
      <c r="J1208" s="16" t="s">
        <v>27</v>
      </c>
      <c r="K1208" s="16" t="s">
        <v>1470</v>
      </c>
      <c r="L1208" s="16" t="s">
        <v>35</v>
      </c>
      <c r="M1208" s="17">
        <v>1200</v>
      </c>
      <c r="N1208" s="23">
        <v>1.33</v>
      </c>
      <c r="O1208" s="16" t="s">
        <v>67</v>
      </c>
      <c r="P1208" s="16" t="s">
        <v>63</v>
      </c>
      <c r="Q1208" s="16" t="s">
        <v>29</v>
      </c>
      <c r="R1208" s="16" t="s">
        <v>5811</v>
      </c>
      <c r="S1208" s="12" t="s">
        <v>294</v>
      </c>
      <c r="T1208" s="13">
        <v>46140</v>
      </c>
      <c r="U1208" s="19"/>
      <c r="V1208" s="53">
        <f>M1208-Z1208-AB1208-AD1208-AF1208-AH1208-AJ1208-AL1208-AN1208-AP1208-AR1208-AT1208-AV1208-AX1208-AZ1208-BB1208-BD1208-BF1208-BH1208-U1208</f>
        <v>-2.5</v>
      </c>
      <c r="W1208" s="22" t="s">
        <v>5884</v>
      </c>
      <c r="X1208" s="16"/>
      <c r="Y1208" s="9"/>
      <c r="Z1208" s="19">
        <v>1202.5</v>
      </c>
      <c r="AA1208" s="252">
        <v>46135</v>
      </c>
    </row>
    <row r="1209" spans="1:29" s="36" customFormat="1" ht="20.25" customHeight="1">
      <c r="A1209" s="7">
        <v>46114</v>
      </c>
      <c r="B1209" s="19" t="s">
        <v>5838</v>
      </c>
      <c r="C1209" s="19" t="s">
        <v>304</v>
      </c>
      <c r="D1209" s="19" t="s">
        <v>212</v>
      </c>
      <c r="E1209" s="19" t="s">
        <v>25</v>
      </c>
      <c r="F1209" s="19" t="s">
        <v>5855</v>
      </c>
      <c r="G1209" s="19" t="s">
        <v>71</v>
      </c>
      <c r="H1209" s="19" t="s">
        <v>26</v>
      </c>
      <c r="I1209" s="270"/>
      <c r="J1209" s="270" t="s">
        <v>27</v>
      </c>
      <c r="K1209" s="19" t="s">
        <v>218</v>
      </c>
      <c r="L1209" s="270" t="s">
        <v>35</v>
      </c>
      <c r="M1209" s="20">
        <v>7935</v>
      </c>
      <c r="N1209" s="25">
        <v>1.33</v>
      </c>
      <c r="O1209" s="19" t="s">
        <v>67</v>
      </c>
      <c r="P1209" s="19" t="s">
        <v>63</v>
      </c>
      <c r="Q1209" s="19" t="s">
        <v>29</v>
      </c>
      <c r="R1209" s="19" t="s">
        <v>2985</v>
      </c>
      <c r="S1209" s="45" t="s">
        <v>294</v>
      </c>
      <c r="T1209" s="8">
        <v>46140</v>
      </c>
      <c r="U1209" s="19"/>
      <c r="V1209" s="55">
        <f>M1209-Z1209-AB1209-AD1209-AF1209-AH1209-AJ1209-AL1209-AN1209-AP1209-AR1209-AT1209-AV1209-AX1209-AZ1209-BB1209-BD1209-BF1209-BH1209-U1209</f>
        <v>-0.6999999999998181</v>
      </c>
      <c r="W1209" s="15" t="s">
        <v>5885</v>
      </c>
      <c r="X1209" s="19"/>
      <c r="Y1209" s="10"/>
      <c r="Z1209" s="19">
        <f>5992.7+1943</f>
        <v>7935.7</v>
      </c>
      <c r="AA1209" s="123">
        <v>46141</v>
      </c>
    </row>
    <row r="1210" spans="1:29" s="28" customFormat="1" ht="20.25" customHeight="1">
      <c r="A1210" s="11">
        <v>46114</v>
      </c>
      <c r="B1210" s="16" t="s">
        <v>5839</v>
      </c>
      <c r="C1210" s="16" t="s">
        <v>228</v>
      </c>
      <c r="D1210" s="16" t="s">
        <v>212</v>
      </c>
      <c r="E1210" s="16" t="s">
        <v>25</v>
      </c>
      <c r="F1210" s="16" t="s">
        <v>5856</v>
      </c>
      <c r="G1210" s="16" t="s">
        <v>71</v>
      </c>
      <c r="H1210" s="16" t="s">
        <v>31</v>
      </c>
      <c r="I1210" s="16"/>
      <c r="J1210" s="16" t="s">
        <v>27</v>
      </c>
      <c r="K1210" s="16" t="s">
        <v>4607</v>
      </c>
      <c r="L1210" s="16" t="s">
        <v>35</v>
      </c>
      <c r="M1210" s="17">
        <v>115</v>
      </c>
      <c r="N1210" s="23">
        <v>1.33</v>
      </c>
      <c r="O1210" s="16" t="s">
        <v>67</v>
      </c>
      <c r="P1210" s="16" t="s">
        <v>63</v>
      </c>
      <c r="Q1210" s="16" t="s">
        <v>1263</v>
      </c>
      <c r="R1210" s="16" t="s">
        <v>466</v>
      </c>
      <c r="S1210" s="12" t="s">
        <v>5719</v>
      </c>
      <c r="T1210" s="13">
        <v>46136</v>
      </c>
      <c r="U1210" s="19"/>
      <c r="V1210" s="53">
        <f>M1210-Z1210-AB1210-AD1210-AF1210-AH1210-AJ1210-AL1210-AN1210-AP1210-AR1210-AT1210-AV1210-AX1210-AZ1210-BB1210-BD1210-BF1210-BH1210-U1210</f>
        <v>-1.0999999999999943</v>
      </c>
      <c r="W1210" s="22" t="s">
        <v>5886</v>
      </c>
      <c r="X1210" s="16"/>
      <c r="Y1210" s="9"/>
      <c r="Z1210" s="19">
        <v>116.1</v>
      </c>
      <c r="AA1210" s="252">
        <v>46128</v>
      </c>
    </row>
    <row r="1211" spans="1:29" s="28" customFormat="1" ht="20.25" customHeight="1">
      <c r="A1211" s="11">
        <v>46118</v>
      </c>
      <c r="B1211" s="16" t="s">
        <v>5904</v>
      </c>
      <c r="C1211" s="16" t="s">
        <v>228</v>
      </c>
      <c r="D1211" s="16" t="s">
        <v>212</v>
      </c>
      <c r="E1211" s="16" t="s">
        <v>25</v>
      </c>
      <c r="F1211" s="16" t="s">
        <v>5908</v>
      </c>
      <c r="G1211" s="16" t="s">
        <v>71</v>
      </c>
      <c r="H1211" s="16" t="s">
        <v>31</v>
      </c>
      <c r="I1211" s="16"/>
      <c r="J1211" s="16" t="s">
        <v>27</v>
      </c>
      <c r="K1211" s="16" t="s">
        <v>4607</v>
      </c>
      <c r="L1211" s="16" t="s">
        <v>35</v>
      </c>
      <c r="M1211" s="17">
        <v>4028.71</v>
      </c>
      <c r="N1211" s="23">
        <v>1.33</v>
      </c>
      <c r="O1211" s="16" t="s">
        <v>67</v>
      </c>
      <c r="P1211" s="16" t="s">
        <v>63</v>
      </c>
      <c r="Q1211" s="16" t="s">
        <v>362</v>
      </c>
      <c r="R1211" s="16" t="s">
        <v>466</v>
      </c>
      <c r="S1211" s="12" t="s">
        <v>5719</v>
      </c>
      <c r="T1211" s="13">
        <v>46136</v>
      </c>
      <c r="U1211" s="19"/>
      <c r="V1211" s="53">
        <f>M1211-Z1211-AB1211-AD1211-AF1211-AH1211-AJ1211-AL1211-AN1211-AP1211-AR1211-AT1211-AV1211-AX1211-AZ1211-BB1211-BD1211-BF1211-BH1211-U1211</f>
        <v>-0.38999999999987267</v>
      </c>
      <c r="W1211" s="22" t="s">
        <v>5914</v>
      </c>
      <c r="X1211" s="16"/>
      <c r="Y1211" s="9"/>
      <c r="Z1211" s="19">
        <v>4029.1</v>
      </c>
      <c r="AA1211" s="252">
        <v>46135</v>
      </c>
    </row>
    <row r="1212" spans="1:29" s="28" customFormat="1" ht="20.25" customHeight="1">
      <c r="A1212" s="11">
        <v>46118</v>
      </c>
      <c r="B1212" s="16" t="s">
        <v>5904</v>
      </c>
      <c r="C1212" s="16" t="s">
        <v>228</v>
      </c>
      <c r="D1212" s="16" t="s">
        <v>212</v>
      </c>
      <c r="E1212" s="16" t="s">
        <v>25</v>
      </c>
      <c r="F1212" s="16" t="s">
        <v>5908</v>
      </c>
      <c r="G1212" s="16" t="s">
        <v>71</v>
      </c>
      <c r="H1212" s="16" t="s">
        <v>31</v>
      </c>
      <c r="I1212" s="16"/>
      <c r="J1212" s="16" t="s">
        <v>27</v>
      </c>
      <c r="K1212" s="16" t="s">
        <v>2653</v>
      </c>
      <c r="L1212" s="16" t="s">
        <v>35</v>
      </c>
      <c r="M1212" s="17">
        <v>887.42</v>
      </c>
      <c r="N1212" s="23">
        <v>1.33</v>
      </c>
      <c r="O1212" s="16" t="s">
        <v>67</v>
      </c>
      <c r="P1212" s="16" t="s">
        <v>63</v>
      </c>
      <c r="Q1212" s="16" t="s">
        <v>362</v>
      </c>
      <c r="R1212" s="16" t="s">
        <v>3686</v>
      </c>
      <c r="S1212" s="12" t="s">
        <v>5577</v>
      </c>
      <c r="T1212" s="13">
        <v>46128</v>
      </c>
      <c r="U1212" s="19"/>
      <c r="V1212" s="53">
        <f>M1212-Z1212-AB1212-AD1212-AF1212-AH1212-AJ1212-AL1212-AN1212-AP1212-AR1212-AT1212-AV1212-AX1212-AZ1212-BB1212-BD1212-BF1212-BH1212-U1212</f>
        <v>-0.87999999999999545</v>
      </c>
      <c r="W1212" s="22" t="s">
        <v>5915</v>
      </c>
      <c r="X1212" s="16"/>
      <c r="Y1212" s="9"/>
      <c r="Z1212" s="19">
        <v>888.3</v>
      </c>
      <c r="AA1212" s="252">
        <v>46135</v>
      </c>
    </row>
    <row r="1213" spans="1:29" s="28" customFormat="1" ht="20.25" customHeight="1">
      <c r="A1213" s="11">
        <v>46118</v>
      </c>
      <c r="B1213" s="16" t="s">
        <v>5904</v>
      </c>
      <c r="C1213" s="16" t="s">
        <v>228</v>
      </c>
      <c r="D1213" s="16" t="s">
        <v>212</v>
      </c>
      <c r="E1213" s="16" t="s">
        <v>25</v>
      </c>
      <c r="F1213" s="16" t="s">
        <v>5908</v>
      </c>
      <c r="G1213" s="16" t="s">
        <v>71</v>
      </c>
      <c r="H1213" s="16" t="s">
        <v>31</v>
      </c>
      <c r="I1213" s="16"/>
      <c r="J1213" s="16" t="s">
        <v>27</v>
      </c>
      <c r="K1213" s="16" t="s">
        <v>2653</v>
      </c>
      <c r="L1213" s="16" t="s">
        <v>35</v>
      </c>
      <c r="M1213" s="17">
        <v>286.12</v>
      </c>
      <c r="N1213" s="23">
        <v>1.33</v>
      </c>
      <c r="O1213" s="16" t="s">
        <v>67</v>
      </c>
      <c r="P1213" s="16" t="s">
        <v>63</v>
      </c>
      <c r="Q1213" s="16" t="s">
        <v>362</v>
      </c>
      <c r="R1213" s="16" t="s">
        <v>3686</v>
      </c>
      <c r="S1213" s="12" t="s">
        <v>5719</v>
      </c>
      <c r="T1213" s="13">
        <v>46136</v>
      </c>
      <c r="U1213" s="19"/>
      <c r="V1213" s="53">
        <f>M1213-Z1213-AB1213-AD1213-AF1213-AH1213-AJ1213-AL1213-AN1213-AP1213-AR1213-AT1213-AV1213-AX1213-AZ1213-BB1213-BD1213-BF1213-BH1213-U1213</f>
        <v>-1.5799999999999841</v>
      </c>
      <c r="W1213" s="22" t="s">
        <v>5916</v>
      </c>
      <c r="X1213" s="16"/>
      <c r="Y1213" s="9"/>
      <c r="Z1213" s="19">
        <v>287.7</v>
      </c>
      <c r="AA1213" s="252">
        <v>46135</v>
      </c>
    </row>
    <row r="1214" spans="1:29" s="28" customFormat="1" ht="20.25" customHeight="1">
      <c r="A1214" s="11">
        <v>46118</v>
      </c>
      <c r="B1214" s="16" t="s">
        <v>5905</v>
      </c>
      <c r="C1214" s="16" t="s">
        <v>228</v>
      </c>
      <c r="D1214" s="16" t="s">
        <v>212</v>
      </c>
      <c r="E1214" s="16" t="s">
        <v>25</v>
      </c>
      <c r="F1214" s="16" t="s">
        <v>5909</v>
      </c>
      <c r="G1214" s="16" t="s">
        <v>71</v>
      </c>
      <c r="H1214" s="16" t="s">
        <v>31</v>
      </c>
      <c r="I1214" s="16"/>
      <c r="J1214" s="16" t="s">
        <v>27</v>
      </c>
      <c r="K1214" s="16" t="s">
        <v>1667</v>
      </c>
      <c r="L1214" s="16" t="s">
        <v>35</v>
      </c>
      <c r="M1214" s="17">
        <v>15119.88</v>
      </c>
      <c r="N1214" s="23">
        <v>1.33</v>
      </c>
      <c r="O1214" s="16" t="s">
        <v>67</v>
      </c>
      <c r="P1214" s="16" t="s">
        <v>63</v>
      </c>
      <c r="Q1214" s="16" t="s">
        <v>362</v>
      </c>
      <c r="R1214" s="16" t="s">
        <v>5912</v>
      </c>
      <c r="S1214" s="12" t="s">
        <v>5719</v>
      </c>
      <c r="T1214" s="13">
        <v>46136</v>
      </c>
      <c r="U1214" s="19"/>
      <c r="V1214" s="53">
        <f>M1214-Z1214-AB1214-AD1214-AF1214-AH1214-AJ1214-AL1214-AN1214-AP1214-AR1214-AT1214-AV1214-AX1214-AZ1214-BB1214-BD1214-BF1214-BH1214-U1214</f>
        <v>-1.1200000000026193</v>
      </c>
      <c r="W1214" s="22" t="s">
        <v>5917</v>
      </c>
      <c r="X1214" s="16"/>
      <c r="Y1214" s="9"/>
      <c r="Z1214" s="19">
        <f>4702.3+6003.6+4415.1</f>
        <v>15121.000000000002</v>
      </c>
      <c r="AA1214" s="252">
        <v>46135</v>
      </c>
    </row>
    <row r="1215" spans="1:29" s="28" customFormat="1" ht="20.25" customHeight="1">
      <c r="A1215" s="11">
        <v>46118</v>
      </c>
      <c r="B1215" s="16" t="s">
        <v>5905</v>
      </c>
      <c r="C1215" s="16" t="s">
        <v>228</v>
      </c>
      <c r="D1215" s="16" t="s">
        <v>212</v>
      </c>
      <c r="E1215" s="16" t="s">
        <v>25</v>
      </c>
      <c r="F1215" s="16" t="s">
        <v>5909</v>
      </c>
      <c r="G1215" s="16" t="s">
        <v>71</v>
      </c>
      <c r="H1215" s="16" t="s">
        <v>31</v>
      </c>
      <c r="I1215" s="16"/>
      <c r="J1215" s="16" t="s">
        <v>27</v>
      </c>
      <c r="K1215" s="16" t="s">
        <v>1667</v>
      </c>
      <c r="L1215" s="16" t="s">
        <v>35</v>
      </c>
      <c r="M1215" s="17">
        <v>10813.22</v>
      </c>
      <c r="N1215" s="23">
        <v>1.33</v>
      </c>
      <c r="O1215" s="16" t="s">
        <v>67</v>
      </c>
      <c r="P1215" s="16" t="s">
        <v>63</v>
      </c>
      <c r="Q1215" s="16" t="s">
        <v>362</v>
      </c>
      <c r="R1215" s="16" t="s">
        <v>5912</v>
      </c>
      <c r="S1215" s="12" t="s">
        <v>5719</v>
      </c>
      <c r="T1215" s="13">
        <v>46136</v>
      </c>
      <c r="U1215" s="19"/>
      <c r="V1215" s="53">
        <f>M1215-Z1215-AB1215-AD1215-AF1215-AH1215-AJ1215-AL1215-AN1215-AP1215-AR1215-AT1215-AV1215-AX1215-AZ1215-BB1215-BD1215-BF1215-BH1215-U1215</f>
        <v>-1.5799999999999272</v>
      </c>
      <c r="W1215" s="22" t="s">
        <v>5918</v>
      </c>
      <c r="X1215" s="16"/>
      <c r="Y1215" s="9"/>
      <c r="Z1215" s="19">
        <f>1769.6+1433.2+4564.5+3047.5</f>
        <v>10814.8</v>
      </c>
      <c r="AA1215" s="252">
        <v>46135</v>
      </c>
    </row>
    <row r="1216" spans="1:29" s="28" customFormat="1" ht="20.25" customHeight="1">
      <c r="A1216" s="11">
        <v>46118</v>
      </c>
      <c r="B1216" s="16" t="s">
        <v>5905</v>
      </c>
      <c r="C1216" s="16" t="s">
        <v>228</v>
      </c>
      <c r="D1216" s="16" t="s">
        <v>212</v>
      </c>
      <c r="E1216" s="16" t="s">
        <v>25</v>
      </c>
      <c r="F1216" s="16" t="s">
        <v>5909</v>
      </c>
      <c r="G1216" s="16" t="s">
        <v>71</v>
      </c>
      <c r="H1216" s="16" t="s">
        <v>31</v>
      </c>
      <c r="I1216" s="16"/>
      <c r="J1216" s="16" t="s">
        <v>27</v>
      </c>
      <c r="K1216" s="16" t="s">
        <v>3684</v>
      </c>
      <c r="L1216" s="16" t="s">
        <v>35</v>
      </c>
      <c r="M1216" s="17">
        <v>7084.34</v>
      </c>
      <c r="N1216" s="23">
        <v>1.33</v>
      </c>
      <c r="O1216" s="16" t="s">
        <v>67</v>
      </c>
      <c r="P1216" s="16" t="s">
        <v>63</v>
      </c>
      <c r="Q1216" s="16" t="s">
        <v>362</v>
      </c>
      <c r="R1216" s="16" t="s">
        <v>3686</v>
      </c>
      <c r="S1216" s="12" t="s">
        <v>5719</v>
      </c>
      <c r="T1216" s="13">
        <v>46136</v>
      </c>
      <c r="U1216" s="19"/>
      <c r="V1216" s="53">
        <f>M1216-Z1216-AB1216-AD1216-AF1216-AH1216-AJ1216-AL1216-AN1216-AP1216-AR1216-AT1216-AV1216-AX1216-AZ1216-BB1216-BD1216-BF1216-BH1216-U1216</f>
        <v>-1.3600000000005821</v>
      </c>
      <c r="W1216" s="22" t="s">
        <v>5919</v>
      </c>
      <c r="X1216" s="16"/>
      <c r="Y1216" s="9"/>
      <c r="Z1216" s="19">
        <f>4283.7+823.6+1978.4</f>
        <v>7085.7000000000007</v>
      </c>
      <c r="AA1216" s="252">
        <v>46135</v>
      </c>
    </row>
    <row r="1217" spans="1:27" s="28" customFormat="1" ht="20.25" customHeight="1">
      <c r="A1217" s="11">
        <v>46118</v>
      </c>
      <c r="B1217" s="16" t="s">
        <v>5906</v>
      </c>
      <c r="C1217" s="16" t="s">
        <v>1568</v>
      </c>
      <c r="D1217" s="16" t="s">
        <v>212</v>
      </c>
      <c r="E1217" s="16" t="s">
        <v>25</v>
      </c>
      <c r="F1217" s="16" t="s">
        <v>5910</v>
      </c>
      <c r="G1217" s="16" t="s">
        <v>71</v>
      </c>
      <c r="H1217" s="16" t="s">
        <v>31</v>
      </c>
      <c r="I1217" s="16"/>
      <c r="J1217" s="16" t="s">
        <v>27</v>
      </c>
      <c r="K1217" s="16" t="s">
        <v>4607</v>
      </c>
      <c r="L1217" s="16" t="s">
        <v>35</v>
      </c>
      <c r="M1217" s="17">
        <v>3209</v>
      </c>
      <c r="N1217" s="23">
        <v>1.33</v>
      </c>
      <c r="O1217" s="16" t="s">
        <v>67</v>
      </c>
      <c r="P1217" s="16" t="s">
        <v>63</v>
      </c>
      <c r="Q1217" s="16" t="s">
        <v>29</v>
      </c>
      <c r="R1217" s="16" t="s">
        <v>3146</v>
      </c>
      <c r="S1217" s="12" t="s">
        <v>5719</v>
      </c>
      <c r="T1217" s="13">
        <v>46136</v>
      </c>
      <c r="U1217" s="19"/>
      <c r="V1217" s="53">
        <f>M1217-Z1217-AB1217-AD1217-AF1217-AH1217-AJ1217-AL1217-AN1217-AP1217-AR1217-AT1217-AV1217-AX1217-AZ1217-BB1217-BD1217-BF1217-BH1217-U1217</f>
        <v>-2.3000000000001819</v>
      </c>
      <c r="W1217" s="22" t="s">
        <v>5920</v>
      </c>
      <c r="X1217" s="16"/>
      <c r="Y1217" s="9"/>
      <c r="Z1217" s="19">
        <f>865.7+2345.6</f>
        <v>3211.3</v>
      </c>
      <c r="AA1217" s="252">
        <v>46133</v>
      </c>
    </row>
    <row r="1218" spans="1:27" s="28" customFormat="1" ht="20.25" customHeight="1">
      <c r="A1218" s="11">
        <v>46118</v>
      </c>
      <c r="B1218" s="16" t="s">
        <v>5906</v>
      </c>
      <c r="C1218" s="16" t="s">
        <v>1568</v>
      </c>
      <c r="D1218" s="16" t="s">
        <v>212</v>
      </c>
      <c r="E1218" s="16" t="s">
        <v>25</v>
      </c>
      <c r="F1218" s="16" t="s">
        <v>5910</v>
      </c>
      <c r="G1218" s="16" t="s">
        <v>71</v>
      </c>
      <c r="H1218" s="16" t="s">
        <v>31</v>
      </c>
      <c r="I1218" s="16"/>
      <c r="J1218" s="16" t="s">
        <v>27</v>
      </c>
      <c r="K1218" s="16" t="s">
        <v>239</v>
      </c>
      <c r="L1218" s="16" t="s">
        <v>35</v>
      </c>
      <c r="M1218" s="17">
        <v>999</v>
      </c>
      <c r="N1218" s="23">
        <v>1.33</v>
      </c>
      <c r="O1218" s="16" t="s">
        <v>67</v>
      </c>
      <c r="P1218" s="16" t="s">
        <v>63</v>
      </c>
      <c r="Q1218" s="16" t="s">
        <v>29</v>
      </c>
      <c r="R1218" s="16" t="s">
        <v>4936</v>
      </c>
      <c r="S1218" s="12" t="s">
        <v>5719</v>
      </c>
      <c r="T1218" s="13">
        <v>46136</v>
      </c>
      <c r="U1218" s="19"/>
      <c r="V1218" s="53">
        <f>M1218-Z1218-AB1218-AD1218-AF1218-AH1218-AJ1218-AL1218-AN1218-AP1218-AR1218-AT1218-AV1218-AX1218-AZ1218-BB1218-BD1218-BF1218-BH1218-U1218</f>
        <v>-2.2999999999999545</v>
      </c>
      <c r="W1218" s="22" t="s">
        <v>5921</v>
      </c>
      <c r="X1218" s="16"/>
      <c r="Y1218" s="9"/>
      <c r="Z1218" s="19">
        <v>1001.3</v>
      </c>
      <c r="AA1218" s="252">
        <v>46133</v>
      </c>
    </row>
    <row r="1219" spans="1:27" s="36" customFormat="1" ht="20.25" customHeight="1">
      <c r="A1219" s="7">
        <v>46118</v>
      </c>
      <c r="B1219" s="19" t="s">
        <v>5907</v>
      </c>
      <c r="C1219" s="19" t="s">
        <v>267</v>
      </c>
      <c r="D1219" s="19" t="s">
        <v>212</v>
      </c>
      <c r="E1219" s="19" t="s">
        <v>25</v>
      </c>
      <c r="F1219" s="19" t="s">
        <v>5911</v>
      </c>
      <c r="G1219" s="19" t="s">
        <v>71</v>
      </c>
      <c r="H1219" s="19" t="s">
        <v>31</v>
      </c>
      <c r="I1219" s="1"/>
      <c r="J1219" s="1" t="s">
        <v>27</v>
      </c>
      <c r="K1219" s="19" t="s">
        <v>3837</v>
      </c>
      <c r="L1219" s="19" t="s">
        <v>35</v>
      </c>
      <c r="M1219" s="20">
        <v>250</v>
      </c>
      <c r="N1219" s="25">
        <v>1.33</v>
      </c>
      <c r="O1219" s="19" t="s">
        <v>67</v>
      </c>
      <c r="P1219" s="19" t="s">
        <v>63</v>
      </c>
      <c r="Q1219" s="19" t="s">
        <v>29</v>
      </c>
      <c r="R1219" s="19" t="s">
        <v>4858</v>
      </c>
      <c r="S1219" s="45" t="s">
        <v>5913</v>
      </c>
      <c r="T1219" s="8">
        <v>46132</v>
      </c>
      <c r="U1219" s="19"/>
      <c r="V1219" s="55">
        <f>M1219-Z1219-AB1219-AD1219-AF1219-AH1219-AJ1219-AL1219-AN1219-AP1219-AR1219-AT1219-AV1219-AX1219-AZ1219-BB1219-BD1219-BF1219-BH1219-U1219</f>
        <v>-5.3000000000000114</v>
      </c>
      <c r="W1219" s="15" t="s">
        <v>5922</v>
      </c>
      <c r="X1219" s="19"/>
      <c r="Y1219" s="10"/>
      <c r="Z1219" s="19">
        <v>255.3</v>
      </c>
      <c r="AA1219" s="123">
        <v>46129</v>
      </c>
    </row>
    <row r="1220" spans="1:27" s="28" customFormat="1" ht="20.25" customHeight="1">
      <c r="A1220" s="11">
        <v>46119</v>
      </c>
      <c r="B1220" s="16" t="s">
        <v>5923</v>
      </c>
      <c r="C1220" s="16" t="s">
        <v>315</v>
      </c>
      <c r="D1220" s="16" t="s">
        <v>212</v>
      </c>
      <c r="E1220" s="16" t="s">
        <v>25</v>
      </c>
      <c r="F1220" s="16" t="s">
        <v>5925</v>
      </c>
      <c r="G1220" s="16" t="s">
        <v>71</v>
      </c>
      <c r="H1220" s="16" t="s">
        <v>31</v>
      </c>
      <c r="I1220" s="16"/>
      <c r="J1220" s="16" t="s">
        <v>27</v>
      </c>
      <c r="K1220" s="16" t="s">
        <v>5703</v>
      </c>
      <c r="L1220" s="16" t="s">
        <v>35</v>
      </c>
      <c r="M1220" s="17">
        <v>5661</v>
      </c>
      <c r="N1220" s="23">
        <v>1.33</v>
      </c>
      <c r="O1220" s="16" t="s">
        <v>67</v>
      </c>
      <c r="P1220" s="16" t="s">
        <v>63</v>
      </c>
      <c r="Q1220" s="16" t="s">
        <v>29</v>
      </c>
      <c r="R1220" s="16" t="s">
        <v>5927</v>
      </c>
      <c r="S1220" s="12" t="s">
        <v>294</v>
      </c>
      <c r="T1220" s="13">
        <v>46140</v>
      </c>
      <c r="U1220" s="19"/>
      <c r="V1220" s="53">
        <f>M1220-Z1220-AB1220-AD1220-AF1220-AH1220-AJ1220-AL1220-AN1220-AP1220-AR1220-AT1220-AV1220-AX1220-AZ1220-BB1220-BD1220-BF1220-BH1220-U1220</f>
        <v>-0.1000000000003638</v>
      </c>
      <c r="W1220" s="22" t="s">
        <v>5929</v>
      </c>
      <c r="X1220" s="16"/>
      <c r="Y1220" s="9"/>
      <c r="Z1220" s="19">
        <f>545.2+2927.9+2188</f>
        <v>5661.1</v>
      </c>
      <c r="AA1220" s="252">
        <v>46136</v>
      </c>
    </row>
    <row r="1221" spans="1:27" s="28" customFormat="1" ht="20.25" customHeight="1">
      <c r="A1221" s="11">
        <v>46119</v>
      </c>
      <c r="B1221" s="16" t="s">
        <v>5924</v>
      </c>
      <c r="C1221" s="16" t="s">
        <v>315</v>
      </c>
      <c r="D1221" s="16" t="s">
        <v>212</v>
      </c>
      <c r="E1221" s="16" t="s">
        <v>25</v>
      </c>
      <c r="F1221" s="16" t="s">
        <v>5926</v>
      </c>
      <c r="G1221" s="16" t="s">
        <v>71</v>
      </c>
      <c r="H1221" s="16" t="s">
        <v>31</v>
      </c>
      <c r="I1221" s="16"/>
      <c r="J1221" s="16" t="s">
        <v>27</v>
      </c>
      <c r="K1221" s="16" t="s">
        <v>613</v>
      </c>
      <c r="L1221" s="16" t="s">
        <v>35</v>
      </c>
      <c r="M1221" s="17">
        <v>4561</v>
      </c>
      <c r="N1221" s="23">
        <v>1.33</v>
      </c>
      <c r="O1221" s="16" t="s">
        <v>67</v>
      </c>
      <c r="P1221" s="16" t="s">
        <v>63</v>
      </c>
      <c r="Q1221" s="16" t="s">
        <v>29</v>
      </c>
      <c r="R1221" s="16" t="s">
        <v>5928</v>
      </c>
      <c r="S1221" s="12" t="s">
        <v>294</v>
      </c>
      <c r="T1221" s="13">
        <v>46140</v>
      </c>
      <c r="U1221" s="19"/>
      <c r="V1221" s="53">
        <f>M1221-Z1221-AB1221-AD1221-AF1221-AH1221-AJ1221-AL1221-AN1221-AP1221-AR1221-AT1221-AV1221-AX1221-AZ1221-BB1221-BD1221-BF1221-BH1221-U1221</f>
        <v>-1.3999999999996362</v>
      </c>
      <c r="W1221" s="22" t="s">
        <v>5930</v>
      </c>
      <c r="X1221" s="16"/>
      <c r="Y1221" s="9"/>
      <c r="Z1221" s="19">
        <f>3845.6+716.8</f>
        <v>4562.3999999999996</v>
      </c>
      <c r="AA1221" s="252">
        <v>46136</v>
      </c>
    </row>
    <row r="1222" spans="1:27" s="36" customFormat="1" ht="20.25" customHeight="1">
      <c r="A1222" s="7">
        <v>46119</v>
      </c>
      <c r="B1222" s="19" t="s">
        <v>5931</v>
      </c>
      <c r="C1222" s="19" t="s">
        <v>304</v>
      </c>
      <c r="D1222" s="19" t="s">
        <v>212</v>
      </c>
      <c r="E1222" s="19" t="s">
        <v>34</v>
      </c>
      <c r="F1222" s="19" t="s">
        <v>5933</v>
      </c>
      <c r="G1222" s="19" t="s">
        <v>71</v>
      </c>
      <c r="H1222" s="19" t="s">
        <v>31</v>
      </c>
      <c r="I1222" s="1"/>
      <c r="J1222" s="1" t="s">
        <v>27</v>
      </c>
      <c r="K1222" s="19" t="s">
        <v>613</v>
      </c>
      <c r="L1222" s="19" t="s">
        <v>35</v>
      </c>
      <c r="M1222" s="20">
        <v>25</v>
      </c>
      <c r="N1222" s="25">
        <v>1.33</v>
      </c>
      <c r="O1222" s="19" t="s">
        <v>67</v>
      </c>
      <c r="P1222" s="19" t="s">
        <v>63</v>
      </c>
      <c r="Q1222" s="19" t="s">
        <v>29</v>
      </c>
      <c r="R1222" s="19" t="s">
        <v>5811</v>
      </c>
      <c r="S1222" s="45" t="s">
        <v>5718</v>
      </c>
      <c r="T1222" s="8">
        <v>46133</v>
      </c>
      <c r="U1222" s="19"/>
      <c r="V1222" s="55">
        <f>M1222-Z1222-AB1222-AD1222-AF1222-AH1222-AJ1222-AL1222-AN1222-AP1222-AR1222-AT1222-AV1222-AX1222-AZ1222-BB1222-BD1222-BF1222-BH1222-U1222</f>
        <v>-0.60000000000000142</v>
      </c>
      <c r="W1222" s="15" t="s">
        <v>5935</v>
      </c>
      <c r="X1222" s="19"/>
      <c r="Y1222" s="10"/>
      <c r="Z1222" s="19">
        <v>25.6</v>
      </c>
      <c r="AA1222" s="123">
        <v>46129</v>
      </c>
    </row>
    <row r="1223" spans="1:27" s="36" customFormat="1" ht="20.25" customHeight="1">
      <c r="A1223" s="7">
        <v>46119</v>
      </c>
      <c r="B1223" s="19" t="s">
        <v>5932</v>
      </c>
      <c r="C1223" s="19" t="s">
        <v>304</v>
      </c>
      <c r="D1223" s="19" t="s">
        <v>212</v>
      </c>
      <c r="E1223" s="19" t="s">
        <v>34</v>
      </c>
      <c r="F1223" s="19" t="s">
        <v>5934</v>
      </c>
      <c r="G1223" s="19" t="s">
        <v>71</v>
      </c>
      <c r="H1223" s="19" t="s">
        <v>31</v>
      </c>
      <c r="I1223" s="1"/>
      <c r="J1223" s="1" t="s">
        <v>27</v>
      </c>
      <c r="K1223" s="19" t="s">
        <v>613</v>
      </c>
      <c r="L1223" s="19" t="s">
        <v>35</v>
      </c>
      <c r="M1223" s="20">
        <v>25</v>
      </c>
      <c r="N1223" s="25">
        <v>1.33</v>
      </c>
      <c r="O1223" s="19" t="s">
        <v>67</v>
      </c>
      <c r="P1223" s="19" t="s">
        <v>63</v>
      </c>
      <c r="Q1223" s="19" t="s">
        <v>29</v>
      </c>
      <c r="R1223" s="19" t="s">
        <v>5811</v>
      </c>
      <c r="S1223" s="45" t="s">
        <v>5718</v>
      </c>
      <c r="T1223" s="8">
        <v>46133</v>
      </c>
      <c r="U1223" s="19"/>
      <c r="V1223" s="55">
        <f>M1223-Z1223-AB1223-AD1223-AF1223-AH1223-AJ1223-AL1223-AN1223-AP1223-AR1223-AT1223-AV1223-AX1223-AZ1223-BB1223-BD1223-BF1223-BH1223-U1223</f>
        <v>-0.30000000000000071</v>
      </c>
      <c r="W1223" s="15" t="s">
        <v>5936</v>
      </c>
      <c r="X1223" s="19"/>
      <c r="Y1223" s="10"/>
      <c r="Z1223" s="19">
        <v>25.3</v>
      </c>
      <c r="AA1223" s="123">
        <v>46129</v>
      </c>
    </row>
    <row r="1224" spans="1:27" s="36" customFormat="1" ht="20.25" customHeight="1">
      <c r="A1224" s="7">
        <v>46120</v>
      </c>
      <c r="B1224" s="19" t="s">
        <v>5937</v>
      </c>
      <c r="C1224" s="19" t="s">
        <v>267</v>
      </c>
      <c r="D1224" s="19" t="s">
        <v>212</v>
      </c>
      <c r="E1224" s="19" t="s">
        <v>34</v>
      </c>
      <c r="F1224" s="19" t="s">
        <v>5942</v>
      </c>
      <c r="G1224" s="19" t="s">
        <v>71</v>
      </c>
      <c r="H1224" s="19" t="s">
        <v>31</v>
      </c>
      <c r="I1224" s="1"/>
      <c r="J1224" s="1" t="s">
        <v>27</v>
      </c>
      <c r="K1224" s="19" t="s">
        <v>3199</v>
      </c>
      <c r="L1224" s="19" t="s">
        <v>35</v>
      </c>
      <c r="M1224" s="20">
        <v>95</v>
      </c>
      <c r="N1224" s="25">
        <v>1.33</v>
      </c>
      <c r="O1224" s="19" t="s">
        <v>67</v>
      </c>
      <c r="P1224" s="19" t="s">
        <v>63</v>
      </c>
      <c r="Q1224" s="19" t="s">
        <v>29</v>
      </c>
      <c r="R1224" s="19" t="s">
        <v>5859</v>
      </c>
      <c r="S1224" s="45" t="s">
        <v>5948</v>
      </c>
      <c r="T1224" s="8">
        <v>46134</v>
      </c>
      <c r="U1224" s="19"/>
      <c r="V1224" s="55">
        <f>M1224-Z1224-AB1224-AD1224-AF1224-AH1224-AJ1224-AL1224-AN1224-AP1224-AR1224-AT1224-AV1224-AX1224-AZ1224-BB1224-BD1224-BF1224-BH1224-U1224</f>
        <v>-0.70000000000000284</v>
      </c>
      <c r="W1224" s="15" t="s">
        <v>5949</v>
      </c>
      <c r="X1224" s="19"/>
      <c r="Y1224" s="10"/>
      <c r="Z1224" s="19">
        <v>95.7</v>
      </c>
      <c r="AA1224" s="123">
        <v>46129</v>
      </c>
    </row>
    <row r="1225" spans="1:27" s="36" customFormat="1" ht="20.25" customHeight="1">
      <c r="A1225" s="7">
        <v>46120</v>
      </c>
      <c r="B1225" s="19" t="s">
        <v>5938</v>
      </c>
      <c r="C1225" s="19" t="s">
        <v>267</v>
      </c>
      <c r="D1225" s="19" t="s">
        <v>212</v>
      </c>
      <c r="E1225" s="19" t="s">
        <v>34</v>
      </c>
      <c r="F1225" s="19" t="s">
        <v>5943</v>
      </c>
      <c r="G1225" s="19" t="s">
        <v>71</v>
      </c>
      <c r="H1225" s="19" t="s">
        <v>31</v>
      </c>
      <c r="I1225" s="1"/>
      <c r="J1225" s="1" t="s">
        <v>27</v>
      </c>
      <c r="K1225" s="19" t="s">
        <v>1476</v>
      </c>
      <c r="L1225" s="19" t="s">
        <v>35</v>
      </c>
      <c r="M1225" s="20">
        <v>165</v>
      </c>
      <c r="N1225" s="25">
        <v>1.33</v>
      </c>
      <c r="O1225" s="19" t="s">
        <v>67</v>
      </c>
      <c r="P1225" s="19" t="s">
        <v>63</v>
      </c>
      <c r="Q1225" s="19" t="s">
        <v>29</v>
      </c>
      <c r="R1225" s="19" t="s">
        <v>4999</v>
      </c>
      <c r="S1225" s="45" t="s">
        <v>5948</v>
      </c>
      <c r="T1225" s="8">
        <v>46134</v>
      </c>
      <c r="U1225" s="19"/>
      <c r="V1225" s="55">
        <f>M1225-Z1225-AB1225-AD1225-AF1225-AH1225-AJ1225-AL1225-AN1225-AP1225-AR1225-AT1225-AV1225-AX1225-AZ1225-BB1225-BD1225-BF1225-BH1225-U1225</f>
        <v>-1.6999999999999886</v>
      </c>
      <c r="W1225" s="15" t="s">
        <v>5950</v>
      </c>
      <c r="X1225" s="19"/>
      <c r="Y1225" s="10"/>
      <c r="Z1225" s="19">
        <v>166.7</v>
      </c>
      <c r="AA1225" s="123">
        <v>46129</v>
      </c>
    </row>
    <row r="1226" spans="1:27" s="101" customFormat="1" ht="20.25" customHeight="1">
      <c r="A1226" s="3">
        <v>46120</v>
      </c>
      <c r="B1226" s="1" t="s">
        <v>5939</v>
      </c>
      <c r="C1226" s="1" t="s">
        <v>267</v>
      </c>
      <c r="D1226" s="1" t="s">
        <v>212</v>
      </c>
      <c r="E1226" s="1" t="s">
        <v>25</v>
      </c>
      <c r="F1226" s="1" t="s">
        <v>5944</v>
      </c>
      <c r="G1226" s="1" t="s">
        <v>71</v>
      </c>
      <c r="H1226" s="1" t="s">
        <v>31</v>
      </c>
      <c r="I1226" s="1"/>
      <c r="J1226" s="1" t="s">
        <v>27</v>
      </c>
      <c r="K1226" s="1" t="s">
        <v>3199</v>
      </c>
      <c r="L1226" s="1" t="s">
        <v>35</v>
      </c>
      <c r="M1226" s="2">
        <v>2750</v>
      </c>
      <c r="N1226" s="6">
        <v>1.33</v>
      </c>
      <c r="O1226" s="1" t="s">
        <v>67</v>
      </c>
      <c r="P1226" s="1" t="s">
        <v>63</v>
      </c>
      <c r="Q1226" s="1" t="s">
        <v>29</v>
      </c>
      <c r="R1226" s="1" t="s">
        <v>5859</v>
      </c>
      <c r="S1226" s="121" t="s">
        <v>5868</v>
      </c>
      <c r="T1226" s="5">
        <v>46146</v>
      </c>
      <c r="U1226" s="388">
        <v>1657.6</v>
      </c>
      <c r="V1226" s="83">
        <f>M1226-Z1226-AB1226-AD1226-AF1226-AH1226-AJ1226-AL1226-AN1226-AP1226-AR1226-AT1226-AV1226-AX1226-AZ1226-BB1226-BD1226-BF1226-BH1226-U1226</f>
        <v>0</v>
      </c>
      <c r="W1226" s="4" t="s">
        <v>5951</v>
      </c>
      <c r="X1226" s="1"/>
      <c r="Y1226" s="58"/>
      <c r="Z1226" s="63">
        <v>1092.4000000000001</v>
      </c>
      <c r="AA1226" s="334">
        <v>46140</v>
      </c>
    </row>
    <row r="1227" spans="1:27" s="101" customFormat="1" ht="20.25" customHeight="1">
      <c r="A1227" s="3">
        <v>46120</v>
      </c>
      <c r="B1227" s="1" t="s">
        <v>5940</v>
      </c>
      <c r="C1227" s="1" t="s">
        <v>535</v>
      </c>
      <c r="D1227" s="1" t="s">
        <v>212</v>
      </c>
      <c r="E1227" s="1" t="s">
        <v>25</v>
      </c>
      <c r="F1227" s="1" t="s">
        <v>5945</v>
      </c>
      <c r="G1227" s="1" t="s">
        <v>71</v>
      </c>
      <c r="H1227" s="1" t="s">
        <v>31</v>
      </c>
      <c r="I1227" s="1"/>
      <c r="J1227" s="1" t="s">
        <v>27</v>
      </c>
      <c r="K1227" s="1" t="s">
        <v>3684</v>
      </c>
      <c r="L1227" s="1" t="s">
        <v>35</v>
      </c>
      <c r="M1227" s="2">
        <v>5294</v>
      </c>
      <c r="N1227" s="6">
        <v>1.33</v>
      </c>
      <c r="O1227" s="1" t="s">
        <v>67</v>
      </c>
      <c r="P1227" s="1" t="s">
        <v>63</v>
      </c>
      <c r="Q1227" s="1" t="s">
        <v>29</v>
      </c>
      <c r="R1227" s="1" t="s">
        <v>5947</v>
      </c>
      <c r="S1227" s="121" t="s">
        <v>286</v>
      </c>
      <c r="T1227" s="5">
        <v>46141</v>
      </c>
      <c r="U1227" s="63">
        <v>2486.8000000000002</v>
      </c>
      <c r="V1227" s="83">
        <f>M1227-Z1227-AB1227-AD1227-AF1227-AH1227-AJ1227-AL1227-AN1227-AP1227-AR1227-AT1227-AV1227-AX1227-AZ1227-BB1227-BD1227-BF1227-BH1227-U1227</f>
        <v>-11</v>
      </c>
      <c r="W1227" s="4" t="s">
        <v>5952</v>
      </c>
      <c r="X1227" s="1"/>
      <c r="Y1227" s="58"/>
      <c r="Z1227" s="63">
        <f>1156.6+1661.6</f>
        <v>2818.2</v>
      </c>
      <c r="AA1227" s="334">
        <v>46141</v>
      </c>
    </row>
    <row r="1228" spans="1:27" s="28" customFormat="1" ht="20.25" customHeight="1">
      <c r="A1228" s="11">
        <v>46120</v>
      </c>
      <c r="B1228" s="16" t="s">
        <v>5941</v>
      </c>
      <c r="C1228" s="16" t="s">
        <v>1568</v>
      </c>
      <c r="D1228" s="16" t="s">
        <v>212</v>
      </c>
      <c r="E1228" s="16" t="s">
        <v>25</v>
      </c>
      <c r="F1228" s="16" t="s">
        <v>5946</v>
      </c>
      <c r="G1228" s="16" t="s">
        <v>71</v>
      </c>
      <c r="H1228" s="16" t="s">
        <v>31</v>
      </c>
      <c r="I1228" s="16"/>
      <c r="J1228" s="16" t="s">
        <v>27</v>
      </c>
      <c r="K1228" s="16" t="s">
        <v>2766</v>
      </c>
      <c r="L1228" s="16" t="s">
        <v>35</v>
      </c>
      <c r="M1228" s="17">
        <v>638</v>
      </c>
      <c r="N1228" s="23">
        <v>1.33</v>
      </c>
      <c r="O1228" s="16" t="s">
        <v>67</v>
      </c>
      <c r="P1228" s="16" t="s">
        <v>63</v>
      </c>
      <c r="Q1228" s="16" t="s">
        <v>29</v>
      </c>
      <c r="R1228" s="16" t="s">
        <v>3141</v>
      </c>
      <c r="S1228" s="12" t="s">
        <v>5948</v>
      </c>
      <c r="T1228" s="13">
        <v>46134</v>
      </c>
      <c r="U1228" s="19"/>
      <c r="V1228" s="53">
        <f>M1228-Z1228-AB1228-AD1228-AF1228-AH1228-AJ1228-AL1228-AN1228-AP1228-AR1228-AT1228-AV1228-AX1228-AZ1228-BB1228-BD1228-BF1228-BH1228-U1228</f>
        <v>-1.7000000000000455</v>
      </c>
      <c r="W1228" s="22" t="s">
        <v>5953</v>
      </c>
      <c r="X1228" s="16"/>
      <c r="Y1228" s="9"/>
      <c r="Z1228" s="19">
        <f>401.3+238.4</f>
        <v>639.70000000000005</v>
      </c>
      <c r="AA1228" s="252">
        <v>46133</v>
      </c>
    </row>
    <row r="1229" spans="1:27" s="36" customFormat="1" ht="20.25" customHeight="1">
      <c r="A1229" s="7">
        <v>46121</v>
      </c>
      <c r="B1229" s="19" t="s">
        <v>5954</v>
      </c>
      <c r="C1229" s="19" t="s">
        <v>304</v>
      </c>
      <c r="D1229" s="19" t="s">
        <v>212</v>
      </c>
      <c r="E1229" s="19" t="s">
        <v>34</v>
      </c>
      <c r="F1229" s="19" t="s">
        <v>5956</v>
      </c>
      <c r="G1229" s="19" t="s">
        <v>71</v>
      </c>
      <c r="H1229" s="19" t="s">
        <v>31</v>
      </c>
      <c r="I1229" s="270"/>
      <c r="J1229" s="270" t="s">
        <v>27</v>
      </c>
      <c r="K1229" s="19" t="s">
        <v>239</v>
      </c>
      <c r="L1229" s="19" t="s">
        <v>35</v>
      </c>
      <c r="M1229" s="20">
        <v>55</v>
      </c>
      <c r="N1229" s="25">
        <v>1.33</v>
      </c>
      <c r="O1229" s="19" t="s">
        <v>67</v>
      </c>
      <c r="P1229" s="19" t="s">
        <v>63</v>
      </c>
      <c r="Q1229" s="19" t="s">
        <v>29</v>
      </c>
      <c r="R1229" s="19" t="s">
        <v>4746</v>
      </c>
      <c r="S1229" s="45" t="s">
        <v>5867</v>
      </c>
      <c r="T1229" s="8">
        <v>46135</v>
      </c>
      <c r="U1229" s="19"/>
      <c r="V1229" s="55">
        <f>M1229-Z1229-AB1229-AD1229-AF1229-AH1229-AJ1229-AL1229-AN1229-AP1229-AR1229-AT1229-AV1229-AX1229-AZ1229-BB1229-BD1229-BF1229-BH1229-U1229</f>
        <v>-1.8999999999999986</v>
      </c>
      <c r="W1229" s="15" t="s">
        <v>5958</v>
      </c>
      <c r="X1229" s="19"/>
      <c r="Y1229" s="10"/>
      <c r="Z1229" s="19">
        <v>56.9</v>
      </c>
      <c r="AA1229" s="123">
        <v>46129</v>
      </c>
    </row>
    <row r="1230" spans="1:27" s="28" customFormat="1" ht="20.25" customHeight="1">
      <c r="A1230" s="11">
        <v>46121</v>
      </c>
      <c r="B1230" s="16" t="s">
        <v>5955</v>
      </c>
      <c r="C1230" s="16" t="s">
        <v>304</v>
      </c>
      <c r="D1230" s="16" t="s">
        <v>212</v>
      </c>
      <c r="E1230" s="16" t="s">
        <v>34</v>
      </c>
      <c r="F1230" s="16" t="s">
        <v>5957</v>
      </c>
      <c r="G1230" s="16" t="s">
        <v>71</v>
      </c>
      <c r="H1230" s="16" t="s">
        <v>31</v>
      </c>
      <c r="I1230" s="1"/>
      <c r="J1230" s="1" t="s">
        <v>27</v>
      </c>
      <c r="K1230" s="16" t="s">
        <v>1378</v>
      </c>
      <c r="L1230" s="16" t="s">
        <v>35</v>
      </c>
      <c r="M1230" s="17">
        <v>100</v>
      </c>
      <c r="N1230" s="23">
        <v>1.33</v>
      </c>
      <c r="O1230" s="16" t="s">
        <v>67</v>
      </c>
      <c r="P1230" s="16" t="s">
        <v>63</v>
      </c>
      <c r="Q1230" s="16" t="s">
        <v>29</v>
      </c>
      <c r="R1230" s="16" t="s">
        <v>5575</v>
      </c>
      <c r="S1230" s="12" t="s">
        <v>5867</v>
      </c>
      <c r="T1230" s="13">
        <v>46135</v>
      </c>
      <c r="U1230" s="19"/>
      <c r="V1230" s="53">
        <f>M1230-Z1230-AB1230-AD1230-AF1230-AH1230-AJ1230-AL1230-AN1230-AP1230-AR1230-AT1230-AV1230-AX1230-AZ1230-BB1230-BD1230-BF1230-BH1230-U1230</f>
        <v>-3.0999999999999943</v>
      </c>
      <c r="W1230" s="22" t="s">
        <v>5959</v>
      </c>
      <c r="X1230" s="16"/>
      <c r="Y1230" s="9"/>
      <c r="Z1230" s="19">
        <v>103.1</v>
      </c>
      <c r="AA1230" s="252">
        <v>46129</v>
      </c>
    </row>
    <row r="1231" spans="1:27" s="28" customFormat="1" ht="20.25" customHeight="1">
      <c r="A1231" s="11">
        <v>46122</v>
      </c>
      <c r="B1231" s="16" t="s">
        <v>5960</v>
      </c>
      <c r="C1231" s="16" t="s">
        <v>228</v>
      </c>
      <c r="D1231" s="16" t="s">
        <v>212</v>
      </c>
      <c r="E1231" s="16" t="s">
        <v>25</v>
      </c>
      <c r="F1231" s="16" t="s">
        <v>5961</v>
      </c>
      <c r="G1231" s="16" t="s">
        <v>71</v>
      </c>
      <c r="H1231" s="16" t="s">
        <v>31</v>
      </c>
      <c r="I1231" s="16"/>
      <c r="J1231" s="16" t="s">
        <v>27</v>
      </c>
      <c r="K1231" s="16" t="s">
        <v>1667</v>
      </c>
      <c r="L1231" s="16" t="s">
        <v>35</v>
      </c>
      <c r="M1231" s="17">
        <v>18</v>
      </c>
      <c r="N1231" s="23">
        <v>1.33</v>
      </c>
      <c r="O1231" s="16" t="s">
        <v>67</v>
      </c>
      <c r="P1231" s="16" t="s">
        <v>63</v>
      </c>
      <c r="Q1231" s="16" t="s">
        <v>470</v>
      </c>
      <c r="R1231" s="16" t="s">
        <v>466</v>
      </c>
      <c r="S1231" s="12" t="s">
        <v>5719</v>
      </c>
      <c r="T1231" s="13">
        <v>46136</v>
      </c>
      <c r="U1231" s="19"/>
      <c r="V1231" s="53">
        <f>M1231-Z1231-AB1231-AD1231-AF1231-AH1231-AJ1231-AL1231-AN1231-AP1231-AR1231-AT1231-AV1231-AX1231-AZ1231-BB1231-BD1231-BF1231-BH1231-U1231</f>
        <v>-0.69999999999999929</v>
      </c>
      <c r="W1231" s="22" t="s">
        <v>5962</v>
      </c>
      <c r="X1231" s="16"/>
      <c r="Y1231" s="9"/>
      <c r="Z1231" s="19">
        <v>18.7</v>
      </c>
      <c r="AA1231" s="252">
        <v>46128</v>
      </c>
    </row>
    <row r="1232" spans="1:27" s="28" customFormat="1" ht="20.25" customHeight="1">
      <c r="A1232" s="11">
        <v>46122</v>
      </c>
      <c r="B1232" s="16" t="s">
        <v>5960</v>
      </c>
      <c r="C1232" s="16" t="s">
        <v>228</v>
      </c>
      <c r="D1232" s="16" t="s">
        <v>212</v>
      </c>
      <c r="E1232" s="16" t="s">
        <v>25</v>
      </c>
      <c r="F1232" s="16" t="s">
        <v>5961</v>
      </c>
      <c r="G1232" s="16" t="s">
        <v>71</v>
      </c>
      <c r="H1232" s="16" t="s">
        <v>31</v>
      </c>
      <c r="I1232" s="16"/>
      <c r="J1232" s="16" t="s">
        <v>27</v>
      </c>
      <c r="K1232" s="16" t="s">
        <v>2653</v>
      </c>
      <c r="L1232" s="16" t="s">
        <v>35</v>
      </c>
      <c r="M1232" s="17">
        <v>55</v>
      </c>
      <c r="N1232" s="23">
        <v>1.33</v>
      </c>
      <c r="O1232" s="16" t="s">
        <v>67</v>
      </c>
      <c r="P1232" s="16" t="s">
        <v>63</v>
      </c>
      <c r="Q1232" s="16" t="s">
        <v>480</v>
      </c>
      <c r="R1232" s="16" t="s">
        <v>481</v>
      </c>
      <c r="S1232" s="12" t="s">
        <v>5719</v>
      </c>
      <c r="T1232" s="13">
        <v>46136</v>
      </c>
      <c r="U1232" s="19"/>
      <c r="V1232" s="53">
        <f>M1232-Z1232-AB1232-AD1232-AF1232-AH1232-AJ1232-AL1232-AN1232-AP1232-AR1232-AT1232-AV1232-AX1232-AZ1232-BB1232-BD1232-BF1232-BH1232-U1232</f>
        <v>-1.8999999999999986</v>
      </c>
      <c r="W1232" s="22" t="s">
        <v>5963</v>
      </c>
      <c r="X1232" s="16"/>
      <c r="Y1232" s="9"/>
      <c r="Z1232" s="19">
        <v>56.9</v>
      </c>
      <c r="AA1232" s="252">
        <v>46135</v>
      </c>
    </row>
    <row r="1233" spans="1:27" s="101" customFormat="1" ht="20.25" customHeight="1">
      <c r="A1233" s="3">
        <v>46122</v>
      </c>
      <c r="B1233" s="1" t="s">
        <v>5964</v>
      </c>
      <c r="C1233" s="1" t="s">
        <v>535</v>
      </c>
      <c r="D1233" s="1" t="s">
        <v>212</v>
      </c>
      <c r="E1233" s="1" t="s">
        <v>25</v>
      </c>
      <c r="F1233" s="1" t="s">
        <v>5965</v>
      </c>
      <c r="G1233" s="1" t="s">
        <v>71</v>
      </c>
      <c r="H1233" s="1" t="s">
        <v>31</v>
      </c>
      <c r="I1233" s="1"/>
      <c r="J1233" s="1" t="s">
        <v>27</v>
      </c>
      <c r="K1233" s="1" t="s">
        <v>613</v>
      </c>
      <c r="L1233" s="1" t="s">
        <v>35</v>
      </c>
      <c r="M1233" s="2">
        <v>1573</v>
      </c>
      <c r="N1233" s="6">
        <v>1.33</v>
      </c>
      <c r="O1233" s="1" t="s">
        <v>67</v>
      </c>
      <c r="P1233" s="1" t="s">
        <v>63</v>
      </c>
      <c r="Q1233" s="1" t="s">
        <v>29</v>
      </c>
      <c r="R1233" s="1" t="s">
        <v>5966</v>
      </c>
      <c r="S1233" s="121" t="s">
        <v>264</v>
      </c>
      <c r="T1233" s="5">
        <v>46147</v>
      </c>
      <c r="U1233" s="388">
        <v>1573</v>
      </c>
      <c r="V1233" s="83">
        <f>M1233-Z1233-AB1233-AD1233-AF1233-AH1233-AJ1233-AL1233-AN1233-AP1233-AR1233-AT1233-AV1233-AX1233-AZ1233-BB1233-BD1233-BF1233-BH1233-U1233</f>
        <v>0</v>
      </c>
      <c r="W1233" s="4" t="s">
        <v>5967</v>
      </c>
      <c r="X1233" s="1"/>
      <c r="Y1233" s="58"/>
      <c r="Z1233" s="58"/>
    </row>
    <row r="1234" spans="1:27" s="36" customFormat="1" ht="20.25" customHeight="1">
      <c r="A1234" s="7">
        <v>46127</v>
      </c>
      <c r="B1234" s="19" t="s">
        <v>5974</v>
      </c>
      <c r="C1234" s="19" t="s">
        <v>267</v>
      </c>
      <c r="D1234" s="19" t="s">
        <v>212</v>
      </c>
      <c r="E1234" s="19" t="s">
        <v>34</v>
      </c>
      <c r="F1234" s="19" t="s">
        <v>5986</v>
      </c>
      <c r="G1234" s="19" t="s">
        <v>71</v>
      </c>
      <c r="H1234" s="19" t="s">
        <v>26</v>
      </c>
      <c r="I1234" s="270"/>
      <c r="J1234" s="270" t="s">
        <v>27</v>
      </c>
      <c r="K1234" s="19" t="s">
        <v>1476</v>
      </c>
      <c r="L1234" s="270" t="s">
        <v>35</v>
      </c>
      <c r="M1234" s="20">
        <v>50</v>
      </c>
      <c r="N1234" s="25">
        <v>1.33</v>
      </c>
      <c r="O1234" s="19" t="s">
        <v>67</v>
      </c>
      <c r="P1234" s="19" t="s">
        <v>63</v>
      </c>
      <c r="Q1234" s="19" t="s">
        <v>29</v>
      </c>
      <c r="R1234" s="19" t="s">
        <v>4626</v>
      </c>
      <c r="S1234" s="45" t="s">
        <v>286</v>
      </c>
      <c r="T1234" s="8">
        <v>46141</v>
      </c>
      <c r="U1234" s="19"/>
      <c r="V1234" s="55">
        <f>M1234-Z1234-AB1234-AD1234-AF1234-AH1234-AJ1234-AL1234-AN1234-AP1234-AR1234-AT1234-AV1234-AX1234-AZ1234-BB1234-BD1234-BF1234-BH1234-U1234</f>
        <v>-1.1000000000000014</v>
      </c>
      <c r="W1234" s="15" t="s">
        <v>6006</v>
      </c>
      <c r="X1234" s="19" t="s">
        <v>6033</v>
      </c>
      <c r="Y1234" s="10"/>
      <c r="Z1234" s="19">
        <v>51.1</v>
      </c>
      <c r="AA1234" s="123">
        <v>46141</v>
      </c>
    </row>
    <row r="1235" spans="1:27" s="101" customFormat="1" ht="20.25" customHeight="1">
      <c r="A1235" s="3">
        <v>46127</v>
      </c>
      <c r="B1235" s="1" t="s">
        <v>5975</v>
      </c>
      <c r="C1235" s="1" t="s">
        <v>267</v>
      </c>
      <c r="D1235" s="1" t="s">
        <v>212</v>
      </c>
      <c r="E1235" s="1" t="s">
        <v>34</v>
      </c>
      <c r="F1235" s="1" t="s">
        <v>5987</v>
      </c>
      <c r="G1235" s="1" t="s">
        <v>71</v>
      </c>
      <c r="H1235" s="1" t="s">
        <v>31</v>
      </c>
      <c r="I1235" s="1"/>
      <c r="J1235" s="1" t="s">
        <v>27</v>
      </c>
      <c r="K1235" s="1" t="s">
        <v>613</v>
      </c>
      <c r="L1235" s="1" t="s">
        <v>35</v>
      </c>
      <c r="M1235" s="2">
        <v>25</v>
      </c>
      <c r="N1235" s="6">
        <v>1.33</v>
      </c>
      <c r="O1235" s="1" t="s">
        <v>67</v>
      </c>
      <c r="P1235" s="1" t="s">
        <v>63</v>
      </c>
      <c r="Q1235" s="1" t="s">
        <v>29</v>
      </c>
      <c r="R1235" s="1" t="s">
        <v>4364</v>
      </c>
      <c r="S1235" s="121" t="s">
        <v>286</v>
      </c>
      <c r="T1235" s="5">
        <v>46141</v>
      </c>
      <c r="U1235" s="388">
        <v>25</v>
      </c>
      <c r="V1235" s="83">
        <f>M1235-Z1235-AB1235-AD1235-AF1235-AH1235-AJ1235-AL1235-AN1235-AP1235-AR1235-AT1235-AV1235-AX1235-AZ1235-BB1235-BD1235-BF1235-BH1235-U1235</f>
        <v>0</v>
      </c>
      <c r="W1235" s="4" t="s">
        <v>6007</v>
      </c>
      <c r="X1235" s="1"/>
      <c r="Y1235" s="58"/>
      <c r="Z1235" s="58"/>
    </row>
    <row r="1236" spans="1:27" s="28" customFormat="1" ht="20.25" customHeight="1">
      <c r="A1236" s="11">
        <v>46127</v>
      </c>
      <c r="B1236" s="16" t="s">
        <v>5976</v>
      </c>
      <c r="C1236" s="16" t="s">
        <v>267</v>
      </c>
      <c r="D1236" s="16" t="s">
        <v>212</v>
      </c>
      <c r="E1236" s="16" t="s">
        <v>34</v>
      </c>
      <c r="F1236" s="16" t="s">
        <v>5988</v>
      </c>
      <c r="G1236" s="16" t="s">
        <v>71</v>
      </c>
      <c r="H1236" s="16" t="s">
        <v>31</v>
      </c>
      <c r="I1236" s="16"/>
      <c r="J1236" s="16" t="s">
        <v>27</v>
      </c>
      <c r="K1236" s="16" t="s">
        <v>4303</v>
      </c>
      <c r="L1236" s="16" t="s">
        <v>35</v>
      </c>
      <c r="M1236" s="17">
        <v>300</v>
      </c>
      <c r="N1236" s="23">
        <v>1.33</v>
      </c>
      <c r="O1236" s="16" t="s">
        <v>67</v>
      </c>
      <c r="P1236" s="16" t="s">
        <v>63</v>
      </c>
      <c r="Q1236" s="16" t="s">
        <v>29</v>
      </c>
      <c r="R1236" s="16" t="s">
        <v>5860</v>
      </c>
      <c r="S1236" s="12" t="s">
        <v>286</v>
      </c>
      <c r="T1236" s="13">
        <v>46141</v>
      </c>
      <c r="U1236" s="19"/>
      <c r="V1236" s="53">
        <f>M1236-Z1236-AB1236-AD1236-AF1236-AH1236-AJ1236-AL1236-AN1236-AP1236-AR1236-AT1236-AV1236-AX1236-AZ1236-BB1236-BD1236-BF1236-BH1236-U1236</f>
        <v>-0.80000000000001137</v>
      </c>
      <c r="W1236" s="22" t="s">
        <v>6008</v>
      </c>
      <c r="X1236" s="16"/>
      <c r="Y1236" s="9"/>
      <c r="Z1236" s="19">
        <v>300.8</v>
      </c>
      <c r="AA1236" s="252">
        <v>46140</v>
      </c>
    </row>
    <row r="1237" spans="1:27" s="101" customFormat="1" ht="20.25" customHeight="1">
      <c r="A1237" s="3">
        <v>46127</v>
      </c>
      <c r="B1237" s="1" t="s">
        <v>5977</v>
      </c>
      <c r="C1237" s="1" t="s">
        <v>304</v>
      </c>
      <c r="D1237" s="1" t="s">
        <v>212</v>
      </c>
      <c r="E1237" s="1" t="s">
        <v>34</v>
      </c>
      <c r="F1237" s="1" t="s">
        <v>5989</v>
      </c>
      <c r="G1237" s="1" t="s">
        <v>71</v>
      </c>
      <c r="H1237" s="1" t="s">
        <v>31</v>
      </c>
      <c r="I1237" s="1"/>
      <c r="J1237" s="1" t="s">
        <v>27</v>
      </c>
      <c r="K1237" s="1" t="s">
        <v>683</v>
      </c>
      <c r="L1237" s="1" t="s">
        <v>35</v>
      </c>
      <c r="M1237" s="2">
        <v>75</v>
      </c>
      <c r="N1237" s="6">
        <v>1.33</v>
      </c>
      <c r="O1237" s="1" t="s">
        <v>67</v>
      </c>
      <c r="P1237" s="1" t="s">
        <v>63</v>
      </c>
      <c r="Q1237" s="1" t="s">
        <v>29</v>
      </c>
      <c r="R1237" s="1" t="s">
        <v>6000</v>
      </c>
      <c r="S1237" s="121" t="s">
        <v>286</v>
      </c>
      <c r="T1237" s="5">
        <v>46141</v>
      </c>
      <c r="U1237" s="388"/>
      <c r="V1237" s="83">
        <f>M1237-Z1237-AB1237-AD1237-AF1237-AH1237-AJ1237-AL1237-AN1237-AP1237-AR1237-AT1237-AV1237-AX1237-AZ1237-BB1237-BD1237-BF1237-BH1237-U1237</f>
        <v>75</v>
      </c>
      <c r="W1237" s="4" t="s">
        <v>6009</v>
      </c>
      <c r="X1237" s="1"/>
      <c r="Y1237" s="58"/>
      <c r="Z1237" s="58"/>
    </row>
    <row r="1238" spans="1:27" s="36" customFormat="1" ht="20.25" customHeight="1">
      <c r="A1238" s="7">
        <v>46127</v>
      </c>
      <c r="B1238" s="19" t="s">
        <v>5978</v>
      </c>
      <c r="C1238" s="19" t="s">
        <v>304</v>
      </c>
      <c r="D1238" s="19" t="s">
        <v>212</v>
      </c>
      <c r="E1238" s="19" t="s">
        <v>34</v>
      </c>
      <c r="F1238" s="19" t="s">
        <v>5990</v>
      </c>
      <c r="G1238" s="19" t="s">
        <v>71</v>
      </c>
      <c r="H1238" s="19" t="s">
        <v>26</v>
      </c>
      <c r="I1238" s="1"/>
      <c r="J1238" s="1" t="s">
        <v>27</v>
      </c>
      <c r="K1238" s="19" t="s">
        <v>1070</v>
      </c>
      <c r="L1238" s="1" t="s">
        <v>35</v>
      </c>
      <c r="M1238" s="20">
        <v>200</v>
      </c>
      <c r="N1238" s="25">
        <v>1.33</v>
      </c>
      <c r="O1238" s="19" t="s">
        <v>5894</v>
      </c>
      <c r="P1238" s="19" t="s">
        <v>63</v>
      </c>
      <c r="Q1238" s="19" t="s">
        <v>29</v>
      </c>
      <c r="R1238" s="19" t="s">
        <v>6001</v>
      </c>
      <c r="S1238" s="45" t="s">
        <v>286</v>
      </c>
      <c r="T1238" s="8">
        <v>46141</v>
      </c>
      <c r="U1238" s="19"/>
      <c r="V1238" s="55">
        <f>M1238-Z1238-AB1238-AD1238-AF1238-AH1238-AJ1238-AL1238-AN1238-AP1238-AR1238-AT1238-AV1238-AX1238-AZ1238-BB1238-BD1238-BF1238-BH1238-U1238</f>
        <v>-0.40000000000000568</v>
      </c>
      <c r="W1238" s="15" t="s">
        <v>6010</v>
      </c>
      <c r="X1238" s="19"/>
      <c r="Y1238" s="10"/>
      <c r="Z1238" s="19">
        <v>200.4</v>
      </c>
      <c r="AA1238" s="123">
        <v>46141</v>
      </c>
    </row>
    <row r="1239" spans="1:27" s="36" customFormat="1" ht="20.25" customHeight="1">
      <c r="A1239" s="7">
        <v>46127</v>
      </c>
      <c r="B1239" s="19" t="s">
        <v>5979</v>
      </c>
      <c r="C1239" s="19" t="s">
        <v>304</v>
      </c>
      <c r="D1239" s="19" t="s">
        <v>212</v>
      </c>
      <c r="E1239" s="19" t="s">
        <v>34</v>
      </c>
      <c r="F1239" s="19" t="s">
        <v>5991</v>
      </c>
      <c r="G1239" s="19" t="s">
        <v>71</v>
      </c>
      <c r="H1239" s="19" t="s">
        <v>31</v>
      </c>
      <c r="I1239" s="1"/>
      <c r="J1239" s="1" t="s">
        <v>27</v>
      </c>
      <c r="K1239" s="19" t="s">
        <v>5998</v>
      </c>
      <c r="L1239" s="1" t="s">
        <v>35</v>
      </c>
      <c r="M1239" s="20">
        <v>25</v>
      </c>
      <c r="N1239" s="25">
        <v>1.33</v>
      </c>
      <c r="O1239" s="19" t="s">
        <v>67</v>
      </c>
      <c r="P1239" s="19" t="s">
        <v>63</v>
      </c>
      <c r="Q1239" s="19" t="s">
        <v>29</v>
      </c>
      <c r="R1239" s="19" t="s">
        <v>6002</v>
      </c>
      <c r="S1239" s="45" t="s">
        <v>286</v>
      </c>
      <c r="T1239" s="8">
        <v>46141</v>
      </c>
      <c r="U1239" s="19"/>
      <c r="V1239" s="55">
        <f>M1239-Z1239-AB1239-AD1239-AF1239-AH1239-AJ1239-AL1239-AN1239-AP1239-AR1239-AT1239-AV1239-AX1239-AZ1239-BB1239-BD1239-BF1239-BH1239-U1239</f>
        <v>-3.1000000000000014</v>
      </c>
      <c r="W1239" s="15" t="s">
        <v>6011</v>
      </c>
      <c r="X1239" s="19"/>
      <c r="Y1239" s="10"/>
      <c r="Z1239" s="19">
        <v>28.1</v>
      </c>
      <c r="AA1239" s="123">
        <v>46141</v>
      </c>
    </row>
    <row r="1240" spans="1:27" s="101" customFormat="1" ht="20.25" customHeight="1">
      <c r="A1240" s="3">
        <v>46127</v>
      </c>
      <c r="B1240" s="1" t="s">
        <v>5980</v>
      </c>
      <c r="C1240" s="1" t="s">
        <v>304</v>
      </c>
      <c r="D1240" s="1" t="s">
        <v>212</v>
      </c>
      <c r="E1240" s="1" t="s">
        <v>34</v>
      </c>
      <c r="F1240" s="1" t="s">
        <v>5992</v>
      </c>
      <c r="G1240" s="1" t="s">
        <v>71</v>
      </c>
      <c r="H1240" s="1" t="s">
        <v>31</v>
      </c>
      <c r="I1240" s="1"/>
      <c r="J1240" s="1" t="s">
        <v>27</v>
      </c>
      <c r="K1240" s="1" t="s">
        <v>613</v>
      </c>
      <c r="L1240" s="1" t="s">
        <v>35</v>
      </c>
      <c r="M1240" s="2">
        <v>110</v>
      </c>
      <c r="N1240" s="6">
        <v>1.33</v>
      </c>
      <c r="O1240" s="1" t="s">
        <v>67</v>
      </c>
      <c r="P1240" s="1" t="s">
        <v>63</v>
      </c>
      <c r="Q1240" s="1" t="s">
        <v>29</v>
      </c>
      <c r="R1240" s="1" t="s">
        <v>6003</v>
      </c>
      <c r="S1240" s="121" t="s">
        <v>286</v>
      </c>
      <c r="T1240" s="5">
        <v>46141</v>
      </c>
      <c r="U1240" s="388">
        <v>110</v>
      </c>
      <c r="V1240" s="83">
        <f>M1240-Z1240-AB1240-AD1240-AF1240-AH1240-AJ1240-AL1240-AN1240-AP1240-AR1240-AT1240-AV1240-AX1240-AZ1240-BB1240-BD1240-BF1240-BH1240-U1240</f>
        <v>0</v>
      </c>
      <c r="W1240" s="4" t="s">
        <v>6012</v>
      </c>
      <c r="X1240" s="1"/>
      <c r="Y1240" s="58"/>
      <c r="Z1240" s="58"/>
    </row>
    <row r="1241" spans="1:27" s="36" customFormat="1" ht="20.25" customHeight="1">
      <c r="A1241" s="7">
        <v>46127</v>
      </c>
      <c r="B1241" s="19" t="s">
        <v>5981</v>
      </c>
      <c r="C1241" s="19" t="s">
        <v>304</v>
      </c>
      <c r="D1241" s="19" t="s">
        <v>212</v>
      </c>
      <c r="E1241" s="19" t="s">
        <v>34</v>
      </c>
      <c r="F1241" s="19" t="s">
        <v>5993</v>
      </c>
      <c r="G1241" s="19" t="s">
        <v>71</v>
      </c>
      <c r="H1241" s="19" t="s">
        <v>31</v>
      </c>
      <c r="I1241" s="1"/>
      <c r="J1241" s="1" t="s">
        <v>27</v>
      </c>
      <c r="K1241" s="19" t="s">
        <v>239</v>
      </c>
      <c r="L1241" s="1" t="s">
        <v>35</v>
      </c>
      <c r="M1241" s="20">
        <v>100</v>
      </c>
      <c r="N1241" s="25">
        <v>1.33</v>
      </c>
      <c r="O1241" s="19" t="s">
        <v>67</v>
      </c>
      <c r="P1241" s="19" t="s">
        <v>63</v>
      </c>
      <c r="Q1241" s="19" t="s">
        <v>29</v>
      </c>
      <c r="R1241" s="19" t="s">
        <v>6004</v>
      </c>
      <c r="S1241" s="45" t="s">
        <v>286</v>
      </c>
      <c r="T1241" s="8">
        <v>46141</v>
      </c>
      <c r="U1241" s="19"/>
      <c r="V1241" s="55">
        <f>M1241-Z1241-AB1241-AD1241-AF1241-AH1241-AJ1241-AL1241-AN1241-AP1241-AR1241-AT1241-AV1241-AX1241-AZ1241-BB1241-BD1241-BF1241-BH1241-U1241</f>
        <v>-1.2000000000000028</v>
      </c>
      <c r="W1241" s="15" t="s">
        <v>6013</v>
      </c>
      <c r="X1241" s="19"/>
      <c r="Y1241" s="10"/>
      <c r="Z1241" s="19">
        <v>101.2</v>
      </c>
      <c r="AA1241" s="123">
        <v>46141</v>
      </c>
    </row>
    <row r="1242" spans="1:27" s="36" customFormat="1" ht="20.25" customHeight="1">
      <c r="A1242" s="7">
        <v>46127</v>
      </c>
      <c r="B1242" s="19" t="s">
        <v>5982</v>
      </c>
      <c r="C1242" s="19" t="s">
        <v>304</v>
      </c>
      <c r="D1242" s="19" t="s">
        <v>212</v>
      </c>
      <c r="E1242" s="19" t="s">
        <v>34</v>
      </c>
      <c r="F1242" s="19" t="s">
        <v>5994</v>
      </c>
      <c r="G1242" s="19" t="s">
        <v>71</v>
      </c>
      <c r="H1242" s="19" t="s">
        <v>31</v>
      </c>
      <c r="I1242" s="1"/>
      <c r="J1242" s="1" t="s">
        <v>27</v>
      </c>
      <c r="K1242" s="19" t="s">
        <v>1070</v>
      </c>
      <c r="L1242" s="1" t="s">
        <v>35</v>
      </c>
      <c r="M1242" s="20">
        <v>170</v>
      </c>
      <c r="N1242" s="25">
        <v>1.33</v>
      </c>
      <c r="O1242" s="19" t="s">
        <v>5894</v>
      </c>
      <c r="P1242" s="19" t="s">
        <v>63</v>
      </c>
      <c r="Q1242" s="19" t="s">
        <v>29</v>
      </c>
      <c r="R1242" s="19" t="s">
        <v>4750</v>
      </c>
      <c r="S1242" s="45" t="s">
        <v>286</v>
      </c>
      <c r="T1242" s="8">
        <v>46141</v>
      </c>
      <c r="U1242" s="19"/>
      <c r="V1242" s="55">
        <f>M1242-Z1242-AB1242-AD1242-AF1242-AH1242-AJ1242-AL1242-AN1242-AP1242-AR1242-AT1242-AV1242-AX1242-AZ1242-BB1242-BD1242-BF1242-BH1242-U1242</f>
        <v>-0.19999999999998863</v>
      </c>
      <c r="W1242" s="15" t="s">
        <v>6014</v>
      </c>
      <c r="X1242" s="19"/>
      <c r="Y1242" s="10"/>
      <c r="Z1242" s="19">
        <v>170.2</v>
      </c>
      <c r="AA1242" s="123">
        <v>46141</v>
      </c>
    </row>
    <row r="1243" spans="1:27" s="28" customFormat="1" ht="20.25" customHeight="1">
      <c r="A1243" s="11">
        <v>46127</v>
      </c>
      <c r="B1243" s="16" t="s">
        <v>5983</v>
      </c>
      <c r="C1243" s="16" t="s">
        <v>304</v>
      </c>
      <c r="D1243" s="16" t="s">
        <v>212</v>
      </c>
      <c r="E1243" s="16" t="s">
        <v>34</v>
      </c>
      <c r="F1243" s="16" t="s">
        <v>5995</v>
      </c>
      <c r="G1243" s="16" t="s">
        <v>71</v>
      </c>
      <c r="H1243" s="16" t="s">
        <v>31</v>
      </c>
      <c r="I1243" s="16"/>
      <c r="J1243" s="16" t="s">
        <v>27</v>
      </c>
      <c r="K1243" s="16" t="s">
        <v>4607</v>
      </c>
      <c r="L1243" s="16" t="s">
        <v>35</v>
      </c>
      <c r="M1243" s="17">
        <v>65</v>
      </c>
      <c r="N1243" s="23">
        <v>1.33</v>
      </c>
      <c r="O1243" s="16" t="s">
        <v>67</v>
      </c>
      <c r="P1243" s="16" t="s">
        <v>63</v>
      </c>
      <c r="Q1243" s="16" t="s">
        <v>29</v>
      </c>
      <c r="R1243" s="16" t="s">
        <v>5811</v>
      </c>
      <c r="S1243" s="12" t="s">
        <v>286</v>
      </c>
      <c r="T1243" s="13">
        <v>46141</v>
      </c>
      <c r="U1243" s="19"/>
      <c r="V1243" s="53">
        <f>M1243-Z1243-AB1243-AD1243-AF1243-AH1243-AJ1243-AL1243-AN1243-AP1243-AR1243-AT1243-AV1243-AX1243-AZ1243-BB1243-BD1243-BF1243-BH1243-U1243</f>
        <v>-0.70000000000000284</v>
      </c>
      <c r="W1243" s="22" t="s">
        <v>6015</v>
      </c>
      <c r="X1243" s="16"/>
      <c r="Y1243" s="9"/>
      <c r="Z1243" s="19">
        <v>65.7</v>
      </c>
      <c r="AA1243" s="252">
        <v>46135</v>
      </c>
    </row>
    <row r="1244" spans="1:27" s="36" customFormat="1" ht="20.25" customHeight="1">
      <c r="A1244" s="7">
        <v>46127</v>
      </c>
      <c r="B1244" s="19" t="s">
        <v>5984</v>
      </c>
      <c r="C1244" s="19" t="s">
        <v>304</v>
      </c>
      <c r="D1244" s="19" t="s">
        <v>212</v>
      </c>
      <c r="E1244" s="19" t="s">
        <v>34</v>
      </c>
      <c r="F1244" s="19" t="s">
        <v>5996</v>
      </c>
      <c r="G1244" s="19" t="s">
        <v>71</v>
      </c>
      <c r="H1244" s="19" t="s">
        <v>31</v>
      </c>
      <c r="I1244" s="1"/>
      <c r="J1244" s="1" t="s">
        <v>27</v>
      </c>
      <c r="K1244" s="19" t="s">
        <v>5535</v>
      </c>
      <c r="L1244" s="1" t="s">
        <v>35</v>
      </c>
      <c r="M1244" s="20">
        <v>65</v>
      </c>
      <c r="N1244" s="25">
        <v>1.33</v>
      </c>
      <c r="O1244" s="19" t="s">
        <v>67</v>
      </c>
      <c r="P1244" s="19" t="s">
        <v>63</v>
      </c>
      <c r="Q1244" s="19" t="s">
        <v>29</v>
      </c>
      <c r="R1244" s="19" t="s">
        <v>4364</v>
      </c>
      <c r="S1244" s="45" t="s">
        <v>286</v>
      </c>
      <c r="T1244" s="8">
        <v>46141</v>
      </c>
      <c r="U1244" s="19"/>
      <c r="V1244" s="55">
        <f>M1244-Z1244-AB1244-AD1244-AF1244-AH1244-AJ1244-AL1244-AN1244-AP1244-AR1244-AT1244-AV1244-AX1244-AZ1244-BB1244-BD1244-BF1244-BH1244-U1244</f>
        <v>-1.0999999999999943</v>
      </c>
      <c r="W1244" s="15" t="s">
        <v>6016</v>
      </c>
      <c r="X1244" s="19"/>
      <c r="Y1244" s="10"/>
      <c r="Z1244" s="19">
        <v>66.099999999999994</v>
      </c>
      <c r="AA1244" s="123">
        <v>46141</v>
      </c>
    </row>
    <row r="1245" spans="1:27" s="36" customFormat="1" ht="20.25" customHeight="1">
      <c r="A1245" s="7">
        <v>46127</v>
      </c>
      <c r="B1245" s="19" t="s">
        <v>5985</v>
      </c>
      <c r="C1245" s="19" t="s">
        <v>304</v>
      </c>
      <c r="D1245" s="19" t="s">
        <v>212</v>
      </c>
      <c r="E1245" s="19" t="s">
        <v>34</v>
      </c>
      <c r="F1245" s="19" t="s">
        <v>5997</v>
      </c>
      <c r="G1245" s="19" t="s">
        <v>71</v>
      </c>
      <c r="H1245" s="19" t="s">
        <v>26</v>
      </c>
      <c r="I1245" s="1"/>
      <c r="J1245" s="1" t="s">
        <v>27</v>
      </c>
      <c r="K1245" s="19" t="s">
        <v>5999</v>
      </c>
      <c r="L1245" s="1" t="s">
        <v>35</v>
      </c>
      <c r="M1245" s="20">
        <v>215</v>
      </c>
      <c r="N1245" s="25">
        <v>1.33</v>
      </c>
      <c r="O1245" s="19" t="s">
        <v>67</v>
      </c>
      <c r="P1245" s="19" t="s">
        <v>63</v>
      </c>
      <c r="Q1245" s="19" t="s">
        <v>29</v>
      </c>
      <c r="R1245" s="19" t="s">
        <v>6005</v>
      </c>
      <c r="S1245" s="45" t="s">
        <v>286</v>
      </c>
      <c r="T1245" s="8">
        <v>46141</v>
      </c>
      <c r="U1245" s="19"/>
      <c r="V1245" s="55">
        <f>M1245-Z1245-AB1245-AD1245-AF1245-AH1245-AJ1245-AL1245-AN1245-AP1245-AR1245-AT1245-AV1245-AX1245-AZ1245-BB1245-BD1245-BF1245-BH1245-U1245</f>
        <v>-4.0999999999999943</v>
      </c>
      <c r="W1245" s="15" t="s">
        <v>6017</v>
      </c>
      <c r="X1245" s="19"/>
      <c r="Y1245" s="10"/>
      <c r="Z1245" s="19">
        <v>219.1</v>
      </c>
      <c r="AA1245" s="123">
        <v>46141</v>
      </c>
    </row>
    <row r="1246" spans="1:27" s="36" customFormat="1" ht="20.25" customHeight="1">
      <c r="A1246" s="7">
        <v>46132</v>
      </c>
      <c r="B1246" s="19" t="s">
        <v>6027</v>
      </c>
      <c r="C1246" s="19" t="s">
        <v>304</v>
      </c>
      <c r="D1246" s="19" t="s">
        <v>212</v>
      </c>
      <c r="E1246" s="19" t="s">
        <v>34</v>
      </c>
      <c r="F1246" s="19" t="s">
        <v>6028</v>
      </c>
      <c r="G1246" s="19" t="s">
        <v>71</v>
      </c>
      <c r="H1246" s="19" t="s">
        <v>31</v>
      </c>
      <c r="I1246" s="1"/>
      <c r="J1246" s="1" t="s">
        <v>27</v>
      </c>
      <c r="K1246" s="19" t="s">
        <v>1476</v>
      </c>
      <c r="L1246" s="1" t="s">
        <v>35</v>
      </c>
      <c r="M1246" s="20">
        <v>40</v>
      </c>
      <c r="N1246" s="25">
        <v>1.33</v>
      </c>
      <c r="O1246" s="19" t="s">
        <v>67</v>
      </c>
      <c r="P1246" s="19" t="s">
        <v>63</v>
      </c>
      <c r="Q1246" s="19" t="s">
        <v>29</v>
      </c>
      <c r="R1246" s="19" t="s">
        <v>4746</v>
      </c>
      <c r="S1246" s="45" t="s">
        <v>5814</v>
      </c>
      <c r="T1246" s="8">
        <v>46139</v>
      </c>
      <c r="U1246" s="19"/>
      <c r="V1246" s="55">
        <f>M1246-Z1246-AB1246-AD1246-AF1246-AH1246-AJ1246-AL1246-AN1246-AP1246-AR1246-AT1246-AV1246-AX1246-AZ1246-BB1246-BD1246-BF1246-BH1246-U1246</f>
        <v>-4.5</v>
      </c>
      <c r="W1246" s="15" t="s">
        <v>6029</v>
      </c>
      <c r="X1246" s="19"/>
      <c r="Y1246" s="10"/>
      <c r="Z1246" s="19">
        <v>44.5</v>
      </c>
      <c r="AA1246" s="123">
        <v>46141</v>
      </c>
    </row>
    <row r="1247" spans="1:27" s="101" customFormat="1" ht="20.25" customHeight="1">
      <c r="A1247" s="3">
        <v>46128</v>
      </c>
      <c r="B1247" s="1" t="s">
        <v>6034</v>
      </c>
      <c r="C1247" s="1" t="s">
        <v>535</v>
      </c>
      <c r="D1247" s="1" t="s">
        <v>212</v>
      </c>
      <c r="E1247" s="1" t="s">
        <v>34</v>
      </c>
      <c r="F1247" s="1" t="s">
        <v>6039</v>
      </c>
      <c r="G1247" s="1" t="s">
        <v>71</v>
      </c>
      <c r="H1247" s="1" t="s">
        <v>31</v>
      </c>
      <c r="I1247" s="1"/>
      <c r="J1247" s="1" t="s">
        <v>27</v>
      </c>
      <c r="K1247" s="1" t="s">
        <v>613</v>
      </c>
      <c r="L1247" s="1" t="s">
        <v>35</v>
      </c>
      <c r="M1247" s="2">
        <v>79</v>
      </c>
      <c r="N1247" s="6">
        <v>1.33</v>
      </c>
      <c r="O1247" s="1" t="s">
        <v>67</v>
      </c>
      <c r="P1247" s="1" t="s">
        <v>63</v>
      </c>
      <c r="Q1247" s="1" t="s">
        <v>29</v>
      </c>
      <c r="R1247" s="1" t="s">
        <v>6044</v>
      </c>
      <c r="S1247" s="121" t="s">
        <v>5866</v>
      </c>
      <c r="T1247" s="5">
        <v>46149</v>
      </c>
      <c r="U1247" s="388">
        <v>79</v>
      </c>
      <c r="V1247" s="83">
        <f>M1247-Z1247-AB1247-AD1247-AF1247-AH1247-AJ1247-AL1247-AN1247-AP1247-AR1247-AT1247-AV1247-AX1247-AZ1247-BB1247-BD1247-BF1247-BH1247-U1247</f>
        <v>0</v>
      </c>
      <c r="W1247" s="4" t="s">
        <v>6045</v>
      </c>
      <c r="X1247" s="1"/>
      <c r="Y1247" s="58"/>
      <c r="Z1247" s="58"/>
    </row>
    <row r="1248" spans="1:27" s="36" customFormat="1" ht="20.25" customHeight="1">
      <c r="A1248" s="7">
        <v>46128</v>
      </c>
      <c r="B1248" s="19" t="s">
        <v>6035</v>
      </c>
      <c r="C1248" s="19" t="s">
        <v>267</v>
      </c>
      <c r="D1248" s="19" t="s">
        <v>212</v>
      </c>
      <c r="E1248" s="19" t="s">
        <v>34</v>
      </c>
      <c r="F1248" s="19" t="s">
        <v>6040</v>
      </c>
      <c r="G1248" s="19" t="s">
        <v>71</v>
      </c>
      <c r="H1248" s="19" t="s">
        <v>26</v>
      </c>
      <c r="I1248" s="1"/>
      <c r="J1248" s="1" t="s">
        <v>27</v>
      </c>
      <c r="K1248" s="19" t="s">
        <v>245</v>
      </c>
      <c r="L1248" s="1" t="s">
        <v>35</v>
      </c>
      <c r="M1248" s="20">
        <v>75</v>
      </c>
      <c r="N1248" s="25">
        <v>1.33</v>
      </c>
      <c r="O1248" s="19" t="s">
        <v>67</v>
      </c>
      <c r="P1248" s="19" t="s">
        <v>63</v>
      </c>
      <c r="Q1248" s="19" t="s">
        <v>29</v>
      </c>
      <c r="R1248" s="19" t="s">
        <v>5002</v>
      </c>
      <c r="S1248" s="45" t="s">
        <v>270</v>
      </c>
      <c r="T1248" s="8">
        <v>46142</v>
      </c>
      <c r="U1248" s="19"/>
      <c r="V1248" s="55">
        <f>M1248-Z1248-AB1248-AD1248-AF1248-AH1248-AJ1248-AL1248-AN1248-AP1248-AR1248-AT1248-AV1248-AX1248-AZ1248-BB1248-BD1248-BF1248-BH1248-U1248</f>
        <v>0</v>
      </c>
      <c r="W1248" s="15" t="s">
        <v>6046</v>
      </c>
      <c r="X1248" s="19"/>
      <c r="Y1248" s="10"/>
      <c r="Z1248" s="19">
        <v>75</v>
      </c>
      <c r="AA1248" s="123">
        <v>46141</v>
      </c>
    </row>
    <row r="1249" spans="1:27" s="36" customFormat="1" ht="20.25" customHeight="1">
      <c r="A1249" s="7">
        <v>46128</v>
      </c>
      <c r="B1249" s="19" t="s">
        <v>6036</v>
      </c>
      <c r="C1249" s="19" t="s">
        <v>267</v>
      </c>
      <c r="D1249" s="19" t="s">
        <v>212</v>
      </c>
      <c r="E1249" s="19" t="s">
        <v>34</v>
      </c>
      <c r="F1249" s="19" t="s">
        <v>6041</v>
      </c>
      <c r="G1249" s="19" t="s">
        <v>71</v>
      </c>
      <c r="H1249" s="19" t="s">
        <v>31</v>
      </c>
      <c r="I1249" s="1"/>
      <c r="J1249" s="1" t="s">
        <v>27</v>
      </c>
      <c r="K1249" s="19" t="s">
        <v>337</v>
      </c>
      <c r="L1249" s="1" t="s">
        <v>35</v>
      </c>
      <c r="M1249" s="20">
        <v>25</v>
      </c>
      <c r="N1249" s="25">
        <v>1.33</v>
      </c>
      <c r="O1249" s="19" t="s">
        <v>67</v>
      </c>
      <c r="P1249" s="19" t="s">
        <v>63</v>
      </c>
      <c r="Q1249" s="19" t="s">
        <v>29</v>
      </c>
      <c r="R1249" s="19" t="s">
        <v>4364</v>
      </c>
      <c r="S1249" s="45" t="s">
        <v>270</v>
      </c>
      <c r="T1249" s="8">
        <v>46142</v>
      </c>
      <c r="U1249" s="19"/>
      <c r="V1249" s="55">
        <f>M1249-Z1249-AB1249-AD1249-AF1249-AH1249-AJ1249-AL1249-AN1249-AP1249-AR1249-AT1249-AV1249-AX1249-AZ1249-BB1249-BD1249-BF1249-BH1249-U1249</f>
        <v>-2.6999999999999993</v>
      </c>
      <c r="W1249" s="15" t="s">
        <v>6047</v>
      </c>
      <c r="X1249" s="19"/>
      <c r="Y1249" s="10"/>
      <c r="Z1249" s="19">
        <v>27.7</v>
      </c>
      <c r="AA1249" s="123">
        <v>46141</v>
      </c>
    </row>
    <row r="1250" spans="1:27" s="36" customFormat="1" ht="20.25" customHeight="1">
      <c r="A1250" s="7">
        <v>46128</v>
      </c>
      <c r="B1250" s="19" t="s">
        <v>6037</v>
      </c>
      <c r="C1250" s="19" t="s">
        <v>267</v>
      </c>
      <c r="D1250" s="19" t="s">
        <v>212</v>
      </c>
      <c r="E1250" s="19" t="s">
        <v>34</v>
      </c>
      <c r="F1250" s="19" t="s">
        <v>6042</v>
      </c>
      <c r="G1250" s="19" t="s">
        <v>71</v>
      </c>
      <c r="H1250" s="19" t="s">
        <v>31</v>
      </c>
      <c r="I1250" s="1"/>
      <c r="J1250" s="1" t="s">
        <v>27</v>
      </c>
      <c r="K1250" s="19" t="s">
        <v>5535</v>
      </c>
      <c r="L1250" s="1" t="s">
        <v>35</v>
      </c>
      <c r="M1250" s="20">
        <v>25</v>
      </c>
      <c r="N1250" s="25">
        <v>1.33</v>
      </c>
      <c r="O1250" s="19" t="s">
        <v>67</v>
      </c>
      <c r="P1250" s="19" t="s">
        <v>63</v>
      </c>
      <c r="Q1250" s="19" t="s">
        <v>29</v>
      </c>
      <c r="R1250" s="19" t="s">
        <v>4364</v>
      </c>
      <c r="S1250" s="45" t="s">
        <v>270</v>
      </c>
      <c r="T1250" s="8">
        <v>46142</v>
      </c>
      <c r="U1250" s="19"/>
      <c r="V1250" s="55">
        <f>M1250-Z1250-AB1250-AD1250-AF1250-AH1250-AJ1250-AL1250-AN1250-AP1250-AR1250-AT1250-AV1250-AX1250-AZ1250-BB1250-BD1250-BF1250-BH1250-U1250</f>
        <v>-1.1000000000000014</v>
      </c>
      <c r="W1250" s="15" t="s">
        <v>6048</v>
      </c>
      <c r="X1250" s="19"/>
      <c r="Y1250" s="10"/>
      <c r="Z1250" s="19">
        <v>26.1</v>
      </c>
      <c r="AA1250" s="123">
        <v>46141</v>
      </c>
    </row>
    <row r="1251" spans="1:27" s="417" customFormat="1" ht="20.25" customHeight="1">
      <c r="A1251" s="411">
        <v>46128</v>
      </c>
      <c r="B1251" s="270" t="s">
        <v>6038</v>
      </c>
      <c r="C1251" s="270" t="s">
        <v>267</v>
      </c>
      <c r="D1251" s="270" t="s">
        <v>212</v>
      </c>
      <c r="E1251" s="270" t="s">
        <v>34</v>
      </c>
      <c r="F1251" s="270" t="s">
        <v>6043</v>
      </c>
      <c r="G1251" s="270" t="s">
        <v>71</v>
      </c>
      <c r="H1251" s="270" t="s">
        <v>26</v>
      </c>
      <c r="I1251" s="270"/>
      <c r="J1251" s="270" t="s">
        <v>27</v>
      </c>
      <c r="K1251" s="270" t="s">
        <v>537</v>
      </c>
      <c r="L1251" s="270" t="s">
        <v>35</v>
      </c>
      <c r="M1251" s="412">
        <v>125</v>
      </c>
      <c r="N1251" s="271">
        <v>1.33</v>
      </c>
      <c r="O1251" s="270" t="s">
        <v>67</v>
      </c>
      <c r="P1251" s="270" t="s">
        <v>63</v>
      </c>
      <c r="Q1251" s="270" t="s">
        <v>29</v>
      </c>
      <c r="R1251" s="270" t="s">
        <v>4857</v>
      </c>
      <c r="S1251" s="327" t="s">
        <v>270</v>
      </c>
      <c r="T1251" s="382">
        <v>46142</v>
      </c>
      <c r="U1251" s="63"/>
      <c r="V1251" s="413">
        <f>M1251-Z1251-AB1251-AD1251-AF1251-AH1251-AJ1251-AL1251-AN1251-AP1251-AR1251-AT1251-AV1251-AX1251-AZ1251-BB1251-BD1251-BF1251-BH1251-U1251</f>
        <v>18.599999999999994</v>
      </c>
      <c r="W1251" s="414" t="s">
        <v>6049</v>
      </c>
      <c r="X1251" s="270"/>
      <c r="Y1251" s="415"/>
      <c r="Z1251" s="63">
        <v>106.4</v>
      </c>
      <c r="AA1251" s="416">
        <v>46141</v>
      </c>
    </row>
    <row r="1252" spans="1:27" s="28" customFormat="1" ht="20.25" customHeight="1">
      <c r="A1252" s="11">
        <v>46133</v>
      </c>
      <c r="B1252" s="16" t="s">
        <v>6052</v>
      </c>
      <c r="C1252" s="16" t="s">
        <v>1773</v>
      </c>
      <c r="D1252" s="16" t="s">
        <v>212</v>
      </c>
      <c r="E1252" s="16" t="s">
        <v>34</v>
      </c>
      <c r="F1252" s="16">
        <v>5400002083</v>
      </c>
      <c r="G1252" s="16" t="s">
        <v>71</v>
      </c>
      <c r="H1252" s="16" t="s">
        <v>31</v>
      </c>
      <c r="I1252" s="16"/>
      <c r="J1252" s="16" t="s">
        <v>27</v>
      </c>
      <c r="K1252" s="16" t="s">
        <v>6055</v>
      </c>
      <c r="L1252" s="16" t="s">
        <v>35</v>
      </c>
      <c r="M1252" s="17">
        <v>23</v>
      </c>
      <c r="N1252" s="23">
        <v>1.33</v>
      </c>
      <c r="O1252" s="16" t="s">
        <v>67</v>
      </c>
      <c r="P1252" s="16" t="s">
        <v>63</v>
      </c>
      <c r="Q1252" s="16" t="s">
        <v>29</v>
      </c>
      <c r="R1252" s="16" t="s">
        <v>29</v>
      </c>
      <c r="S1252" s="12" t="s">
        <v>264</v>
      </c>
      <c r="T1252" s="13">
        <v>46147</v>
      </c>
      <c r="U1252" s="315"/>
      <c r="V1252" s="53">
        <f>M1252-Z1252-AB1252-AD1252-AF1252-AH1252-AJ1252-AL1252-AN1252-AP1252-AR1252-AT1252-AV1252-AX1252-AZ1252-BB1252-BD1252-BF1252-BH1252-U1252</f>
        <v>-3.6999999999999993</v>
      </c>
      <c r="W1252" s="22" t="s">
        <v>6057</v>
      </c>
      <c r="X1252" s="16"/>
      <c r="Y1252" s="9"/>
      <c r="Z1252" s="315">
        <v>26.7</v>
      </c>
      <c r="AA1252" s="252">
        <v>46134</v>
      </c>
    </row>
    <row r="1253" spans="1:27" s="101" customFormat="1" ht="20.25" customHeight="1">
      <c r="A1253" s="3">
        <v>46133</v>
      </c>
      <c r="B1253" s="1" t="s">
        <v>6053</v>
      </c>
      <c r="C1253" s="1" t="s">
        <v>228</v>
      </c>
      <c r="D1253" s="1" t="s">
        <v>212</v>
      </c>
      <c r="E1253" s="1" t="s">
        <v>34</v>
      </c>
      <c r="F1253" s="1" t="s">
        <v>6054</v>
      </c>
      <c r="G1253" s="1" t="s">
        <v>71</v>
      </c>
      <c r="H1253" s="1" t="s">
        <v>31</v>
      </c>
      <c r="I1253" s="1"/>
      <c r="J1253" s="1" t="s">
        <v>27</v>
      </c>
      <c r="K1253" s="1" t="s">
        <v>6056</v>
      </c>
      <c r="L1253" s="1" t="s">
        <v>35</v>
      </c>
      <c r="M1253" s="2">
        <v>99</v>
      </c>
      <c r="N1253" s="6">
        <v>1.33</v>
      </c>
      <c r="O1253" s="1" t="s">
        <v>67</v>
      </c>
      <c r="P1253" s="1" t="s">
        <v>63</v>
      </c>
      <c r="Q1253" s="1" t="s">
        <v>470</v>
      </c>
      <c r="R1253" s="1" t="s">
        <v>466</v>
      </c>
      <c r="S1253" s="121" t="s">
        <v>264</v>
      </c>
      <c r="T1253" s="5">
        <v>46147</v>
      </c>
      <c r="U1253" s="63">
        <v>99.3</v>
      </c>
      <c r="V1253" s="83">
        <f>M1253-Z1253-AB1253-AD1253-AF1253-AH1253-AJ1253-AL1253-AN1253-AP1253-AR1253-AT1253-AV1253-AX1253-AZ1253-BB1253-BD1253-BF1253-BH1253-U1253</f>
        <v>-0.29999999999999716</v>
      </c>
      <c r="W1253" s="4" t="s">
        <v>6058</v>
      </c>
      <c r="X1253" s="1"/>
      <c r="Y1253" s="58"/>
      <c r="Z1253" s="58"/>
    </row>
    <row r="1254" spans="1:27" s="28" customFormat="1" ht="20.25" customHeight="1">
      <c r="A1254" s="11">
        <v>46134</v>
      </c>
      <c r="B1254" s="16" t="s">
        <v>6097</v>
      </c>
      <c r="C1254" s="16" t="s">
        <v>535</v>
      </c>
      <c r="D1254" s="16" t="s">
        <v>212</v>
      </c>
      <c r="E1254" s="16" t="s">
        <v>34</v>
      </c>
      <c r="F1254" s="16" t="s">
        <v>6098</v>
      </c>
      <c r="G1254" s="16" t="s">
        <v>71</v>
      </c>
      <c r="H1254" s="16" t="s">
        <v>31</v>
      </c>
      <c r="I1254" s="16"/>
      <c r="J1254" s="16" t="s">
        <v>27</v>
      </c>
      <c r="K1254" s="16" t="s">
        <v>1476</v>
      </c>
      <c r="L1254" s="16" t="s">
        <v>35</v>
      </c>
      <c r="M1254" s="17">
        <v>194</v>
      </c>
      <c r="N1254" s="23">
        <v>1.33</v>
      </c>
      <c r="O1254" s="16" t="s">
        <v>67</v>
      </c>
      <c r="P1254" s="16"/>
      <c r="Q1254" s="16"/>
      <c r="R1254" s="16"/>
      <c r="S1254" s="12" t="s">
        <v>6099</v>
      </c>
      <c r="T1254" s="13">
        <v>46148</v>
      </c>
      <c r="U1254" s="19"/>
      <c r="V1254" s="53">
        <f>M1254-Z1254-AB1254-AD1254-AF1254-AH1254-AJ1254-AL1254-AN1254-AP1254-AR1254-AT1254-AV1254-AX1254-AZ1254-BB1254-BD1254-BF1254-BH1254-U1254</f>
        <v>-9.9999999999994316E-2</v>
      </c>
      <c r="W1254" s="22" t="s">
        <v>6100</v>
      </c>
      <c r="X1254" s="16"/>
      <c r="Y1254" s="9"/>
      <c r="Z1254" s="19">
        <v>194.1</v>
      </c>
      <c r="AA1254" s="252">
        <v>46142</v>
      </c>
    </row>
    <row r="1255" spans="1:27" s="28" customFormat="1" ht="20.25" customHeight="1">
      <c r="A1255" s="11">
        <v>46135</v>
      </c>
      <c r="B1255" s="16" t="s">
        <v>6115</v>
      </c>
      <c r="C1255" s="16" t="s">
        <v>1773</v>
      </c>
      <c r="D1255" s="16" t="s">
        <v>212</v>
      </c>
      <c r="E1255" s="16" t="s">
        <v>34</v>
      </c>
      <c r="F1255" s="16" t="s">
        <v>6118</v>
      </c>
      <c r="G1255" s="16" t="s">
        <v>71</v>
      </c>
      <c r="H1255" s="16" t="s">
        <v>31</v>
      </c>
      <c r="I1255" s="16"/>
      <c r="J1255" s="16" t="s">
        <v>27</v>
      </c>
      <c r="K1255" s="16" t="s">
        <v>5703</v>
      </c>
      <c r="L1255" s="16" t="s">
        <v>35</v>
      </c>
      <c r="M1255" s="17">
        <v>36</v>
      </c>
      <c r="N1255" s="23">
        <v>1.33</v>
      </c>
      <c r="O1255" s="16" t="s">
        <v>67</v>
      </c>
      <c r="P1255" s="16" t="s">
        <v>63</v>
      </c>
      <c r="Q1255" s="16" t="s">
        <v>29</v>
      </c>
      <c r="R1255" s="16" t="s">
        <v>29</v>
      </c>
      <c r="S1255" s="12" t="s">
        <v>5438</v>
      </c>
      <c r="T1255" s="13">
        <v>46111</v>
      </c>
      <c r="U1255" s="19"/>
      <c r="V1255" s="53">
        <f>M1255-Z1255-AB1255-AD1255-AF1255-AH1255-AJ1255-AL1255-AN1255-AP1255-AR1255-AT1255-AV1255-AX1255-AZ1255-BB1255-BD1255-BF1255-BH1255-U1255</f>
        <v>-1.2000000000000028</v>
      </c>
      <c r="W1255" s="22" t="s">
        <v>6122</v>
      </c>
      <c r="X1255" s="16" t="s">
        <v>6125</v>
      </c>
      <c r="Y1255" s="9"/>
      <c r="Z1255" s="19">
        <v>37.200000000000003</v>
      </c>
      <c r="AA1255" s="252">
        <v>46139</v>
      </c>
    </row>
    <row r="1256" spans="1:27" s="101" customFormat="1" ht="20.25" customHeight="1">
      <c r="A1256" s="3">
        <v>46135</v>
      </c>
      <c r="B1256" s="1" t="s">
        <v>6116</v>
      </c>
      <c r="C1256" s="1" t="s">
        <v>304</v>
      </c>
      <c r="D1256" s="1" t="s">
        <v>212</v>
      </c>
      <c r="E1256" s="1" t="s">
        <v>34</v>
      </c>
      <c r="F1256" s="1" t="s">
        <v>6119</v>
      </c>
      <c r="G1256" s="1" t="s">
        <v>71</v>
      </c>
      <c r="H1256" s="1" t="s">
        <v>26</v>
      </c>
      <c r="I1256" s="1"/>
      <c r="J1256" s="1" t="s">
        <v>27</v>
      </c>
      <c r="K1256" s="1" t="s">
        <v>1687</v>
      </c>
      <c r="L1256" s="1" t="s">
        <v>35</v>
      </c>
      <c r="M1256" s="2">
        <v>25</v>
      </c>
      <c r="N1256" s="6">
        <v>1.33</v>
      </c>
      <c r="O1256" s="63" t="s">
        <v>5894</v>
      </c>
      <c r="P1256" s="1" t="s">
        <v>63</v>
      </c>
      <c r="Q1256" s="1" t="s">
        <v>29</v>
      </c>
      <c r="R1256" s="1" t="s">
        <v>6121</v>
      </c>
      <c r="S1256" s="121" t="s">
        <v>5866</v>
      </c>
      <c r="T1256" s="5">
        <v>46149</v>
      </c>
      <c r="U1256" s="397">
        <v>25</v>
      </c>
      <c r="V1256" s="83">
        <f>M1256-Z1256-AB1256-AD1256-AF1256-AH1256-AJ1256-AL1256-AN1256-AP1256-AR1256-AT1256-AV1256-AX1256-AZ1256-BB1256-BD1256-BF1256-BH1256-U1256</f>
        <v>0</v>
      </c>
      <c r="W1256" s="4" t="s">
        <v>6123</v>
      </c>
      <c r="X1256" s="1" t="s">
        <v>29</v>
      </c>
      <c r="Y1256" s="58"/>
      <c r="Z1256" s="58"/>
    </row>
    <row r="1257" spans="1:27" s="28" customFormat="1" ht="20.25" customHeight="1">
      <c r="A1257" s="11">
        <v>46135</v>
      </c>
      <c r="B1257" s="16" t="s">
        <v>6117</v>
      </c>
      <c r="C1257" s="16" t="s">
        <v>304</v>
      </c>
      <c r="D1257" s="16" t="s">
        <v>212</v>
      </c>
      <c r="E1257" s="16" t="s">
        <v>34</v>
      </c>
      <c r="F1257" s="16" t="s">
        <v>6120</v>
      </c>
      <c r="G1257" s="16" t="s">
        <v>71</v>
      </c>
      <c r="H1257" s="16" t="s">
        <v>26</v>
      </c>
      <c r="I1257" s="1"/>
      <c r="J1257" s="1" t="s">
        <v>27</v>
      </c>
      <c r="K1257" s="16" t="s">
        <v>913</v>
      </c>
      <c r="L1257" s="1" t="s">
        <v>35</v>
      </c>
      <c r="M1257" s="17">
        <v>25</v>
      </c>
      <c r="N1257" s="23">
        <v>1.33</v>
      </c>
      <c r="O1257" s="16" t="s">
        <v>67</v>
      </c>
      <c r="P1257" s="16" t="s">
        <v>63</v>
      </c>
      <c r="Q1257" s="16" t="s">
        <v>29</v>
      </c>
      <c r="R1257" s="16" t="s">
        <v>810</v>
      </c>
      <c r="S1257" s="12" t="s">
        <v>5866</v>
      </c>
      <c r="T1257" s="13">
        <v>46149</v>
      </c>
      <c r="U1257" s="19"/>
      <c r="V1257" s="53">
        <f>M1257-Z1257-AB1257-AD1257-AF1257-AH1257-AJ1257-AL1257-AN1257-AP1257-AR1257-AT1257-AV1257-AX1257-AZ1257-BB1257-BD1257-BF1257-BH1257-U1257</f>
        <v>-0.89999999999999858</v>
      </c>
      <c r="W1257" s="22" t="s">
        <v>6124</v>
      </c>
      <c r="X1257" s="16" t="s">
        <v>29</v>
      </c>
      <c r="Y1257" s="9"/>
      <c r="Z1257" s="19">
        <v>25.9</v>
      </c>
      <c r="AA1257" s="252">
        <v>46141</v>
      </c>
    </row>
    <row r="1258" spans="1:27" s="101" customFormat="1" ht="20.25" customHeight="1">
      <c r="A1258" s="3">
        <v>46136</v>
      </c>
      <c r="B1258" s="1" t="s">
        <v>6135</v>
      </c>
      <c r="C1258" s="1" t="s">
        <v>267</v>
      </c>
      <c r="D1258" s="1" t="s">
        <v>212</v>
      </c>
      <c r="E1258" s="1" t="s">
        <v>34</v>
      </c>
      <c r="F1258" s="1" t="s">
        <v>6136</v>
      </c>
      <c r="G1258" s="1" t="s">
        <v>71</v>
      </c>
      <c r="H1258" s="1" t="s">
        <v>26</v>
      </c>
      <c r="I1258" s="1"/>
      <c r="J1258" s="1" t="s">
        <v>27</v>
      </c>
      <c r="K1258" s="1" t="s">
        <v>683</v>
      </c>
      <c r="L1258" s="1" t="s">
        <v>35</v>
      </c>
      <c r="M1258" s="2">
        <v>75</v>
      </c>
      <c r="N1258" s="6">
        <v>1.33</v>
      </c>
      <c r="O1258" s="1" t="s">
        <v>67</v>
      </c>
      <c r="P1258" s="1"/>
      <c r="Q1258" s="1" t="s">
        <v>6138</v>
      </c>
      <c r="R1258" s="1"/>
      <c r="S1258" s="121" t="s">
        <v>6137</v>
      </c>
      <c r="T1258" s="5">
        <v>46150</v>
      </c>
      <c r="U1258" s="388"/>
      <c r="V1258" s="83">
        <f>M1258-Z1258-AB1258-AD1258-AF1258-AH1258-AJ1258-AL1258-AN1258-AP1258-AR1258-AT1258-AV1258-AX1258-AZ1258-BB1258-BD1258-BF1258-BH1258-U1258</f>
        <v>75</v>
      </c>
      <c r="W1258" s="4" t="s">
        <v>6139</v>
      </c>
      <c r="X1258" s="1"/>
      <c r="Y1258" s="58"/>
      <c r="Z1258" s="58"/>
    </row>
    <row r="1259" spans="1:27" s="101" customFormat="1" ht="20.25" customHeight="1">
      <c r="A1259" s="3">
        <v>46139</v>
      </c>
      <c r="B1259" s="1" t="s">
        <v>6168</v>
      </c>
      <c r="C1259" s="1" t="s">
        <v>304</v>
      </c>
      <c r="D1259" s="1" t="s">
        <v>212</v>
      </c>
      <c r="E1259" s="1" t="s">
        <v>25</v>
      </c>
      <c r="F1259" s="1" t="s">
        <v>6169</v>
      </c>
      <c r="G1259" s="1" t="s">
        <v>71</v>
      </c>
      <c r="H1259" s="1" t="s">
        <v>31</v>
      </c>
      <c r="I1259" s="1"/>
      <c r="J1259" s="1" t="s">
        <v>27</v>
      </c>
      <c r="K1259" s="1" t="s">
        <v>239</v>
      </c>
      <c r="L1259" s="1" t="s">
        <v>35</v>
      </c>
      <c r="M1259" s="2">
        <v>1675</v>
      </c>
      <c r="N1259" s="6">
        <v>1.33</v>
      </c>
      <c r="O1259" s="1" t="s">
        <v>67</v>
      </c>
      <c r="P1259" s="1" t="s">
        <v>63</v>
      </c>
      <c r="Q1259" s="1" t="s">
        <v>29</v>
      </c>
      <c r="R1259" s="1" t="s">
        <v>6171</v>
      </c>
      <c r="S1259" s="121" t="s">
        <v>6170</v>
      </c>
      <c r="T1259" s="5">
        <v>46153</v>
      </c>
      <c r="U1259" s="388">
        <f>1000-194</f>
        <v>806</v>
      </c>
      <c r="V1259" s="83">
        <f>M1259-Z1259-AB1259-AD1259-AF1259-AH1259-AJ1259-AL1259-AN1259-AP1259-AR1259-AT1259-AV1259-AX1259-AZ1259-BB1259-BD1259-BF1259-BH1259-U1259</f>
        <v>869</v>
      </c>
      <c r="W1259" s="4" t="s">
        <v>6172</v>
      </c>
      <c r="X1259" s="1"/>
      <c r="Y1259" s="58"/>
      <c r="Z1259" s="58"/>
    </row>
    <row r="1260" spans="1:27" s="101" customFormat="1" ht="20.25" customHeight="1">
      <c r="A1260" s="3">
        <v>46139</v>
      </c>
      <c r="B1260" s="1" t="s">
        <v>6173</v>
      </c>
      <c r="C1260" s="1" t="s">
        <v>304</v>
      </c>
      <c r="D1260" s="1" t="s">
        <v>212</v>
      </c>
      <c r="E1260" s="1" t="s">
        <v>25</v>
      </c>
      <c r="F1260" s="1" t="s">
        <v>6174</v>
      </c>
      <c r="G1260" s="1" t="s">
        <v>71</v>
      </c>
      <c r="H1260" s="1" t="s">
        <v>31</v>
      </c>
      <c r="I1260" s="1"/>
      <c r="J1260" s="1" t="s">
        <v>27</v>
      </c>
      <c r="K1260" s="1" t="s">
        <v>1378</v>
      </c>
      <c r="L1260" s="1" t="s">
        <v>35</v>
      </c>
      <c r="M1260" s="2">
        <v>70</v>
      </c>
      <c r="N1260" s="6">
        <v>1.33</v>
      </c>
      <c r="O1260" s="1" t="s">
        <v>67</v>
      </c>
      <c r="P1260" s="1" t="s">
        <v>63</v>
      </c>
      <c r="Q1260" s="1" t="s">
        <v>29</v>
      </c>
      <c r="R1260" s="1" t="s">
        <v>5811</v>
      </c>
      <c r="S1260" s="121" t="s">
        <v>6170</v>
      </c>
      <c r="T1260" s="5">
        <v>46153</v>
      </c>
      <c r="U1260" s="388">
        <v>70</v>
      </c>
      <c r="V1260" s="83">
        <f>M1260-Z1260-AB1260-AD1260-AF1260-AH1260-AJ1260-AL1260-AN1260-AP1260-AR1260-AT1260-AV1260-AX1260-AZ1260-BB1260-BD1260-BF1260-BH1260-U1260</f>
        <v>0</v>
      </c>
      <c r="W1260" s="4" t="s">
        <v>6175</v>
      </c>
      <c r="X1260" s="1"/>
      <c r="Y1260" s="58"/>
      <c r="Z1260" s="58"/>
    </row>
    <row r="1261" spans="1:27" s="101" customFormat="1" ht="20.25" customHeight="1">
      <c r="A1261" s="3">
        <v>46140</v>
      </c>
      <c r="B1261" s="1" t="s">
        <v>6181</v>
      </c>
      <c r="C1261" s="1" t="s">
        <v>1568</v>
      </c>
      <c r="D1261" s="1" t="s">
        <v>212</v>
      </c>
      <c r="E1261" s="1" t="s">
        <v>25</v>
      </c>
      <c r="F1261" s="1" t="s">
        <v>6182</v>
      </c>
      <c r="G1261" s="1" t="s">
        <v>71</v>
      </c>
      <c r="H1261" s="1" t="s">
        <v>31</v>
      </c>
      <c r="I1261" s="1"/>
      <c r="J1261" s="1" t="s">
        <v>27</v>
      </c>
      <c r="K1261" s="1" t="s">
        <v>598</v>
      </c>
      <c r="L1261" s="1" t="s">
        <v>35</v>
      </c>
      <c r="M1261" s="2">
        <v>2664</v>
      </c>
      <c r="N1261" s="6">
        <v>1.33</v>
      </c>
      <c r="O1261" s="1" t="s">
        <v>67</v>
      </c>
      <c r="P1261" s="1" t="s">
        <v>63</v>
      </c>
      <c r="Q1261" s="1" t="s">
        <v>29</v>
      </c>
      <c r="R1261" s="1" t="s">
        <v>4937</v>
      </c>
      <c r="S1261" s="121" t="s">
        <v>6183</v>
      </c>
      <c r="T1261" s="5">
        <v>46161</v>
      </c>
      <c r="U1261" s="388">
        <v>2664</v>
      </c>
      <c r="V1261" s="83">
        <f>M1261-Z1261-AB1261-AD1261-AF1261-AH1261-AJ1261-AL1261-AN1261-AP1261-AR1261-AT1261-AV1261-AX1261-AZ1261-BB1261-BD1261-BF1261-BH1261-U1261</f>
        <v>0</v>
      </c>
      <c r="W1261" s="4" t="s">
        <v>6184</v>
      </c>
      <c r="X1261" s="1"/>
      <c r="Y1261" s="58"/>
      <c r="Z1261" s="58"/>
    </row>
    <row r="1262" spans="1:27" s="101" customFormat="1" ht="20.25" customHeight="1">
      <c r="A1262" s="3">
        <v>46140</v>
      </c>
      <c r="B1262" s="1" t="s">
        <v>6185</v>
      </c>
      <c r="C1262" s="1" t="s">
        <v>228</v>
      </c>
      <c r="D1262" s="1" t="s">
        <v>212</v>
      </c>
      <c r="E1262" s="1" t="s">
        <v>25</v>
      </c>
      <c r="F1262" s="1" t="s">
        <v>6186</v>
      </c>
      <c r="G1262" s="1" t="s">
        <v>71</v>
      </c>
      <c r="H1262" s="1" t="s">
        <v>31</v>
      </c>
      <c r="I1262" s="1"/>
      <c r="J1262" s="1" t="s">
        <v>27</v>
      </c>
      <c r="K1262" s="1" t="s">
        <v>465</v>
      </c>
      <c r="L1262" s="1" t="s">
        <v>35</v>
      </c>
      <c r="M1262" s="2">
        <v>19</v>
      </c>
      <c r="N1262" s="6">
        <v>1.33</v>
      </c>
      <c r="O1262" s="1" t="s">
        <v>67</v>
      </c>
      <c r="P1262" s="1" t="s">
        <v>63</v>
      </c>
      <c r="Q1262" s="1" t="s">
        <v>1263</v>
      </c>
      <c r="R1262" s="1" t="s">
        <v>466</v>
      </c>
      <c r="S1262" s="121" t="s">
        <v>264</v>
      </c>
      <c r="T1262" s="5">
        <v>46147</v>
      </c>
      <c r="U1262" s="388"/>
      <c r="V1262" s="83">
        <f>M1262-Z1262-AB1262-AD1262-AF1262-AH1262-AJ1262-AL1262-AN1262-AP1262-AR1262-AT1262-AV1262-AX1262-AZ1262-BB1262-BD1262-BF1262-BH1262-U1262</f>
        <v>19</v>
      </c>
      <c r="W1262" s="4" t="s">
        <v>6187</v>
      </c>
      <c r="X1262" s="1"/>
      <c r="Y1262" s="58"/>
      <c r="Z1262" s="58"/>
    </row>
    <row r="1263" spans="1:27" s="101" customFormat="1" ht="20.25" customHeight="1">
      <c r="A1263" s="3">
        <v>46142</v>
      </c>
      <c r="B1263" s="1" t="s">
        <v>6212</v>
      </c>
      <c r="C1263" s="1" t="s">
        <v>1773</v>
      </c>
      <c r="D1263" s="1" t="s">
        <v>212</v>
      </c>
      <c r="E1263" s="1" t="s">
        <v>25</v>
      </c>
      <c r="F1263" s="1" t="s">
        <v>6213</v>
      </c>
      <c r="G1263" s="1" t="s">
        <v>71</v>
      </c>
      <c r="H1263" s="1" t="s">
        <v>31</v>
      </c>
      <c r="I1263" s="1"/>
      <c r="J1263" s="1" t="s">
        <v>27</v>
      </c>
      <c r="K1263" s="1" t="s">
        <v>966</v>
      </c>
      <c r="L1263" s="1" t="s">
        <v>35</v>
      </c>
      <c r="M1263" s="2">
        <v>1753</v>
      </c>
      <c r="N1263" s="6">
        <v>1.33</v>
      </c>
      <c r="O1263" s="1" t="s">
        <v>67</v>
      </c>
      <c r="P1263" s="1" t="s">
        <v>63</v>
      </c>
      <c r="Q1263" s="1" t="s">
        <v>29</v>
      </c>
      <c r="R1263" s="1" t="s">
        <v>29</v>
      </c>
      <c r="S1263" s="121" t="s">
        <v>6214</v>
      </c>
      <c r="T1263" s="5">
        <v>46163</v>
      </c>
      <c r="U1263" s="388"/>
      <c r="V1263" s="83">
        <f>M1263-Z1263-AB1263-AD1263-AF1263-AH1263-AJ1263-AL1263-AN1263-AP1263-AR1263-AT1263-AV1263-AX1263-AZ1263-BB1263-BD1263-BF1263-BH1263-U1263</f>
        <v>1753</v>
      </c>
      <c r="W1263" s="4" t="s">
        <v>6215</v>
      </c>
      <c r="X1263" s="1" t="s">
        <v>6220</v>
      </c>
      <c r="Y1263" s="58"/>
      <c r="Z1263" s="58"/>
    </row>
    <row r="1264" spans="1:27" s="101" customFormat="1" ht="20.25" customHeight="1">
      <c r="A1264" s="3">
        <v>46142</v>
      </c>
      <c r="B1264" s="1" t="s">
        <v>6212</v>
      </c>
      <c r="C1264" s="1" t="s">
        <v>1773</v>
      </c>
      <c r="D1264" s="1" t="s">
        <v>212</v>
      </c>
      <c r="E1264" s="1" t="s">
        <v>25</v>
      </c>
      <c r="F1264" s="1" t="s">
        <v>6213</v>
      </c>
      <c r="G1264" s="1" t="s">
        <v>71</v>
      </c>
      <c r="H1264" s="1" t="s">
        <v>31</v>
      </c>
      <c r="I1264" s="1"/>
      <c r="J1264" s="1" t="s">
        <v>27</v>
      </c>
      <c r="K1264" s="1" t="s">
        <v>598</v>
      </c>
      <c r="L1264" s="1" t="s">
        <v>35</v>
      </c>
      <c r="M1264" s="2">
        <v>3446</v>
      </c>
      <c r="N1264" s="6">
        <v>1.33</v>
      </c>
      <c r="O1264" s="1" t="s">
        <v>67</v>
      </c>
      <c r="P1264" s="1" t="s">
        <v>63</v>
      </c>
      <c r="Q1264" s="1" t="s">
        <v>29</v>
      </c>
      <c r="R1264" s="1" t="s">
        <v>29</v>
      </c>
      <c r="S1264" s="121" t="s">
        <v>6214</v>
      </c>
      <c r="T1264" s="5">
        <v>46163</v>
      </c>
      <c r="U1264" s="388"/>
      <c r="V1264" s="83">
        <f>M1264-Z1264-AB1264-AD1264-AF1264-AH1264-AJ1264-AL1264-AN1264-AP1264-AR1264-AT1264-AV1264-AX1264-AZ1264-BB1264-BD1264-BF1264-BH1264-U1264</f>
        <v>3446</v>
      </c>
      <c r="W1264" s="4" t="s">
        <v>6216</v>
      </c>
      <c r="X1264" s="1" t="s">
        <v>6221</v>
      </c>
      <c r="Y1264" s="58"/>
      <c r="Z1264" s="58"/>
    </row>
    <row r="1265" spans="1:26" s="101" customFormat="1" ht="20.25" customHeight="1">
      <c r="A1265" s="3">
        <v>46142</v>
      </c>
      <c r="B1265" s="1" t="s">
        <v>6212</v>
      </c>
      <c r="C1265" s="1" t="s">
        <v>1773</v>
      </c>
      <c r="D1265" s="1" t="s">
        <v>212</v>
      </c>
      <c r="E1265" s="1" t="s">
        <v>25</v>
      </c>
      <c r="F1265" s="1" t="s">
        <v>6213</v>
      </c>
      <c r="G1265" s="1" t="s">
        <v>71</v>
      </c>
      <c r="H1265" s="1" t="s">
        <v>31</v>
      </c>
      <c r="I1265" s="1"/>
      <c r="J1265" s="1" t="s">
        <v>27</v>
      </c>
      <c r="K1265" s="1" t="s">
        <v>598</v>
      </c>
      <c r="L1265" s="1" t="s">
        <v>35</v>
      </c>
      <c r="M1265" s="2">
        <v>2448</v>
      </c>
      <c r="N1265" s="6">
        <v>1.33</v>
      </c>
      <c r="O1265" s="1" t="s">
        <v>67</v>
      </c>
      <c r="P1265" s="1" t="s">
        <v>63</v>
      </c>
      <c r="Q1265" s="1" t="s">
        <v>29</v>
      </c>
      <c r="R1265" s="1" t="s">
        <v>29</v>
      </c>
      <c r="S1265" s="121" t="s">
        <v>6214</v>
      </c>
      <c r="T1265" s="5">
        <v>46163</v>
      </c>
      <c r="U1265" s="388"/>
      <c r="V1265" s="83">
        <f>M1265-Z1265-AB1265-AD1265-AF1265-AH1265-AJ1265-AL1265-AN1265-AP1265-AR1265-AT1265-AV1265-AX1265-AZ1265-BB1265-BD1265-BF1265-BH1265-U1265</f>
        <v>2448</v>
      </c>
      <c r="W1265" s="4" t="s">
        <v>6217</v>
      </c>
      <c r="X1265" s="1" t="s">
        <v>6222</v>
      </c>
      <c r="Y1265" s="58"/>
      <c r="Z1265" s="58"/>
    </row>
    <row r="1266" spans="1:26" s="101" customFormat="1" ht="20.25" customHeight="1">
      <c r="A1266" s="3">
        <v>46142</v>
      </c>
      <c r="B1266" s="1" t="s">
        <v>6212</v>
      </c>
      <c r="C1266" s="1" t="s">
        <v>1773</v>
      </c>
      <c r="D1266" s="1" t="s">
        <v>212</v>
      </c>
      <c r="E1266" s="1" t="s">
        <v>25</v>
      </c>
      <c r="F1266" s="1" t="s">
        <v>6213</v>
      </c>
      <c r="G1266" s="1" t="s">
        <v>71</v>
      </c>
      <c r="H1266" s="1" t="s">
        <v>31</v>
      </c>
      <c r="I1266" s="1"/>
      <c r="J1266" s="1" t="s">
        <v>27</v>
      </c>
      <c r="K1266" s="1" t="s">
        <v>598</v>
      </c>
      <c r="L1266" s="1" t="s">
        <v>35</v>
      </c>
      <c r="M1266" s="2">
        <v>1719</v>
      </c>
      <c r="N1266" s="6">
        <v>1.33</v>
      </c>
      <c r="O1266" s="1" t="s">
        <v>67</v>
      </c>
      <c r="P1266" s="1" t="s">
        <v>63</v>
      </c>
      <c r="Q1266" s="1" t="s">
        <v>29</v>
      </c>
      <c r="R1266" s="1" t="s">
        <v>29</v>
      </c>
      <c r="S1266" s="121" t="s">
        <v>6214</v>
      </c>
      <c r="T1266" s="5">
        <v>46163</v>
      </c>
      <c r="U1266" s="388"/>
      <c r="V1266" s="83">
        <f>M1266-Z1266-AB1266-AD1266-AF1266-AH1266-AJ1266-AL1266-AN1266-AP1266-AR1266-AT1266-AV1266-AX1266-AZ1266-BB1266-BD1266-BF1266-BH1266-U1266</f>
        <v>1719</v>
      </c>
      <c r="W1266" s="4" t="s">
        <v>6218</v>
      </c>
      <c r="X1266" s="1" t="s">
        <v>6223</v>
      </c>
      <c r="Y1266" s="58"/>
      <c r="Z1266" s="58"/>
    </row>
    <row r="1267" spans="1:26" s="101" customFormat="1" ht="20.25" customHeight="1">
      <c r="A1267" s="3">
        <v>46142</v>
      </c>
      <c r="B1267" s="1" t="s">
        <v>6212</v>
      </c>
      <c r="C1267" s="1" t="s">
        <v>1773</v>
      </c>
      <c r="D1267" s="1" t="s">
        <v>212</v>
      </c>
      <c r="E1267" s="1" t="s">
        <v>25</v>
      </c>
      <c r="F1267" s="1" t="s">
        <v>6213</v>
      </c>
      <c r="G1267" s="1" t="s">
        <v>71</v>
      </c>
      <c r="H1267" s="1" t="s">
        <v>31</v>
      </c>
      <c r="I1267" s="1"/>
      <c r="J1267" s="1" t="s">
        <v>27</v>
      </c>
      <c r="K1267" s="1" t="s">
        <v>598</v>
      </c>
      <c r="L1267" s="1" t="s">
        <v>35</v>
      </c>
      <c r="M1267" s="2">
        <v>584</v>
      </c>
      <c r="N1267" s="6">
        <v>1.33</v>
      </c>
      <c r="O1267" s="1" t="s">
        <v>67</v>
      </c>
      <c r="P1267" s="1" t="s">
        <v>63</v>
      </c>
      <c r="Q1267" s="1" t="s">
        <v>29</v>
      </c>
      <c r="R1267" s="1" t="s">
        <v>29</v>
      </c>
      <c r="S1267" s="121" t="s">
        <v>6214</v>
      </c>
      <c r="T1267" s="5">
        <v>46163</v>
      </c>
      <c r="U1267" s="388"/>
      <c r="V1267" s="83">
        <f>M1267-Z1267-AB1267-AD1267-AF1267-AH1267-AJ1267-AL1267-AN1267-AP1267-AR1267-AT1267-AV1267-AX1267-AZ1267-BB1267-BD1267-BF1267-BH1267-U1267</f>
        <v>584</v>
      </c>
      <c r="W1267" s="4" t="s">
        <v>6219</v>
      </c>
      <c r="X1267" s="1" t="s">
        <v>6224</v>
      </c>
      <c r="Y1267" s="58"/>
      <c r="Z1267" s="58"/>
    </row>
    <row r="1268" spans="1:26" s="101" customFormat="1" ht="20.25" customHeight="1">
      <c r="A1268" s="3">
        <v>46146</v>
      </c>
      <c r="B1268" s="1" t="s">
        <v>6229</v>
      </c>
      <c r="C1268" s="1" t="s">
        <v>267</v>
      </c>
      <c r="D1268" s="1" t="s">
        <v>212</v>
      </c>
      <c r="E1268" s="1" t="s">
        <v>34</v>
      </c>
      <c r="F1268" s="1" t="s">
        <v>6233</v>
      </c>
      <c r="G1268" s="1" t="s">
        <v>71</v>
      </c>
      <c r="H1268" s="1" t="s">
        <v>31</v>
      </c>
      <c r="I1268" s="1"/>
      <c r="J1268" s="1" t="s">
        <v>27</v>
      </c>
      <c r="K1268" s="1" t="s">
        <v>306</v>
      </c>
      <c r="L1268" s="1" t="s">
        <v>35</v>
      </c>
      <c r="M1268" s="2">
        <v>100</v>
      </c>
      <c r="N1268" s="6">
        <v>1.33</v>
      </c>
      <c r="O1268" s="1" t="s">
        <v>67</v>
      </c>
      <c r="P1268" s="1" t="s">
        <v>63</v>
      </c>
      <c r="Q1268" s="1" t="s">
        <v>29</v>
      </c>
      <c r="R1268" s="1" t="s">
        <v>1196</v>
      </c>
      <c r="S1268" s="121" t="s">
        <v>6237</v>
      </c>
      <c r="T1268" s="5">
        <v>46160</v>
      </c>
      <c r="U1268" s="388"/>
      <c r="V1268" s="83">
        <f>M1268-Z1268-AB1268-AD1268-AF1268-AH1268-AJ1268-AL1268-AN1268-AP1268-AR1268-AT1268-AV1268-AX1268-AZ1268-BB1268-BD1268-BF1268-BH1268-U1268</f>
        <v>100</v>
      </c>
      <c r="W1268" s="4" t="s">
        <v>6238</v>
      </c>
      <c r="X1268" s="1"/>
      <c r="Y1268" s="58"/>
      <c r="Z1268" s="58"/>
    </row>
    <row r="1269" spans="1:26" s="101" customFormat="1" ht="20.25" customHeight="1">
      <c r="A1269" s="3">
        <v>46146</v>
      </c>
      <c r="B1269" s="1" t="s">
        <v>6230</v>
      </c>
      <c r="C1269" s="1" t="s">
        <v>267</v>
      </c>
      <c r="D1269" s="1" t="s">
        <v>212</v>
      </c>
      <c r="E1269" s="1" t="s">
        <v>34</v>
      </c>
      <c r="F1269" s="1" t="s">
        <v>6234</v>
      </c>
      <c r="G1269" s="1" t="s">
        <v>71</v>
      </c>
      <c r="H1269" s="1" t="s">
        <v>31</v>
      </c>
      <c r="I1269" s="1"/>
      <c r="J1269" s="1" t="s">
        <v>27</v>
      </c>
      <c r="K1269" s="1" t="s">
        <v>913</v>
      </c>
      <c r="L1269" s="1" t="s">
        <v>35</v>
      </c>
      <c r="M1269" s="2">
        <v>175</v>
      </c>
      <c r="N1269" s="6">
        <v>1.33</v>
      </c>
      <c r="O1269" s="1" t="s">
        <v>67</v>
      </c>
      <c r="P1269" s="1" t="s">
        <v>63</v>
      </c>
      <c r="Q1269" s="1" t="s">
        <v>29</v>
      </c>
      <c r="R1269" s="1" t="s">
        <v>4999</v>
      </c>
      <c r="S1269" s="121" t="s">
        <v>6237</v>
      </c>
      <c r="T1269" s="5">
        <v>46160</v>
      </c>
      <c r="U1269" s="388"/>
      <c r="V1269" s="83">
        <f>M1269-Z1269-AB1269-AD1269-AF1269-AH1269-AJ1269-AL1269-AN1269-AP1269-AR1269-AT1269-AV1269-AX1269-AZ1269-BB1269-BD1269-BF1269-BH1269-U1269</f>
        <v>175</v>
      </c>
      <c r="W1269" s="4" t="s">
        <v>6239</v>
      </c>
      <c r="X1269" s="1"/>
      <c r="Y1269" s="58"/>
      <c r="Z1269" s="58"/>
    </row>
    <row r="1270" spans="1:26" s="101" customFormat="1" ht="20.25" customHeight="1">
      <c r="A1270" s="3">
        <v>46146</v>
      </c>
      <c r="B1270" s="1" t="s">
        <v>6231</v>
      </c>
      <c r="C1270" s="1" t="s">
        <v>267</v>
      </c>
      <c r="D1270" s="1" t="s">
        <v>212</v>
      </c>
      <c r="E1270" s="1" t="s">
        <v>34</v>
      </c>
      <c r="F1270" s="1" t="s">
        <v>6235</v>
      </c>
      <c r="G1270" s="1" t="s">
        <v>71</v>
      </c>
      <c r="H1270" s="1" t="s">
        <v>26</v>
      </c>
      <c r="I1270" s="1"/>
      <c r="J1270" s="1" t="s">
        <v>27</v>
      </c>
      <c r="K1270" s="1" t="s">
        <v>957</v>
      </c>
      <c r="L1270" s="1" t="s">
        <v>35</v>
      </c>
      <c r="M1270" s="2">
        <v>125</v>
      </c>
      <c r="N1270" s="6">
        <v>1.33</v>
      </c>
      <c r="O1270" s="1" t="s">
        <v>67</v>
      </c>
      <c r="P1270" s="1" t="s">
        <v>63</v>
      </c>
      <c r="Q1270" s="1" t="s">
        <v>29</v>
      </c>
      <c r="R1270" s="1" t="s">
        <v>5711</v>
      </c>
      <c r="S1270" s="121" t="s">
        <v>6237</v>
      </c>
      <c r="T1270" s="5">
        <v>46160</v>
      </c>
      <c r="U1270" s="388"/>
      <c r="V1270" s="83">
        <f>M1270-Z1270-AB1270-AD1270-AF1270-AH1270-AJ1270-AL1270-AN1270-AP1270-AR1270-AT1270-AV1270-AX1270-AZ1270-BB1270-BD1270-BF1270-BH1270-U1270</f>
        <v>125</v>
      </c>
      <c r="W1270" s="4" t="s">
        <v>6240</v>
      </c>
      <c r="X1270" s="1"/>
      <c r="Y1270" s="58"/>
      <c r="Z1270" s="58"/>
    </row>
    <row r="1271" spans="1:26" s="101" customFormat="1" ht="20.25" customHeight="1">
      <c r="A1271" s="3">
        <v>46146</v>
      </c>
      <c r="B1271" s="1" t="s">
        <v>6232</v>
      </c>
      <c r="C1271" s="1" t="s">
        <v>267</v>
      </c>
      <c r="D1271" s="1" t="s">
        <v>212</v>
      </c>
      <c r="E1271" s="1" t="s">
        <v>34</v>
      </c>
      <c r="F1271" s="1" t="s">
        <v>6236</v>
      </c>
      <c r="G1271" s="1" t="s">
        <v>71</v>
      </c>
      <c r="H1271" s="1" t="s">
        <v>26</v>
      </c>
      <c r="I1271" s="1"/>
      <c r="J1271" s="1" t="s">
        <v>27</v>
      </c>
      <c r="K1271" s="1" t="s">
        <v>1008</v>
      </c>
      <c r="L1271" s="1" t="s">
        <v>35</v>
      </c>
      <c r="M1271" s="2">
        <v>50</v>
      </c>
      <c r="N1271" s="6">
        <v>1.33</v>
      </c>
      <c r="O1271" s="1" t="s">
        <v>67</v>
      </c>
      <c r="P1271" s="1" t="s">
        <v>63</v>
      </c>
      <c r="Q1271" s="1" t="s">
        <v>29</v>
      </c>
      <c r="R1271" s="1" t="s">
        <v>5709</v>
      </c>
      <c r="S1271" s="121" t="s">
        <v>6237</v>
      </c>
      <c r="T1271" s="5">
        <v>46160</v>
      </c>
      <c r="U1271" s="388"/>
      <c r="V1271" s="83">
        <f>M1271-Z1271-AB1271-AD1271-AF1271-AH1271-AJ1271-AL1271-AN1271-AP1271-AR1271-AT1271-AV1271-AX1271-AZ1271-BB1271-BD1271-BF1271-BH1271-U1271</f>
        <v>50</v>
      </c>
      <c r="W1271" s="4" t="s">
        <v>6241</v>
      </c>
      <c r="X1271" s="1"/>
      <c r="Y1271" s="58"/>
      <c r="Z1271" s="58"/>
    </row>
    <row r="1272" spans="1:26" s="101" customFormat="1" ht="20.25" customHeight="1">
      <c r="A1272" s="3">
        <v>46146</v>
      </c>
      <c r="B1272" s="1" t="s">
        <v>6242</v>
      </c>
      <c r="C1272" s="1" t="s">
        <v>267</v>
      </c>
      <c r="D1272" s="1" t="s">
        <v>212</v>
      </c>
      <c r="E1272" s="1" t="s">
        <v>25</v>
      </c>
      <c r="F1272" s="1" t="s">
        <v>6274</v>
      </c>
      <c r="G1272" s="1" t="s">
        <v>71</v>
      </c>
      <c r="H1272" s="1" t="s">
        <v>26</v>
      </c>
      <c r="I1272" s="1"/>
      <c r="J1272" s="1" t="s">
        <v>27</v>
      </c>
      <c r="K1272" s="1" t="s">
        <v>3778</v>
      </c>
      <c r="L1272" s="1" t="s">
        <v>35</v>
      </c>
      <c r="M1272" s="2">
        <v>7245</v>
      </c>
      <c r="N1272" s="6">
        <v>1.33</v>
      </c>
      <c r="O1272" s="1" t="s">
        <v>67</v>
      </c>
      <c r="P1272" s="1" t="s">
        <v>63</v>
      </c>
      <c r="Q1272" s="1" t="s">
        <v>29</v>
      </c>
      <c r="R1272" s="1" t="s">
        <v>5707</v>
      </c>
      <c r="S1272" s="121" t="s">
        <v>6331</v>
      </c>
      <c r="T1272" s="5">
        <v>46171</v>
      </c>
      <c r="U1272" s="388"/>
      <c r="V1272" s="83">
        <f>M1272-Z1272-AB1272-AD1272-AF1272-AH1272-AJ1272-AL1272-AN1272-AP1272-AR1272-AT1272-AV1272-AX1272-AZ1272-BB1272-BD1272-BF1272-BH1272-U1272</f>
        <v>7245</v>
      </c>
      <c r="W1272" s="4" t="s">
        <v>6335</v>
      </c>
      <c r="X1272" s="1"/>
      <c r="Y1272" s="58"/>
      <c r="Z1272" s="58"/>
    </row>
    <row r="1273" spans="1:26" s="101" customFormat="1" ht="20.25" customHeight="1">
      <c r="A1273" s="3">
        <v>46146</v>
      </c>
      <c r="B1273" s="1" t="s">
        <v>6243</v>
      </c>
      <c r="C1273" s="1" t="s">
        <v>267</v>
      </c>
      <c r="D1273" s="1" t="s">
        <v>212</v>
      </c>
      <c r="E1273" s="1" t="s">
        <v>25</v>
      </c>
      <c r="F1273" s="1" t="s">
        <v>6275</v>
      </c>
      <c r="G1273" s="1" t="s">
        <v>71</v>
      </c>
      <c r="H1273" s="1" t="s">
        <v>31</v>
      </c>
      <c r="I1273" s="1"/>
      <c r="J1273" s="1" t="s">
        <v>27</v>
      </c>
      <c r="K1273" s="1" t="s">
        <v>1378</v>
      </c>
      <c r="L1273" s="1" t="s">
        <v>35</v>
      </c>
      <c r="M1273" s="2">
        <v>5315</v>
      </c>
      <c r="N1273" s="6">
        <v>1.33</v>
      </c>
      <c r="O1273" s="1" t="s">
        <v>67</v>
      </c>
      <c r="P1273" s="1" t="s">
        <v>63</v>
      </c>
      <c r="Q1273" s="1" t="s">
        <v>29</v>
      </c>
      <c r="R1273" s="1" t="s">
        <v>6311</v>
      </c>
      <c r="S1273" s="121" t="s">
        <v>6331</v>
      </c>
      <c r="T1273" s="5">
        <v>46171</v>
      </c>
      <c r="U1273" s="388"/>
      <c r="V1273" s="83">
        <f>M1273-Z1273-AB1273-AD1273-AF1273-AH1273-AJ1273-AL1273-AN1273-AP1273-AR1273-AT1273-AV1273-AX1273-AZ1273-BB1273-BD1273-BF1273-BH1273-U1273</f>
        <v>5315</v>
      </c>
      <c r="W1273" s="4" t="s">
        <v>6336</v>
      </c>
      <c r="X1273" s="1"/>
      <c r="Y1273" s="58"/>
      <c r="Z1273" s="58"/>
    </row>
    <row r="1274" spans="1:26" s="101" customFormat="1" ht="20.25" customHeight="1">
      <c r="A1274" s="3">
        <v>46146</v>
      </c>
      <c r="B1274" s="1" t="s">
        <v>6244</v>
      </c>
      <c r="C1274" s="1" t="s">
        <v>267</v>
      </c>
      <c r="D1274" s="1" t="s">
        <v>212</v>
      </c>
      <c r="E1274" s="1" t="s">
        <v>25</v>
      </c>
      <c r="F1274" s="1" t="s">
        <v>6276</v>
      </c>
      <c r="G1274" s="1" t="s">
        <v>71</v>
      </c>
      <c r="H1274" s="1" t="s">
        <v>26</v>
      </c>
      <c r="I1274" s="1"/>
      <c r="J1274" s="1" t="s">
        <v>27</v>
      </c>
      <c r="K1274" s="1" t="s">
        <v>613</v>
      </c>
      <c r="L1274" s="1" t="s">
        <v>35</v>
      </c>
      <c r="M1274" s="2">
        <v>255</v>
      </c>
      <c r="N1274" s="6">
        <v>1.33</v>
      </c>
      <c r="O1274" s="1" t="s">
        <v>67</v>
      </c>
      <c r="P1274" s="1" t="s">
        <v>63</v>
      </c>
      <c r="Q1274" s="1" t="s">
        <v>29</v>
      </c>
      <c r="R1274" s="1" t="s">
        <v>6312</v>
      </c>
      <c r="S1274" s="121" t="s">
        <v>6331</v>
      </c>
      <c r="T1274" s="5">
        <v>46171</v>
      </c>
      <c r="U1274" s="388"/>
      <c r="V1274" s="83">
        <f>M1274-Z1274-AB1274-AD1274-AF1274-AH1274-AJ1274-AL1274-AN1274-AP1274-AR1274-AT1274-AV1274-AX1274-AZ1274-BB1274-BD1274-BF1274-BH1274-U1274</f>
        <v>255</v>
      </c>
      <c r="W1274" s="4" t="s">
        <v>6337</v>
      </c>
      <c r="X1274" s="1"/>
      <c r="Y1274" s="58"/>
      <c r="Z1274" s="58"/>
    </row>
    <row r="1275" spans="1:26" s="101" customFormat="1" ht="20.25" customHeight="1">
      <c r="A1275" s="3">
        <v>46146</v>
      </c>
      <c r="B1275" s="1" t="s">
        <v>6245</v>
      </c>
      <c r="C1275" s="1" t="s">
        <v>267</v>
      </c>
      <c r="D1275" s="1" t="s">
        <v>212</v>
      </c>
      <c r="E1275" s="1" t="s">
        <v>25</v>
      </c>
      <c r="F1275" s="1" t="s">
        <v>6277</v>
      </c>
      <c r="G1275" s="1" t="s">
        <v>71</v>
      </c>
      <c r="H1275" s="1" t="s">
        <v>26</v>
      </c>
      <c r="I1275" s="1"/>
      <c r="J1275" s="1" t="s">
        <v>27</v>
      </c>
      <c r="K1275" s="1" t="s">
        <v>613</v>
      </c>
      <c r="L1275" s="1" t="s">
        <v>35</v>
      </c>
      <c r="M1275" s="2">
        <v>1195</v>
      </c>
      <c r="N1275" s="6">
        <v>1.33</v>
      </c>
      <c r="O1275" s="1" t="s">
        <v>67</v>
      </c>
      <c r="P1275" s="1" t="s">
        <v>63</v>
      </c>
      <c r="Q1275" s="1" t="s">
        <v>29</v>
      </c>
      <c r="R1275" s="1" t="s">
        <v>6313</v>
      </c>
      <c r="S1275" s="121" t="s">
        <v>6331</v>
      </c>
      <c r="T1275" s="5">
        <v>46171</v>
      </c>
      <c r="U1275" s="388"/>
      <c r="V1275" s="83">
        <f>M1275-Z1275-AB1275-AD1275-AF1275-AH1275-AJ1275-AL1275-AN1275-AP1275-AR1275-AT1275-AV1275-AX1275-AZ1275-BB1275-BD1275-BF1275-BH1275-U1275</f>
        <v>1195</v>
      </c>
      <c r="W1275" s="4" t="s">
        <v>6338</v>
      </c>
      <c r="X1275" s="1"/>
      <c r="Y1275" s="58"/>
      <c r="Z1275" s="58"/>
    </row>
    <row r="1276" spans="1:26" s="101" customFormat="1" ht="20.25" customHeight="1">
      <c r="A1276" s="3">
        <v>46146</v>
      </c>
      <c r="B1276" s="1" t="s">
        <v>6246</v>
      </c>
      <c r="C1276" s="1" t="s">
        <v>267</v>
      </c>
      <c r="D1276" s="1" t="s">
        <v>212</v>
      </c>
      <c r="E1276" s="1" t="s">
        <v>25</v>
      </c>
      <c r="F1276" s="1" t="s">
        <v>6278</v>
      </c>
      <c r="G1276" s="1" t="s">
        <v>71</v>
      </c>
      <c r="H1276" s="1" t="s">
        <v>26</v>
      </c>
      <c r="I1276" s="1"/>
      <c r="J1276" s="1" t="s">
        <v>27</v>
      </c>
      <c r="K1276" s="1" t="s">
        <v>6306</v>
      </c>
      <c r="L1276" s="1" t="s">
        <v>35</v>
      </c>
      <c r="M1276" s="2">
        <v>1485</v>
      </c>
      <c r="N1276" s="6">
        <v>1.33</v>
      </c>
      <c r="O1276" s="1" t="s">
        <v>1063</v>
      </c>
      <c r="P1276" s="1" t="s">
        <v>63</v>
      </c>
      <c r="Q1276" s="1" t="s">
        <v>29</v>
      </c>
      <c r="R1276" s="1" t="s">
        <v>6314</v>
      </c>
      <c r="S1276" s="121" t="s">
        <v>6331</v>
      </c>
      <c r="T1276" s="5">
        <v>46171</v>
      </c>
      <c r="U1276" s="388"/>
      <c r="V1276" s="83">
        <f>M1276-Z1276-AB1276-AD1276-AF1276-AH1276-AJ1276-AL1276-AN1276-AP1276-AR1276-AT1276-AV1276-AX1276-AZ1276-BB1276-BD1276-BF1276-BH1276-U1276</f>
        <v>1485</v>
      </c>
      <c r="W1276" s="4" t="s">
        <v>6339</v>
      </c>
      <c r="X1276" s="1"/>
      <c r="Y1276" s="58"/>
      <c r="Z1276" s="58"/>
    </row>
    <row r="1277" spans="1:26" s="101" customFormat="1" ht="20.25" customHeight="1">
      <c r="A1277" s="3">
        <v>46146</v>
      </c>
      <c r="B1277" s="1" t="s">
        <v>6247</v>
      </c>
      <c r="C1277" s="1" t="s">
        <v>267</v>
      </c>
      <c r="D1277" s="1" t="s">
        <v>212</v>
      </c>
      <c r="E1277" s="1" t="s">
        <v>25</v>
      </c>
      <c r="F1277" s="1" t="s">
        <v>6279</v>
      </c>
      <c r="G1277" s="1" t="s">
        <v>71</v>
      </c>
      <c r="H1277" s="1" t="s">
        <v>26</v>
      </c>
      <c r="I1277" s="1"/>
      <c r="J1277" s="1" t="s">
        <v>27</v>
      </c>
      <c r="K1277" s="1" t="s">
        <v>3778</v>
      </c>
      <c r="L1277" s="1" t="s">
        <v>35</v>
      </c>
      <c r="M1277" s="2">
        <v>6185</v>
      </c>
      <c r="N1277" s="6">
        <v>1.33</v>
      </c>
      <c r="O1277" s="1" t="s">
        <v>67</v>
      </c>
      <c r="P1277" s="1" t="s">
        <v>63</v>
      </c>
      <c r="Q1277" s="1" t="s">
        <v>29</v>
      </c>
      <c r="R1277" s="1" t="s">
        <v>713</v>
      </c>
      <c r="S1277" s="121" t="s">
        <v>6331</v>
      </c>
      <c r="T1277" s="5">
        <v>46171</v>
      </c>
      <c r="U1277" s="388"/>
      <c r="V1277" s="83">
        <f>M1277-Z1277-AB1277-AD1277-AF1277-AH1277-AJ1277-AL1277-AN1277-AP1277-AR1277-AT1277-AV1277-AX1277-AZ1277-BB1277-BD1277-BF1277-BH1277-U1277</f>
        <v>6185</v>
      </c>
      <c r="W1277" s="4" t="s">
        <v>6340</v>
      </c>
      <c r="X1277" s="1"/>
      <c r="Y1277" s="58"/>
      <c r="Z1277" s="58"/>
    </row>
    <row r="1278" spans="1:26" s="101" customFormat="1" ht="20.25" customHeight="1">
      <c r="A1278" s="3">
        <v>46146</v>
      </c>
      <c r="B1278" s="1" t="s">
        <v>6248</v>
      </c>
      <c r="C1278" s="1" t="s">
        <v>267</v>
      </c>
      <c r="D1278" s="1" t="s">
        <v>212</v>
      </c>
      <c r="E1278" s="1" t="s">
        <v>25</v>
      </c>
      <c r="F1278" s="1" t="s">
        <v>6280</v>
      </c>
      <c r="G1278" s="1" t="s">
        <v>71</v>
      </c>
      <c r="H1278" s="1" t="s">
        <v>26</v>
      </c>
      <c r="I1278" s="1"/>
      <c r="J1278" s="1" t="s">
        <v>27</v>
      </c>
      <c r="K1278" s="1" t="s">
        <v>613</v>
      </c>
      <c r="L1278" s="1" t="s">
        <v>35</v>
      </c>
      <c r="M1278" s="2">
        <v>3400</v>
      </c>
      <c r="N1278" s="6">
        <v>1.33</v>
      </c>
      <c r="O1278" s="1" t="s">
        <v>67</v>
      </c>
      <c r="P1278" s="1" t="s">
        <v>63</v>
      </c>
      <c r="Q1278" s="1" t="s">
        <v>29</v>
      </c>
      <c r="R1278" s="1" t="s">
        <v>964</v>
      </c>
      <c r="S1278" s="121" t="s">
        <v>6331</v>
      </c>
      <c r="T1278" s="5">
        <v>46171</v>
      </c>
      <c r="U1278" s="388"/>
      <c r="V1278" s="83">
        <f>M1278-Z1278-AB1278-AD1278-AF1278-AH1278-AJ1278-AL1278-AN1278-AP1278-AR1278-AT1278-AV1278-AX1278-AZ1278-BB1278-BD1278-BF1278-BH1278-U1278</f>
        <v>3400</v>
      </c>
      <c r="W1278" s="4" t="s">
        <v>6341</v>
      </c>
      <c r="X1278" s="1"/>
      <c r="Y1278" s="58"/>
      <c r="Z1278" s="58"/>
    </row>
    <row r="1279" spans="1:26" s="101" customFormat="1" ht="20.25" customHeight="1">
      <c r="A1279" s="3">
        <v>46146</v>
      </c>
      <c r="B1279" s="1" t="s">
        <v>6249</v>
      </c>
      <c r="C1279" s="1" t="s">
        <v>267</v>
      </c>
      <c r="D1279" s="1" t="s">
        <v>212</v>
      </c>
      <c r="E1279" s="1" t="s">
        <v>25</v>
      </c>
      <c r="F1279" s="1" t="s">
        <v>6281</v>
      </c>
      <c r="G1279" s="1" t="s">
        <v>71</v>
      </c>
      <c r="H1279" s="1" t="s">
        <v>31</v>
      </c>
      <c r="I1279" s="1"/>
      <c r="J1279" s="1" t="s">
        <v>27</v>
      </c>
      <c r="K1279" s="1" t="s">
        <v>613</v>
      </c>
      <c r="L1279" s="1" t="s">
        <v>35</v>
      </c>
      <c r="M1279" s="2">
        <v>3215</v>
      </c>
      <c r="N1279" s="6">
        <v>1.33</v>
      </c>
      <c r="O1279" s="1" t="s">
        <v>67</v>
      </c>
      <c r="P1279" s="1" t="s">
        <v>63</v>
      </c>
      <c r="Q1279" s="1" t="s">
        <v>29</v>
      </c>
      <c r="R1279" s="1" t="s">
        <v>5859</v>
      </c>
      <c r="S1279" s="121" t="s">
        <v>6331</v>
      </c>
      <c r="T1279" s="5">
        <v>46171</v>
      </c>
      <c r="U1279" s="388"/>
      <c r="V1279" s="83">
        <f>M1279-Z1279-AB1279-AD1279-AF1279-AH1279-AJ1279-AL1279-AN1279-AP1279-AR1279-AT1279-AV1279-AX1279-AZ1279-BB1279-BD1279-BF1279-BH1279-U1279</f>
        <v>3215</v>
      </c>
      <c r="W1279" s="4" t="s">
        <v>6342</v>
      </c>
      <c r="X1279" s="1"/>
      <c r="Y1279" s="58"/>
      <c r="Z1279" s="58"/>
    </row>
    <row r="1280" spans="1:26" s="101" customFormat="1" ht="20.25" customHeight="1">
      <c r="A1280" s="3">
        <v>46146</v>
      </c>
      <c r="B1280" s="1" t="s">
        <v>6250</v>
      </c>
      <c r="C1280" s="1" t="s">
        <v>267</v>
      </c>
      <c r="D1280" s="1" t="s">
        <v>212</v>
      </c>
      <c r="E1280" s="1" t="s">
        <v>25</v>
      </c>
      <c r="F1280" s="1" t="s">
        <v>6282</v>
      </c>
      <c r="G1280" s="1" t="s">
        <v>71</v>
      </c>
      <c r="H1280" s="1" t="s">
        <v>31</v>
      </c>
      <c r="I1280" s="1"/>
      <c r="J1280" s="1" t="s">
        <v>27</v>
      </c>
      <c r="K1280" s="1" t="s">
        <v>3778</v>
      </c>
      <c r="L1280" s="1" t="s">
        <v>35</v>
      </c>
      <c r="M1280" s="2">
        <v>4775</v>
      </c>
      <c r="N1280" s="6">
        <v>1.33</v>
      </c>
      <c r="O1280" s="1" t="s">
        <v>67</v>
      </c>
      <c r="P1280" s="1" t="s">
        <v>63</v>
      </c>
      <c r="Q1280" s="1" t="s">
        <v>29</v>
      </c>
      <c r="R1280" s="1" t="s">
        <v>4999</v>
      </c>
      <c r="S1280" s="121" t="s">
        <v>6331</v>
      </c>
      <c r="T1280" s="5">
        <v>46171</v>
      </c>
      <c r="U1280" s="388"/>
      <c r="V1280" s="83">
        <f>M1280-Z1280-AB1280-AD1280-AF1280-AH1280-AJ1280-AL1280-AN1280-AP1280-AR1280-AT1280-AV1280-AX1280-AZ1280-BB1280-BD1280-BF1280-BH1280-U1280</f>
        <v>4775</v>
      </c>
      <c r="W1280" s="4" t="s">
        <v>6343</v>
      </c>
      <c r="X1280" s="1"/>
      <c r="Y1280" s="58"/>
      <c r="Z1280" s="58"/>
    </row>
    <row r="1281" spans="1:26" s="101" customFormat="1" ht="20.25" customHeight="1">
      <c r="A1281" s="3">
        <v>46146</v>
      </c>
      <c r="B1281" s="1" t="s">
        <v>6251</v>
      </c>
      <c r="C1281" s="1" t="s">
        <v>267</v>
      </c>
      <c r="D1281" s="1" t="s">
        <v>212</v>
      </c>
      <c r="E1281" s="1" t="s">
        <v>25</v>
      </c>
      <c r="F1281" s="1" t="s">
        <v>6283</v>
      </c>
      <c r="G1281" s="1" t="s">
        <v>71</v>
      </c>
      <c r="H1281" s="1" t="s">
        <v>31</v>
      </c>
      <c r="I1281" s="1"/>
      <c r="J1281" s="1" t="s">
        <v>27</v>
      </c>
      <c r="K1281" s="1" t="s">
        <v>957</v>
      </c>
      <c r="L1281" s="1" t="s">
        <v>35</v>
      </c>
      <c r="M1281" s="2">
        <v>1070</v>
      </c>
      <c r="N1281" s="6">
        <v>1.33</v>
      </c>
      <c r="O1281" s="1" t="s">
        <v>67</v>
      </c>
      <c r="P1281" s="1" t="s">
        <v>63</v>
      </c>
      <c r="Q1281" s="1" t="s">
        <v>29</v>
      </c>
      <c r="R1281" s="1" t="s">
        <v>5860</v>
      </c>
      <c r="S1281" s="121" t="s">
        <v>6331</v>
      </c>
      <c r="T1281" s="5">
        <v>46171</v>
      </c>
      <c r="U1281" s="388"/>
      <c r="V1281" s="83">
        <f>M1281-Z1281-AB1281-AD1281-AF1281-AH1281-AJ1281-AL1281-AN1281-AP1281-AR1281-AT1281-AV1281-AX1281-AZ1281-BB1281-BD1281-BF1281-BH1281-U1281</f>
        <v>1070</v>
      </c>
      <c r="W1281" s="4" t="s">
        <v>6344</v>
      </c>
      <c r="X1281" s="1"/>
      <c r="Y1281" s="58"/>
      <c r="Z1281" s="58"/>
    </row>
    <row r="1282" spans="1:26" s="101" customFormat="1" ht="20.25" customHeight="1">
      <c r="A1282" s="3">
        <v>46146</v>
      </c>
      <c r="B1282" s="1" t="s">
        <v>6252</v>
      </c>
      <c r="C1282" s="1" t="s">
        <v>267</v>
      </c>
      <c r="D1282" s="1" t="s">
        <v>212</v>
      </c>
      <c r="E1282" s="1" t="s">
        <v>25</v>
      </c>
      <c r="F1282" s="1" t="s">
        <v>6284</v>
      </c>
      <c r="G1282" s="1" t="s">
        <v>71</v>
      </c>
      <c r="H1282" s="1" t="s">
        <v>31</v>
      </c>
      <c r="I1282" s="1"/>
      <c r="J1282" s="1" t="s">
        <v>27</v>
      </c>
      <c r="K1282" s="1" t="s">
        <v>598</v>
      </c>
      <c r="L1282" s="1" t="s">
        <v>35</v>
      </c>
      <c r="M1282" s="2">
        <v>300</v>
      </c>
      <c r="N1282" s="6">
        <v>1.33</v>
      </c>
      <c r="O1282" s="1" t="s">
        <v>67</v>
      </c>
      <c r="P1282" s="1" t="s">
        <v>63</v>
      </c>
      <c r="Q1282" s="1" t="s">
        <v>29</v>
      </c>
      <c r="R1282" s="1" t="s">
        <v>4858</v>
      </c>
      <c r="S1282" s="121" t="s">
        <v>6332</v>
      </c>
      <c r="T1282" s="5">
        <v>46167</v>
      </c>
      <c r="U1282" s="388"/>
      <c r="V1282" s="83">
        <f>M1282-Z1282-AB1282-AD1282-AF1282-AH1282-AJ1282-AL1282-AN1282-AP1282-AR1282-AT1282-AV1282-AX1282-AZ1282-BB1282-BD1282-BF1282-BH1282-U1282</f>
        <v>300</v>
      </c>
      <c r="W1282" s="4" t="s">
        <v>6345</v>
      </c>
      <c r="X1282" s="1"/>
      <c r="Y1282" s="58"/>
      <c r="Z1282" s="58"/>
    </row>
    <row r="1283" spans="1:26" s="101" customFormat="1" ht="20.25" customHeight="1">
      <c r="A1283" s="3">
        <v>46146</v>
      </c>
      <c r="B1283" s="1" t="s">
        <v>6253</v>
      </c>
      <c r="C1283" s="1" t="s">
        <v>400</v>
      </c>
      <c r="D1283" s="1" t="s">
        <v>212</v>
      </c>
      <c r="E1283" s="1" t="s">
        <v>25</v>
      </c>
      <c r="F1283" s="1" t="s">
        <v>6285</v>
      </c>
      <c r="G1283" s="1" t="s">
        <v>71</v>
      </c>
      <c r="H1283" s="1" t="s">
        <v>31</v>
      </c>
      <c r="I1283" s="1"/>
      <c r="J1283" s="1" t="s">
        <v>27</v>
      </c>
      <c r="K1283" s="1" t="s">
        <v>372</v>
      </c>
      <c r="L1283" s="1" t="s">
        <v>35</v>
      </c>
      <c r="M1283" s="2">
        <v>27.43</v>
      </c>
      <c r="N1283" s="6">
        <v>1.33</v>
      </c>
      <c r="O1283" s="1" t="s">
        <v>67</v>
      </c>
      <c r="P1283" s="1" t="s">
        <v>63</v>
      </c>
      <c r="Q1283" s="1" t="s">
        <v>2494</v>
      </c>
      <c r="R1283" s="1" t="s">
        <v>6315</v>
      </c>
      <c r="S1283" s="121" t="s">
        <v>6237</v>
      </c>
      <c r="T1283" s="5">
        <v>46160</v>
      </c>
      <c r="U1283" s="388"/>
      <c r="V1283" s="83">
        <f>M1283-Z1283-AB1283-AD1283-AF1283-AH1283-AJ1283-AL1283-AN1283-AP1283-AR1283-AT1283-AV1283-AX1283-AZ1283-BB1283-BD1283-BF1283-BH1283-U1283</f>
        <v>27.43</v>
      </c>
      <c r="W1283" s="4" t="s">
        <v>6346</v>
      </c>
      <c r="X1283" s="1"/>
      <c r="Y1283" s="58"/>
      <c r="Z1283" s="58"/>
    </row>
    <row r="1284" spans="1:26" s="101" customFormat="1" ht="20.25" customHeight="1">
      <c r="A1284" s="3">
        <v>46146</v>
      </c>
      <c r="B1284" s="1" t="s">
        <v>6254</v>
      </c>
      <c r="C1284" s="1" t="s">
        <v>400</v>
      </c>
      <c r="D1284" s="1" t="s">
        <v>212</v>
      </c>
      <c r="E1284" s="1" t="s">
        <v>25</v>
      </c>
      <c r="F1284" s="1" t="s">
        <v>6286</v>
      </c>
      <c r="G1284" s="1" t="s">
        <v>71</v>
      </c>
      <c r="H1284" s="1" t="s">
        <v>31</v>
      </c>
      <c r="I1284" s="1"/>
      <c r="J1284" s="1" t="s">
        <v>27</v>
      </c>
      <c r="K1284" s="1" t="s">
        <v>613</v>
      </c>
      <c r="L1284" s="1" t="s">
        <v>35</v>
      </c>
      <c r="M1284" s="2">
        <v>26387.95</v>
      </c>
      <c r="N1284" s="6">
        <v>1.33</v>
      </c>
      <c r="O1284" s="1" t="s">
        <v>67</v>
      </c>
      <c r="P1284" s="1" t="s">
        <v>63</v>
      </c>
      <c r="Q1284" s="1" t="s">
        <v>1562</v>
      </c>
      <c r="R1284" s="1" t="s">
        <v>4901</v>
      </c>
      <c r="S1284" s="121" t="s">
        <v>6331</v>
      </c>
      <c r="T1284" s="5">
        <v>46171</v>
      </c>
      <c r="U1284" s="388"/>
      <c r="V1284" s="83">
        <f>M1284-Z1284-AB1284-AD1284-AF1284-AH1284-AJ1284-AL1284-AN1284-AP1284-AR1284-AT1284-AV1284-AX1284-AZ1284-BB1284-BD1284-BF1284-BH1284-U1284</f>
        <v>26387.95</v>
      </c>
      <c r="W1284" s="4" t="s">
        <v>6347</v>
      </c>
      <c r="X1284" s="1"/>
      <c r="Y1284" s="58"/>
      <c r="Z1284" s="58"/>
    </row>
    <row r="1285" spans="1:26" s="101" customFormat="1" ht="20.25" customHeight="1">
      <c r="A1285" s="3">
        <v>46146</v>
      </c>
      <c r="B1285" s="1" t="s">
        <v>6255</v>
      </c>
      <c r="C1285" s="1" t="s">
        <v>1568</v>
      </c>
      <c r="D1285" s="1" t="s">
        <v>212</v>
      </c>
      <c r="E1285" s="1" t="s">
        <v>25</v>
      </c>
      <c r="F1285" s="1" t="s">
        <v>6287</v>
      </c>
      <c r="G1285" s="1" t="s">
        <v>71</v>
      </c>
      <c r="H1285" s="1" t="s">
        <v>31</v>
      </c>
      <c r="I1285" s="1"/>
      <c r="J1285" s="1" t="s">
        <v>27</v>
      </c>
      <c r="K1285" s="1" t="s">
        <v>1012</v>
      </c>
      <c r="L1285" s="1" t="s">
        <v>35</v>
      </c>
      <c r="M1285" s="2">
        <v>996</v>
      </c>
      <c r="N1285" s="6">
        <v>1.33</v>
      </c>
      <c r="O1285" s="1" t="s">
        <v>67</v>
      </c>
      <c r="P1285" s="1" t="s">
        <v>63</v>
      </c>
      <c r="Q1285" s="1" t="s">
        <v>29</v>
      </c>
      <c r="R1285" s="1" t="s">
        <v>2497</v>
      </c>
      <c r="S1285" s="121" t="s">
        <v>6332</v>
      </c>
      <c r="T1285" s="5">
        <v>46167</v>
      </c>
      <c r="U1285" s="388"/>
      <c r="V1285" s="83">
        <f>M1285-Z1285-AB1285-AD1285-AF1285-AH1285-AJ1285-AL1285-AN1285-AP1285-AR1285-AT1285-AV1285-AX1285-AZ1285-BB1285-BD1285-BF1285-BH1285-U1285</f>
        <v>996</v>
      </c>
      <c r="W1285" s="4" t="s">
        <v>6348</v>
      </c>
      <c r="X1285" s="1"/>
      <c r="Y1285" s="58"/>
      <c r="Z1285" s="58"/>
    </row>
    <row r="1286" spans="1:26" s="101" customFormat="1" ht="20.25" customHeight="1">
      <c r="A1286" s="3">
        <v>46146</v>
      </c>
      <c r="B1286" s="1" t="s">
        <v>6256</v>
      </c>
      <c r="C1286" s="1" t="s">
        <v>228</v>
      </c>
      <c r="D1286" s="1" t="s">
        <v>212</v>
      </c>
      <c r="E1286" s="1" t="s">
        <v>25</v>
      </c>
      <c r="F1286" s="1" t="s">
        <v>6288</v>
      </c>
      <c r="G1286" s="1" t="s">
        <v>71</v>
      </c>
      <c r="H1286" s="1" t="s">
        <v>31</v>
      </c>
      <c r="I1286" s="1"/>
      <c r="J1286" s="1" t="s">
        <v>27</v>
      </c>
      <c r="K1286" s="1" t="s">
        <v>1470</v>
      </c>
      <c r="L1286" s="1" t="s">
        <v>35</v>
      </c>
      <c r="M1286" s="2">
        <v>1068.98</v>
      </c>
      <c r="N1286" s="6">
        <v>1.33</v>
      </c>
      <c r="O1286" s="1" t="s">
        <v>67</v>
      </c>
      <c r="P1286" s="1" t="s">
        <v>63</v>
      </c>
      <c r="Q1286" s="1" t="s">
        <v>470</v>
      </c>
      <c r="R1286" s="1" t="s">
        <v>466</v>
      </c>
      <c r="S1286" s="121" t="s">
        <v>6332</v>
      </c>
      <c r="T1286" s="5">
        <v>46167</v>
      </c>
      <c r="U1286" s="388"/>
      <c r="V1286" s="83">
        <f>M1286-Z1286-AB1286-AD1286-AF1286-AH1286-AJ1286-AL1286-AN1286-AP1286-AR1286-AT1286-AV1286-AX1286-AZ1286-BB1286-BD1286-BF1286-BH1286-U1286</f>
        <v>1068.98</v>
      </c>
      <c r="W1286" s="4" t="s">
        <v>6349</v>
      </c>
      <c r="X1286" s="1"/>
      <c r="Y1286" s="58"/>
      <c r="Z1286" s="58"/>
    </row>
    <row r="1287" spans="1:26" s="101" customFormat="1" ht="20.25" customHeight="1">
      <c r="A1287" s="3">
        <v>46146</v>
      </c>
      <c r="B1287" s="1" t="s">
        <v>6257</v>
      </c>
      <c r="C1287" s="1" t="s">
        <v>382</v>
      </c>
      <c r="D1287" s="1" t="s">
        <v>212</v>
      </c>
      <c r="E1287" s="1" t="s">
        <v>25</v>
      </c>
      <c r="F1287" s="1" t="s">
        <v>6289</v>
      </c>
      <c r="G1287" s="1" t="s">
        <v>71</v>
      </c>
      <c r="H1287" s="1" t="s">
        <v>31</v>
      </c>
      <c r="I1287" s="1"/>
      <c r="J1287" s="1" t="s">
        <v>27</v>
      </c>
      <c r="K1287" s="1" t="s">
        <v>957</v>
      </c>
      <c r="L1287" s="1" t="s">
        <v>35</v>
      </c>
      <c r="M1287" s="2">
        <v>188.47</v>
      </c>
      <c r="N1287" s="6">
        <v>1.33</v>
      </c>
      <c r="O1287" s="1" t="s">
        <v>67</v>
      </c>
      <c r="P1287" s="1" t="s">
        <v>63</v>
      </c>
      <c r="Q1287" s="1" t="s">
        <v>6316</v>
      </c>
      <c r="R1287" s="1" t="s">
        <v>6317</v>
      </c>
      <c r="S1287" s="121" t="s">
        <v>6237</v>
      </c>
      <c r="T1287" s="5">
        <v>46160</v>
      </c>
      <c r="U1287" s="388"/>
      <c r="V1287" s="83">
        <f>M1287-Z1287-AB1287-AD1287-AF1287-AH1287-AJ1287-AL1287-AN1287-AP1287-AR1287-AT1287-AV1287-AX1287-AZ1287-BB1287-BD1287-BF1287-BH1287-U1287</f>
        <v>188.47</v>
      </c>
      <c r="W1287" s="4" t="s">
        <v>6350</v>
      </c>
      <c r="X1287" s="1"/>
      <c r="Y1287" s="58"/>
      <c r="Z1287" s="58"/>
    </row>
    <row r="1288" spans="1:26" s="101" customFormat="1" ht="20.25" customHeight="1">
      <c r="A1288" s="3">
        <v>46146</v>
      </c>
      <c r="B1288" s="1" t="s">
        <v>6258</v>
      </c>
      <c r="C1288" s="1" t="s">
        <v>382</v>
      </c>
      <c r="D1288" s="1" t="s">
        <v>212</v>
      </c>
      <c r="E1288" s="1" t="s">
        <v>25</v>
      </c>
      <c r="F1288" s="1" t="s">
        <v>6290</v>
      </c>
      <c r="G1288" s="1" t="s">
        <v>71</v>
      </c>
      <c r="H1288" s="1" t="s">
        <v>31</v>
      </c>
      <c r="I1288" s="1"/>
      <c r="J1288" s="1" t="s">
        <v>27</v>
      </c>
      <c r="K1288" s="1" t="s">
        <v>6307</v>
      </c>
      <c r="L1288" s="1" t="s">
        <v>35</v>
      </c>
      <c r="M1288" s="2">
        <v>469.38</v>
      </c>
      <c r="N1288" s="6">
        <v>1.33</v>
      </c>
      <c r="O1288" s="1" t="s">
        <v>67</v>
      </c>
      <c r="P1288" s="1" t="s">
        <v>63</v>
      </c>
      <c r="Q1288" s="1" t="s">
        <v>6316</v>
      </c>
      <c r="R1288" s="1" t="s">
        <v>6317</v>
      </c>
      <c r="S1288" s="121" t="s">
        <v>6237</v>
      </c>
      <c r="T1288" s="5">
        <v>46160</v>
      </c>
      <c r="U1288" s="388"/>
      <c r="V1288" s="83">
        <f>M1288-Z1288-AB1288-AD1288-AF1288-AH1288-AJ1288-AL1288-AN1288-AP1288-AR1288-AT1288-AV1288-AX1288-AZ1288-BB1288-BD1288-BF1288-BH1288-U1288</f>
        <v>469.38</v>
      </c>
      <c r="W1288" s="4" t="s">
        <v>6351</v>
      </c>
      <c r="X1288" s="1"/>
      <c r="Y1288" s="58"/>
      <c r="Z1288" s="58"/>
    </row>
    <row r="1289" spans="1:26" s="101" customFormat="1" ht="20.25" customHeight="1">
      <c r="A1289" s="3">
        <v>46146</v>
      </c>
      <c r="B1289" s="1" t="s">
        <v>6259</v>
      </c>
      <c r="C1289" s="1" t="s">
        <v>382</v>
      </c>
      <c r="D1289" s="1" t="s">
        <v>212</v>
      </c>
      <c r="E1289" s="1" t="s">
        <v>25</v>
      </c>
      <c r="F1289" s="1" t="s">
        <v>6291</v>
      </c>
      <c r="G1289" s="1" t="s">
        <v>71</v>
      </c>
      <c r="H1289" s="1" t="s">
        <v>31</v>
      </c>
      <c r="I1289" s="1"/>
      <c r="J1289" s="1" t="s">
        <v>27</v>
      </c>
      <c r="K1289" s="1" t="s">
        <v>913</v>
      </c>
      <c r="L1289" s="1" t="s">
        <v>35</v>
      </c>
      <c r="M1289" s="2">
        <v>603.16</v>
      </c>
      <c r="N1289" s="6">
        <v>1.33</v>
      </c>
      <c r="O1289" s="1" t="s">
        <v>67</v>
      </c>
      <c r="P1289" s="1" t="s">
        <v>63</v>
      </c>
      <c r="Q1289" s="1" t="s">
        <v>6316</v>
      </c>
      <c r="R1289" s="1" t="s">
        <v>6318</v>
      </c>
      <c r="S1289" s="121" t="s">
        <v>6332</v>
      </c>
      <c r="T1289" s="5">
        <v>46167</v>
      </c>
      <c r="U1289" s="388"/>
      <c r="V1289" s="83">
        <f>M1289-Z1289-AB1289-AD1289-AF1289-AH1289-AJ1289-AL1289-AN1289-AP1289-AR1289-AT1289-AV1289-AX1289-AZ1289-BB1289-BD1289-BF1289-BH1289-U1289</f>
        <v>603.16</v>
      </c>
      <c r="W1289" s="4" t="s">
        <v>6352</v>
      </c>
      <c r="X1289" s="1"/>
      <c r="Y1289" s="58"/>
      <c r="Z1289" s="58"/>
    </row>
    <row r="1290" spans="1:26" s="101" customFormat="1" ht="20.25" customHeight="1">
      <c r="A1290" s="3">
        <v>46146</v>
      </c>
      <c r="B1290" s="1" t="s">
        <v>6259</v>
      </c>
      <c r="C1290" s="1" t="s">
        <v>382</v>
      </c>
      <c r="D1290" s="1" t="s">
        <v>212</v>
      </c>
      <c r="E1290" s="1" t="s">
        <v>25</v>
      </c>
      <c r="F1290" s="1" t="s">
        <v>6291</v>
      </c>
      <c r="G1290" s="1" t="s">
        <v>71</v>
      </c>
      <c r="H1290" s="1" t="s">
        <v>31</v>
      </c>
      <c r="I1290" s="1"/>
      <c r="J1290" s="1" t="s">
        <v>27</v>
      </c>
      <c r="K1290" s="1" t="s">
        <v>6308</v>
      </c>
      <c r="L1290" s="1" t="s">
        <v>35</v>
      </c>
      <c r="M1290" s="2">
        <v>88.1</v>
      </c>
      <c r="N1290" s="6">
        <v>1.33</v>
      </c>
      <c r="O1290" s="1" t="s">
        <v>67</v>
      </c>
      <c r="P1290" s="1" t="s">
        <v>63</v>
      </c>
      <c r="Q1290" s="1" t="s">
        <v>6316</v>
      </c>
      <c r="R1290" s="1" t="s">
        <v>6318</v>
      </c>
      <c r="S1290" s="121" t="s">
        <v>6332</v>
      </c>
      <c r="T1290" s="5">
        <v>46167</v>
      </c>
      <c r="U1290" s="388"/>
      <c r="V1290" s="83">
        <f>M1290-Z1290-AB1290-AD1290-AF1290-AH1290-AJ1290-AL1290-AN1290-AP1290-AR1290-AT1290-AV1290-AX1290-AZ1290-BB1290-BD1290-BF1290-BH1290-U1290</f>
        <v>88.1</v>
      </c>
      <c r="W1290" s="4" t="s">
        <v>6353</v>
      </c>
      <c r="X1290" s="1"/>
      <c r="Y1290" s="58"/>
      <c r="Z1290" s="58"/>
    </row>
    <row r="1291" spans="1:26" s="101" customFormat="1" ht="20.25" customHeight="1">
      <c r="A1291" s="3">
        <v>46146</v>
      </c>
      <c r="B1291" s="1" t="s">
        <v>6260</v>
      </c>
      <c r="C1291" s="1" t="s">
        <v>382</v>
      </c>
      <c r="D1291" s="1" t="s">
        <v>212</v>
      </c>
      <c r="E1291" s="1" t="s">
        <v>25</v>
      </c>
      <c r="F1291" s="1" t="s">
        <v>6292</v>
      </c>
      <c r="G1291" s="1" t="s">
        <v>71</v>
      </c>
      <c r="H1291" s="1" t="s">
        <v>31</v>
      </c>
      <c r="I1291" s="1"/>
      <c r="J1291" s="1" t="s">
        <v>27</v>
      </c>
      <c r="K1291" s="1" t="s">
        <v>3778</v>
      </c>
      <c r="L1291" s="1" t="s">
        <v>35</v>
      </c>
      <c r="M1291" s="2">
        <v>1657.53</v>
      </c>
      <c r="N1291" s="6">
        <v>1.33</v>
      </c>
      <c r="O1291" s="1" t="s">
        <v>67</v>
      </c>
      <c r="P1291" s="1" t="s">
        <v>63</v>
      </c>
      <c r="Q1291" s="1" t="s">
        <v>6316</v>
      </c>
      <c r="R1291" s="1" t="s">
        <v>6319</v>
      </c>
      <c r="S1291" s="121" t="s">
        <v>6332</v>
      </c>
      <c r="T1291" s="5">
        <v>46167</v>
      </c>
      <c r="U1291" s="388"/>
      <c r="V1291" s="83">
        <f>M1291-Z1291-AB1291-AD1291-AF1291-AH1291-AJ1291-AL1291-AN1291-AP1291-AR1291-AT1291-AV1291-AX1291-AZ1291-BB1291-BD1291-BF1291-BH1291-U1291</f>
        <v>1657.53</v>
      </c>
      <c r="W1291" s="4" t="s">
        <v>6354</v>
      </c>
      <c r="X1291" s="1"/>
      <c r="Y1291" s="58"/>
      <c r="Z1291" s="58"/>
    </row>
    <row r="1292" spans="1:26" s="101" customFormat="1" ht="20.25" customHeight="1">
      <c r="A1292" s="3">
        <v>46146</v>
      </c>
      <c r="B1292" s="1" t="s">
        <v>6260</v>
      </c>
      <c r="C1292" s="1" t="s">
        <v>382</v>
      </c>
      <c r="D1292" s="1" t="s">
        <v>212</v>
      </c>
      <c r="E1292" s="1" t="s">
        <v>25</v>
      </c>
      <c r="F1292" s="1" t="s">
        <v>6292</v>
      </c>
      <c r="G1292" s="1" t="s">
        <v>71</v>
      </c>
      <c r="H1292" s="1" t="s">
        <v>31</v>
      </c>
      <c r="I1292" s="1"/>
      <c r="J1292" s="1" t="s">
        <v>27</v>
      </c>
      <c r="K1292" s="1" t="s">
        <v>3778</v>
      </c>
      <c r="L1292" s="1" t="s">
        <v>35</v>
      </c>
      <c r="M1292" s="2">
        <v>1080.23</v>
      </c>
      <c r="N1292" s="6">
        <v>1.33</v>
      </c>
      <c r="O1292" s="1" t="s">
        <v>67</v>
      </c>
      <c r="P1292" s="1" t="s">
        <v>63</v>
      </c>
      <c r="Q1292" s="1" t="s">
        <v>6316</v>
      </c>
      <c r="R1292" s="1" t="s">
        <v>6320</v>
      </c>
      <c r="S1292" s="121" t="s">
        <v>6332</v>
      </c>
      <c r="T1292" s="5">
        <v>46167</v>
      </c>
      <c r="U1292" s="388"/>
      <c r="V1292" s="83">
        <f>M1292-Z1292-AB1292-AD1292-AF1292-AH1292-AJ1292-AL1292-AN1292-AP1292-AR1292-AT1292-AV1292-AX1292-AZ1292-BB1292-BD1292-BF1292-BH1292-U1292</f>
        <v>1080.23</v>
      </c>
      <c r="W1292" s="4" t="s">
        <v>6355</v>
      </c>
      <c r="X1292" s="1"/>
      <c r="Y1292" s="58"/>
      <c r="Z1292" s="58"/>
    </row>
    <row r="1293" spans="1:26" s="101" customFormat="1" ht="20.25" customHeight="1">
      <c r="A1293" s="3">
        <v>46146</v>
      </c>
      <c r="B1293" s="1" t="s">
        <v>6260</v>
      </c>
      <c r="C1293" s="1" t="s">
        <v>382</v>
      </c>
      <c r="D1293" s="1" t="s">
        <v>212</v>
      </c>
      <c r="E1293" s="1" t="s">
        <v>25</v>
      </c>
      <c r="F1293" s="1" t="s">
        <v>6292</v>
      </c>
      <c r="G1293" s="1" t="s">
        <v>71</v>
      </c>
      <c r="H1293" s="1" t="s">
        <v>31</v>
      </c>
      <c r="I1293" s="1"/>
      <c r="J1293" s="1" t="s">
        <v>27</v>
      </c>
      <c r="K1293" s="1" t="s">
        <v>6308</v>
      </c>
      <c r="L1293" s="1" t="s">
        <v>35</v>
      </c>
      <c r="M1293" s="2">
        <v>242.09</v>
      </c>
      <c r="N1293" s="6">
        <v>1.33</v>
      </c>
      <c r="O1293" s="1" t="s">
        <v>67</v>
      </c>
      <c r="P1293" s="1" t="s">
        <v>63</v>
      </c>
      <c r="Q1293" s="1" t="s">
        <v>6321</v>
      </c>
      <c r="R1293" s="1" t="s">
        <v>6319</v>
      </c>
      <c r="S1293" s="121" t="s">
        <v>6332</v>
      </c>
      <c r="T1293" s="5">
        <v>46167</v>
      </c>
      <c r="U1293" s="388"/>
      <c r="V1293" s="83">
        <f>M1293-Z1293-AB1293-AD1293-AF1293-AH1293-AJ1293-AL1293-AN1293-AP1293-AR1293-AT1293-AV1293-AX1293-AZ1293-BB1293-BD1293-BF1293-BH1293-U1293</f>
        <v>242.09</v>
      </c>
      <c r="W1293" s="4" t="s">
        <v>6356</v>
      </c>
      <c r="X1293" s="1"/>
      <c r="Y1293" s="58"/>
      <c r="Z1293" s="58"/>
    </row>
    <row r="1294" spans="1:26" s="101" customFormat="1" ht="20.25" customHeight="1">
      <c r="A1294" s="3">
        <v>46146</v>
      </c>
      <c r="B1294" s="1" t="s">
        <v>6260</v>
      </c>
      <c r="C1294" s="1" t="s">
        <v>382</v>
      </c>
      <c r="D1294" s="1" t="s">
        <v>212</v>
      </c>
      <c r="E1294" s="1" t="s">
        <v>25</v>
      </c>
      <c r="F1294" s="1" t="s">
        <v>6292</v>
      </c>
      <c r="G1294" s="1" t="s">
        <v>71</v>
      </c>
      <c r="H1294" s="1" t="s">
        <v>31</v>
      </c>
      <c r="I1294" s="1"/>
      <c r="J1294" s="1" t="s">
        <v>27</v>
      </c>
      <c r="K1294" s="1" t="s">
        <v>6308</v>
      </c>
      <c r="L1294" s="1" t="s">
        <v>35</v>
      </c>
      <c r="M1294" s="2">
        <v>157.77000000000001</v>
      </c>
      <c r="N1294" s="6">
        <v>1.33</v>
      </c>
      <c r="O1294" s="1" t="s">
        <v>67</v>
      </c>
      <c r="P1294" s="1" t="s">
        <v>63</v>
      </c>
      <c r="Q1294" s="1" t="s">
        <v>6321</v>
      </c>
      <c r="R1294" s="1" t="s">
        <v>6320</v>
      </c>
      <c r="S1294" s="121" t="s">
        <v>6332</v>
      </c>
      <c r="T1294" s="5">
        <v>46167</v>
      </c>
      <c r="U1294" s="388"/>
      <c r="V1294" s="83">
        <f>M1294-Z1294-AB1294-AD1294-AF1294-AH1294-AJ1294-AL1294-AN1294-AP1294-AR1294-AT1294-AV1294-AX1294-AZ1294-BB1294-BD1294-BF1294-BH1294-U1294</f>
        <v>157.77000000000001</v>
      </c>
      <c r="W1294" s="4" t="s">
        <v>6357</v>
      </c>
      <c r="X1294" s="1"/>
      <c r="Y1294" s="58"/>
      <c r="Z1294" s="58"/>
    </row>
    <row r="1295" spans="1:26" s="101" customFormat="1" ht="20.25" customHeight="1">
      <c r="A1295" s="3">
        <v>46146</v>
      </c>
      <c r="B1295" s="1" t="s">
        <v>6260</v>
      </c>
      <c r="C1295" s="1" t="s">
        <v>382</v>
      </c>
      <c r="D1295" s="1" t="s">
        <v>212</v>
      </c>
      <c r="E1295" s="1" t="s">
        <v>25</v>
      </c>
      <c r="F1295" s="1" t="s">
        <v>6292</v>
      </c>
      <c r="G1295" s="1" t="s">
        <v>71</v>
      </c>
      <c r="H1295" s="1" t="s">
        <v>31</v>
      </c>
      <c r="I1295" s="1"/>
      <c r="J1295" s="1" t="s">
        <v>27</v>
      </c>
      <c r="K1295" s="1" t="s">
        <v>957</v>
      </c>
      <c r="L1295" s="1" t="s">
        <v>35</v>
      </c>
      <c r="M1295" s="2">
        <v>2350.63</v>
      </c>
      <c r="N1295" s="6">
        <v>1.33</v>
      </c>
      <c r="O1295" s="1" t="s">
        <v>67</v>
      </c>
      <c r="P1295" s="1" t="s">
        <v>63</v>
      </c>
      <c r="Q1295" s="1" t="s">
        <v>6321</v>
      </c>
      <c r="R1295" s="1" t="s">
        <v>6322</v>
      </c>
      <c r="S1295" s="121" t="s">
        <v>6332</v>
      </c>
      <c r="T1295" s="5">
        <v>46167</v>
      </c>
      <c r="U1295" s="388"/>
      <c r="V1295" s="83">
        <f>M1295-Z1295-AB1295-AD1295-AF1295-AH1295-AJ1295-AL1295-AN1295-AP1295-AR1295-AT1295-AV1295-AX1295-AZ1295-BB1295-BD1295-BF1295-BH1295-U1295</f>
        <v>2350.63</v>
      </c>
      <c r="W1295" s="4" t="s">
        <v>6358</v>
      </c>
      <c r="X1295" s="1"/>
      <c r="Y1295" s="58"/>
      <c r="Z1295" s="58"/>
    </row>
    <row r="1296" spans="1:26" s="101" customFormat="1" ht="20.25" customHeight="1">
      <c r="A1296" s="3">
        <v>46146</v>
      </c>
      <c r="B1296" s="1" t="s">
        <v>6260</v>
      </c>
      <c r="C1296" s="1" t="s">
        <v>382</v>
      </c>
      <c r="D1296" s="1" t="s">
        <v>212</v>
      </c>
      <c r="E1296" s="1" t="s">
        <v>25</v>
      </c>
      <c r="F1296" s="1" t="s">
        <v>6292</v>
      </c>
      <c r="G1296" s="1" t="s">
        <v>71</v>
      </c>
      <c r="H1296" s="1" t="s">
        <v>31</v>
      </c>
      <c r="I1296" s="1"/>
      <c r="J1296" s="1" t="s">
        <v>27</v>
      </c>
      <c r="K1296" s="1" t="s">
        <v>957</v>
      </c>
      <c r="L1296" s="1" t="s">
        <v>35</v>
      </c>
      <c r="M1296" s="2">
        <v>862.23</v>
      </c>
      <c r="N1296" s="6">
        <v>1.33</v>
      </c>
      <c r="O1296" s="1" t="s">
        <v>67</v>
      </c>
      <c r="P1296" s="1" t="s">
        <v>63</v>
      </c>
      <c r="Q1296" s="1" t="s">
        <v>6323</v>
      </c>
      <c r="R1296" s="1" t="s">
        <v>6324</v>
      </c>
      <c r="S1296" s="121" t="s">
        <v>6332</v>
      </c>
      <c r="T1296" s="5">
        <v>46167</v>
      </c>
      <c r="U1296" s="388"/>
      <c r="V1296" s="83">
        <f>M1296-Z1296-AB1296-AD1296-AF1296-AH1296-AJ1296-AL1296-AN1296-AP1296-AR1296-AT1296-AV1296-AX1296-AZ1296-BB1296-BD1296-BF1296-BH1296-U1296</f>
        <v>862.23</v>
      </c>
      <c r="W1296" s="4" t="s">
        <v>6359</v>
      </c>
      <c r="X1296" s="1"/>
      <c r="Y1296" s="58"/>
      <c r="Z1296" s="58"/>
    </row>
    <row r="1297" spans="1:26" s="101" customFormat="1" ht="20.25" customHeight="1">
      <c r="A1297" s="3">
        <v>46146</v>
      </c>
      <c r="B1297" s="1" t="s">
        <v>6260</v>
      </c>
      <c r="C1297" s="1" t="s">
        <v>382</v>
      </c>
      <c r="D1297" s="1" t="s">
        <v>212</v>
      </c>
      <c r="E1297" s="1" t="s">
        <v>25</v>
      </c>
      <c r="F1297" s="1" t="s">
        <v>6292</v>
      </c>
      <c r="G1297" s="1" t="s">
        <v>71</v>
      </c>
      <c r="H1297" s="1" t="s">
        <v>31</v>
      </c>
      <c r="I1297" s="1"/>
      <c r="J1297" s="1" t="s">
        <v>27</v>
      </c>
      <c r="K1297" s="1" t="s">
        <v>957</v>
      </c>
      <c r="L1297" s="1" t="s">
        <v>35</v>
      </c>
      <c r="M1297" s="2">
        <v>1605.93</v>
      </c>
      <c r="N1297" s="6">
        <v>1.33</v>
      </c>
      <c r="O1297" s="1" t="s">
        <v>67</v>
      </c>
      <c r="P1297" s="1" t="s">
        <v>63</v>
      </c>
      <c r="Q1297" s="1" t="s">
        <v>6323</v>
      </c>
      <c r="R1297" s="1" t="s">
        <v>6325</v>
      </c>
      <c r="S1297" s="121" t="s">
        <v>6332</v>
      </c>
      <c r="T1297" s="5">
        <v>46167</v>
      </c>
      <c r="U1297" s="388"/>
      <c r="V1297" s="83">
        <f>M1297-Z1297-AB1297-AD1297-AF1297-AH1297-AJ1297-AL1297-AN1297-AP1297-AR1297-AT1297-AV1297-AX1297-AZ1297-BB1297-BD1297-BF1297-BH1297-U1297</f>
        <v>1605.93</v>
      </c>
      <c r="W1297" s="4" t="s">
        <v>6360</v>
      </c>
      <c r="X1297" s="1"/>
      <c r="Y1297" s="58"/>
      <c r="Z1297" s="58"/>
    </row>
    <row r="1298" spans="1:26" s="101" customFormat="1" ht="20.25" customHeight="1">
      <c r="A1298" s="3">
        <v>46146</v>
      </c>
      <c r="B1298" s="1" t="s">
        <v>6261</v>
      </c>
      <c r="C1298" s="1" t="s">
        <v>382</v>
      </c>
      <c r="D1298" s="1" t="s">
        <v>212</v>
      </c>
      <c r="E1298" s="1" t="s">
        <v>25</v>
      </c>
      <c r="F1298" s="1" t="s">
        <v>6293</v>
      </c>
      <c r="G1298" s="1" t="s">
        <v>71</v>
      </c>
      <c r="H1298" s="1" t="s">
        <v>31</v>
      </c>
      <c r="I1298" s="1"/>
      <c r="J1298" s="1" t="s">
        <v>27</v>
      </c>
      <c r="K1298" s="1" t="s">
        <v>3645</v>
      </c>
      <c r="L1298" s="1" t="s">
        <v>35</v>
      </c>
      <c r="M1298" s="2">
        <v>387.33</v>
      </c>
      <c r="N1298" s="6">
        <v>1.33</v>
      </c>
      <c r="O1298" s="1" t="s">
        <v>67</v>
      </c>
      <c r="P1298" s="1" t="s">
        <v>63</v>
      </c>
      <c r="Q1298" s="1" t="s">
        <v>6326</v>
      </c>
      <c r="R1298" s="1" t="s">
        <v>6327</v>
      </c>
      <c r="S1298" s="121" t="s">
        <v>6332</v>
      </c>
      <c r="T1298" s="5">
        <v>46167</v>
      </c>
      <c r="U1298" s="388"/>
      <c r="V1298" s="83">
        <f>M1298-Z1298-AB1298-AD1298-AF1298-AH1298-AJ1298-AL1298-AN1298-AP1298-AR1298-AT1298-AV1298-AX1298-AZ1298-BB1298-BD1298-BF1298-BH1298-U1298</f>
        <v>387.33</v>
      </c>
      <c r="W1298" s="4" t="s">
        <v>6361</v>
      </c>
      <c r="X1298" s="1"/>
      <c r="Y1298" s="58"/>
      <c r="Z1298" s="58"/>
    </row>
    <row r="1299" spans="1:26" s="101" customFormat="1" ht="20.25" customHeight="1">
      <c r="A1299" s="3">
        <v>46146</v>
      </c>
      <c r="B1299" s="1" t="s">
        <v>6261</v>
      </c>
      <c r="C1299" s="1" t="s">
        <v>382</v>
      </c>
      <c r="D1299" s="1" t="s">
        <v>212</v>
      </c>
      <c r="E1299" s="1" t="s">
        <v>25</v>
      </c>
      <c r="F1299" s="1" t="s">
        <v>6293</v>
      </c>
      <c r="G1299" s="1" t="s">
        <v>71</v>
      </c>
      <c r="H1299" s="1" t="s">
        <v>31</v>
      </c>
      <c r="I1299" s="1"/>
      <c r="J1299" s="1" t="s">
        <v>27</v>
      </c>
      <c r="K1299" s="1" t="s">
        <v>6309</v>
      </c>
      <c r="L1299" s="1" t="s">
        <v>35</v>
      </c>
      <c r="M1299" s="2">
        <v>4136.72</v>
      </c>
      <c r="N1299" s="6">
        <v>1.33</v>
      </c>
      <c r="O1299" s="1" t="s">
        <v>67</v>
      </c>
      <c r="P1299" s="1" t="s">
        <v>63</v>
      </c>
      <c r="Q1299" s="1" t="s">
        <v>6328</v>
      </c>
      <c r="R1299" s="1" t="s">
        <v>6329</v>
      </c>
      <c r="S1299" s="121" t="s">
        <v>6332</v>
      </c>
      <c r="T1299" s="5">
        <v>46167</v>
      </c>
      <c r="U1299" s="388"/>
      <c r="V1299" s="83">
        <f>M1299-Z1299-AB1299-AD1299-AF1299-AH1299-AJ1299-AL1299-AN1299-AP1299-AR1299-AT1299-AV1299-AX1299-AZ1299-BB1299-BD1299-BF1299-BH1299-U1299</f>
        <v>4136.72</v>
      </c>
      <c r="W1299" s="4" t="s">
        <v>6362</v>
      </c>
      <c r="X1299" s="1"/>
      <c r="Y1299" s="58"/>
      <c r="Z1299" s="58"/>
    </row>
    <row r="1300" spans="1:26" s="101" customFormat="1" ht="20.25" customHeight="1">
      <c r="A1300" s="3">
        <v>46146</v>
      </c>
      <c r="B1300" s="1" t="s">
        <v>6261</v>
      </c>
      <c r="C1300" s="1" t="s">
        <v>382</v>
      </c>
      <c r="D1300" s="1" t="s">
        <v>212</v>
      </c>
      <c r="E1300" s="1" t="s">
        <v>25</v>
      </c>
      <c r="F1300" s="1" t="s">
        <v>6293</v>
      </c>
      <c r="G1300" s="1" t="s">
        <v>71</v>
      </c>
      <c r="H1300" s="1" t="s">
        <v>31</v>
      </c>
      <c r="I1300" s="1"/>
      <c r="J1300" s="1" t="s">
        <v>27</v>
      </c>
      <c r="K1300" s="1" t="s">
        <v>6310</v>
      </c>
      <c r="L1300" s="1" t="s">
        <v>35</v>
      </c>
      <c r="M1300" s="2">
        <v>533.54</v>
      </c>
      <c r="N1300" s="6">
        <v>1.33</v>
      </c>
      <c r="O1300" s="1" t="s">
        <v>67</v>
      </c>
      <c r="P1300" s="1" t="s">
        <v>63</v>
      </c>
      <c r="Q1300" s="1" t="s">
        <v>6326</v>
      </c>
      <c r="R1300" s="1" t="s">
        <v>6327</v>
      </c>
      <c r="S1300" s="121" t="s">
        <v>6332</v>
      </c>
      <c r="T1300" s="5">
        <v>46167</v>
      </c>
      <c r="U1300" s="388"/>
      <c r="V1300" s="83">
        <f>M1300-Z1300-AB1300-AD1300-AF1300-AH1300-AJ1300-AL1300-AN1300-AP1300-AR1300-AT1300-AV1300-AX1300-AZ1300-BB1300-BD1300-BF1300-BH1300-U1300</f>
        <v>533.54</v>
      </c>
      <c r="W1300" s="4" t="s">
        <v>6363</v>
      </c>
      <c r="X1300" s="1"/>
      <c r="Y1300" s="58"/>
      <c r="Z1300" s="58"/>
    </row>
    <row r="1301" spans="1:26" s="101" customFormat="1" ht="20.25" customHeight="1">
      <c r="A1301" s="3">
        <v>46146</v>
      </c>
      <c r="B1301" s="1" t="s">
        <v>6262</v>
      </c>
      <c r="C1301" s="1" t="s">
        <v>382</v>
      </c>
      <c r="D1301" s="1" t="s">
        <v>212</v>
      </c>
      <c r="E1301" s="1" t="s">
        <v>25</v>
      </c>
      <c r="F1301" s="1" t="s">
        <v>6294</v>
      </c>
      <c r="G1301" s="1" t="s">
        <v>71</v>
      </c>
      <c r="H1301" s="1" t="s">
        <v>31</v>
      </c>
      <c r="I1301" s="1"/>
      <c r="J1301" s="1" t="s">
        <v>27</v>
      </c>
      <c r="K1301" s="1" t="s">
        <v>6309</v>
      </c>
      <c r="L1301" s="1" t="s">
        <v>35</v>
      </c>
      <c r="M1301" s="2">
        <v>3838.71</v>
      </c>
      <c r="N1301" s="6">
        <v>1.33</v>
      </c>
      <c r="O1301" s="1" t="s">
        <v>67</v>
      </c>
      <c r="P1301" s="1" t="s">
        <v>63</v>
      </c>
      <c r="Q1301" s="1" t="s">
        <v>6328</v>
      </c>
      <c r="R1301" s="1" t="s">
        <v>6329</v>
      </c>
      <c r="S1301" s="121" t="s">
        <v>6214</v>
      </c>
      <c r="T1301" s="5">
        <v>46163</v>
      </c>
      <c r="U1301" s="388"/>
      <c r="V1301" s="83">
        <f>M1301-Z1301-AB1301-AD1301-AF1301-AH1301-AJ1301-AL1301-AN1301-AP1301-AR1301-AT1301-AV1301-AX1301-AZ1301-BB1301-BD1301-BF1301-BH1301-U1301</f>
        <v>3838.71</v>
      </c>
      <c r="W1301" s="4" t="s">
        <v>6364</v>
      </c>
      <c r="X1301" s="1"/>
      <c r="Y1301" s="58"/>
      <c r="Z1301" s="58"/>
    </row>
    <row r="1302" spans="1:26" s="101" customFormat="1" ht="20.25" customHeight="1">
      <c r="A1302" s="3">
        <v>46146</v>
      </c>
      <c r="B1302" s="1" t="s">
        <v>6263</v>
      </c>
      <c r="C1302" s="1" t="s">
        <v>382</v>
      </c>
      <c r="D1302" s="1" t="s">
        <v>212</v>
      </c>
      <c r="E1302" s="1" t="s">
        <v>25</v>
      </c>
      <c r="F1302" s="1" t="s">
        <v>6295</v>
      </c>
      <c r="G1302" s="1" t="s">
        <v>71</v>
      </c>
      <c r="H1302" s="1" t="s">
        <v>31</v>
      </c>
      <c r="I1302" s="1"/>
      <c r="J1302" s="1" t="s">
        <v>27</v>
      </c>
      <c r="K1302" s="1" t="s">
        <v>6309</v>
      </c>
      <c r="L1302" s="1" t="s">
        <v>35</v>
      </c>
      <c r="M1302" s="2">
        <v>938.02</v>
      </c>
      <c r="N1302" s="6">
        <v>1.33</v>
      </c>
      <c r="O1302" s="1" t="s">
        <v>67</v>
      </c>
      <c r="P1302" s="1" t="s">
        <v>63</v>
      </c>
      <c r="Q1302" s="1" t="s">
        <v>6326</v>
      </c>
      <c r="R1302" s="1" t="s">
        <v>6330</v>
      </c>
      <c r="S1302" s="121" t="s">
        <v>6214</v>
      </c>
      <c r="T1302" s="5">
        <v>46163</v>
      </c>
      <c r="U1302" s="388"/>
      <c r="V1302" s="83">
        <f>M1302-Z1302-AB1302-AD1302-AF1302-AH1302-AJ1302-AL1302-AN1302-AP1302-AR1302-AT1302-AV1302-AX1302-AZ1302-BB1302-BD1302-BF1302-BH1302-U1302</f>
        <v>938.02</v>
      </c>
      <c r="W1302" s="4" t="s">
        <v>6365</v>
      </c>
      <c r="X1302" s="1"/>
      <c r="Y1302" s="58"/>
      <c r="Z1302" s="58"/>
    </row>
    <row r="1303" spans="1:26" s="101" customFormat="1" ht="20.25" customHeight="1">
      <c r="A1303" s="3">
        <v>46146</v>
      </c>
      <c r="B1303" s="1" t="s">
        <v>6264</v>
      </c>
      <c r="C1303" s="1" t="s">
        <v>304</v>
      </c>
      <c r="D1303" s="1" t="s">
        <v>212</v>
      </c>
      <c r="E1303" s="1" t="s">
        <v>25</v>
      </c>
      <c r="F1303" s="1" t="s">
        <v>6296</v>
      </c>
      <c r="G1303" s="1" t="s">
        <v>71</v>
      </c>
      <c r="H1303" s="1" t="s">
        <v>31</v>
      </c>
      <c r="I1303" s="1"/>
      <c r="J1303" s="1" t="s">
        <v>27</v>
      </c>
      <c r="K1303" s="1" t="s">
        <v>337</v>
      </c>
      <c r="L1303" s="1" t="s">
        <v>35</v>
      </c>
      <c r="M1303" s="2">
        <v>495</v>
      </c>
      <c r="N1303" s="6">
        <v>1.33</v>
      </c>
      <c r="O1303" s="1" t="s">
        <v>67</v>
      </c>
      <c r="P1303" s="1" t="s">
        <v>63</v>
      </c>
      <c r="Q1303" s="1" t="s">
        <v>29</v>
      </c>
      <c r="R1303" s="1" t="s">
        <v>3956</v>
      </c>
      <c r="S1303" s="121" t="s">
        <v>6332</v>
      </c>
      <c r="T1303" s="5">
        <v>46167</v>
      </c>
      <c r="U1303" s="388"/>
      <c r="V1303" s="83">
        <f>M1303-Z1303-AB1303-AD1303-AF1303-AH1303-AJ1303-AL1303-AN1303-AP1303-AR1303-AT1303-AV1303-AX1303-AZ1303-BB1303-BD1303-BF1303-BH1303-U1303</f>
        <v>495</v>
      </c>
      <c r="W1303" s="4" t="s">
        <v>6366</v>
      </c>
      <c r="X1303" s="1"/>
      <c r="Y1303" s="58"/>
      <c r="Z1303" s="58"/>
    </row>
    <row r="1304" spans="1:26" s="101" customFormat="1" ht="20.25" customHeight="1">
      <c r="A1304" s="3">
        <v>46146</v>
      </c>
      <c r="B1304" s="1" t="s">
        <v>6265</v>
      </c>
      <c r="C1304" s="1" t="s">
        <v>304</v>
      </c>
      <c r="D1304" s="1" t="s">
        <v>212</v>
      </c>
      <c r="E1304" s="1" t="s">
        <v>25</v>
      </c>
      <c r="F1304" s="1" t="s">
        <v>6297</v>
      </c>
      <c r="G1304" s="1" t="s">
        <v>71</v>
      </c>
      <c r="H1304" s="1" t="s">
        <v>31</v>
      </c>
      <c r="I1304" s="1"/>
      <c r="J1304" s="1" t="s">
        <v>27</v>
      </c>
      <c r="K1304" s="1" t="s">
        <v>598</v>
      </c>
      <c r="L1304" s="1" t="s">
        <v>35</v>
      </c>
      <c r="M1304" s="2">
        <v>1890</v>
      </c>
      <c r="N1304" s="6">
        <v>1.33</v>
      </c>
      <c r="O1304" s="1" t="s">
        <v>67</v>
      </c>
      <c r="P1304" s="1" t="s">
        <v>63</v>
      </c>
      <c r="Q1304" s="1" t="s">
        <v>29</v>
      </c>
      <c r="R1304" s="1" t="s">
        <v>5811</v>
      </c>
      <c r="S1304" s="121" t="s">
        <v>6200</v>
      </c>
      <c r="T1304" s="5">
        <v>46155</v>
      </c>
      <c r="U1304" s="388"/>
      <c r="V1304" s="83">
        <f>M1304-Z1304-AB1304-AD1304-AF1304-AH1304-AJ1304-AL1304-AN1304-AP1304-AR1304-AT1304-AV1304-AX1304-AZ1304-BB1304-BD1304-BF1304-BH1304-U1304</f>
        <v>1890</v>
      </c>
      <c r="W1304" s="4" t="s">
        <v>6367</v>
      </c>
      <c r="X1304" s="1"/>
      <c r="Y1304" s="58"/>
      <c r="Z1304" s="58"/>
    </row>
    <row r="1305" spans="1:26" s="101" customFormat="1" ht="20.25" customHeight="1">
      <c r="A1305" s="3">
        <v>46146</v>
      </c>
      <c r="B1305" s="1" t="s">
        <v>6266</v>
      </c>
      <c r="C1305" s="1" t="s">
        <v>304</v>
      </c>
      <c r="D1305" s="1" t="s">
        <v>212</v>
      </c>
      <c r="E1305" s="1" t="s">
        <v>25</v>
      </c>
      <c r="F1305" s="1" t="s">
        <v>6298</v>
      </c>
      <c r="G1305" s="1" t="s">
        <v>71</v>
      </c>
      <c r="H1305" s="1" t="s">
        <v>31</v>
      </c>
      <c r="I1305" s="1"/>
      <c r="J1305" s="1" t="s">
        <v>27</v>
      </c>
      <c r="K1305" s="1" t="s">
        <v>218</v>
      </c>
      <c r="L1305" s="1" t="s">
        <v>35</v>
      </c>
      <c r="M1305" s="2">
        <v>3975</v>
      </c>
      <c r="N1305" s="6">
        <v>1.33</v>
      </c>
      <c r="O1305" s="1" t="s">
        <v>67</v>
      </c>
      <c r="P1305" s="1" t="s">
        <v>63</v>
      </c>
      <c r="Q1305" s="1" t="s">
        <v>29</v>
      </c>
      <c r="R1305" s="1" t="s">
        <v>5121</v>
      </c>
      <c r="S1305" s="121" t="s">
        <v>6333</v>
      </c>
      <c r="T1305" s="5">
        <v>46162</v>
      </c>
      <c r="U1305" s="388"/>
      <c r="V1305" s="83">
        <f>M1305-Z1305-AB1305-AD1305-AF1305-AH1305-AJ1305-AL1305-AN1305-AP1305-AR1305-AT1305-AV1305-AX1305-AZ1305-BB1305-BD1305-BF1305-BH1305-U1305</f>
        <v>3975</v>
      </c>
      <c r="W1305" s="4" t="s">
        <v>6368</v>
      </c>
      <c r="X1305" s="1"/>
      <c r="Y1305" s="58"/>
      <c r="Z1305" s="58"/>
    </row>
    <row r="1306" spans="1:26" s="101" customFormat="1" ht="20.25" customHeight="1">
      <c r="A1306" s="3">
        <v>46146</v>
      </c>
      <c r="B1306" s="1" t="s">
        <v>6267</v>
      </c>
      <c r="C1306" s="1" t="s">
        <v>304</v>
      </c>
      <c r="D1306" s="1" t="s">
        <v>212</v>
      </c>
      <c r="E1306" s="1" t="s">
        <v>25</v>
      </c>
      <c r="F1306" s="1" t="s">
        <v>6299</v>
      </c>
      <c r="G1306" s="1" t="s">
        <v>71</v>
      </c>
      <c r="H1306" s="1" t="s">
        <v>31</v>
      </c>
      <c r="I1306" s="1"/>
      <c r="J1306" s="1" t="s">
        <v>27</v>
      </c>
      <c r="K1306" s="1" t="s">
        <v>340</v>
      </c>
      <c r="L1306" s="1" t="s">
        <v>35</v>
      </c>
      <c r="M1306" s="2">
        <v>1945</v>
      </c>
      <c r="N1306" s="6">
        <v>1.33</v>
      </c>
      <c r="O1306" s="1" t="s">
        <v>67</v>
      </c>
      <c r="P1306" s="1" t="s">
        <v>63</v>
      </c>
      <c r="Q1306" s="1" t="s">
        <v>29</v>
      </c>
      <c r="R1306" s="1" t="s">
        <v>4750</v>
      </c>
      <c r="S1306" s="121" t="s">
        <v>6332</v>
      </c>
      <c r="T1306" s="5">
        <v>46167</v>
      </c>
      <c r="U1306" s="388"/>
      <c r="V1306" s="83">
        <f>M1306-Z1306-AB1306-AD1306-AF1306-AH1306-AJ1306-AL1306-AN1306-AP1306-AR1306-AT1306-AV1306-AX1306-AZ1306-BB1306-BD1306-BF1306-BH1306-U1306</f>
        <v>1945</v>
      </c>
      <c r="W1306" s="4" t="s">
        <v>6369</v>
      </c>
      <c r="X1306" s="1"/>
      <c r="Y1306" s="58"/>
      <c r="Z1306" s="58"/>
    </row>
    <row r="1307" spans="1:26" s="101" customFormat="1" ht="20.25" customHeight="1">
      <c r="A1307" s="3">
        <v>46146</v>
      </c>
      <c r="B1307" s="1" t="s">
        <v>6268</v>
      </c>
      <c r="C1307" s="1" t="s">
        <v>304</v>
      </c>
      <c r="D1307" s="1" t="s">
        <v>212</v>
      </c>
      <c r="E1307" s="1" t="s">
        <v>25</v>
      </c>
      <c r="F1307" s="1" t="s">
        <v>6300</v>
      </c>
      <c r="G1307" s="1" t="s">
        <v>71</v>
      </c>
      <c r="H1307" s="1" t="s">
        <v>31</v>
      </c>
      <c r="I1307" s="1"/>
      <c r="J1307" s="1" t="s">
        <v>27</v>
      </c>
      <c r="K1307" s="1" t="s">
        <v>5479</v>
      </c>
      <c r="L1307" s="1" t="s">
        <v>35</v>
      </c>
      <c r="M1307" s="2">
        <v>1015</v>
      </c>
      <c r="N1307" s="6">
        <v>1.33</v>
      </c>
      <c r="O1307" s="1" t="s">
        <v>67</v>
      </c>
      <c r="P1307" s="1" t="s">
        <v>63</v>
      </c>
      <c r="Q1307" s="1" t="s">
        <v>29</v>
      </c>
      <c r="R1307" s="1" t="s">
        <v>4364</v>
      </c>
      <c r="S1307" s="121" t="s">
        <v>6200</v>
      </c>
      <c r="T1307" s="5">
        <v>46155</v>
      </c>
      <c r="U1307" s="388"/>
      <c r="V1307" s="83">
        <f>M1307-Z1307-AB1307-AD1307-AF1307-AH1307-AJ1307-AL1307-AN1307-AP1307-AR1307-AT1307-AV1307-AX1307-AZ1307-BB1307-BD1307-BF1307-BH1307-U1307</f>
        <v>1015</v>
      </c>
      <c r="W1307" s="4" t="s">
        <v>6370</v>
      </c>
      <c r="X1307" s="1"/>
      <c r="Y1307" s="58"/>
      <c r="Z1307" s="58"/>
    </row>
    <row r="1308" spans="1:26" s="101" customFormat="1" ht="20.25" customHeight="1">
      <c r="A1308" s="3">
        <v>46146</v>
      </c>
      <c r="B1308" s="1" t="s">
        <v>6269</v>
      </c>
      <c r="C1308" s="1" t="s">
        <v>304</v>
      </c>
      <c r="D1308" s="1" t="s">
        <v>212</v>
      </c>
      <c r="E1308" s="1" t="s">
        <v>25</v>
      </c>
      <c r="F1308" s="1" t="s">
        <v>6301</v>
      </c>
      <c r="G1308" s="1" t="s">
        <v>71</v>
      </c>
      <c r="H1308" s="1" t="s">
        <v>26</v>
      </c>
      <c r="I1308" s="1"/>
      <c r="J1308" s="1" t="s">
        <v>27</v>
      </c>
      <c r="K1308" s="1" t="s">
        <v>337</v>
      </c>
      <c r="L1308" s="1" t="s">
        <v>35</v>
      </c>
      <c r="M1308" s="2">
        <v>1785</v>
      </c>
      <c r="N1308" s="6">
        <v>1.33</v>
      </c>
      <c r="O1308" s="1" t="s">
        <v>67</v>
      </c>
      <c r="P1308" s="1" t="s">
        <v>63</v>
      </c>
      <c r="Q1308" s="1" t="s">
        <v>29</v>
      </c>
      <c r="R1308" s="1" t="s">
        <v>1500</v>
      </c>
      <c r="S1308" s="121" t="s">
        <v>6332</v>
      </c>
      <c r="T1308" s="5">
        <v>46167</v>
      </c>
      <c r="U1308" s="388"/>
      <c r="V1308" s="83">
        <f>M1308-Z1308-AB1308-AD1308-AF1308-AH1308-AJ1308-AL1308-AN1308-AP1308-AR1308-AT1308-AV1308-AX1308-AZ1308-BB1308-BD1308-BF1308-BH1308-U1308</f>
        <v>1785</v>
      </c>
      <c r="W1308" s="4" t="s">
        <v>6371</v>
      </c>
      <c r="X1308" s="1"/>
      <c r="Y1308" s="58"/>
      <c r="Z1308" s="58"/>
    </row>
    <row r="1309" spans="1:26" s="101" customFormat="1" ht="20.25" customHeight="1">
      <c r="A1309" s="3">
        <v>46146</v>
      </c>
      <c r="B1309" s="1" t="s">
        <v>6270</v>
      </c>
      <c r="C1309" s="1" t="s">
        <v>304</v>
      </c>
      <c r="D1309" s="1" t="s">
        <v>212</v>
      </c>
      <c r="E1309" s="1" t="s">
        <v>25</v>
      </c>
      <c r="F1309" s="1" t="s">
        <v>6302</v>
      </c>
      <c r="G1309" s="1" t="s">
        <v>71</v>
      </c>
      <c r="H1309" s="1" t="s">
        <v>31</v>
      </c>
      <c r="I1309" s="1"/>
      <c r="J1309" s="1" t="s">
        <v>27</v>
      </c>
      <c r="K1309" s="1" t="s">
        <v>351</v>
      </c>
      <c r="L1309" s="1" t="s">
        <v>35</v>
      </c>
      <c r="M1309" s="2">
        <v>855</v>
      </c>
      <c r="N1309" s="6">
        <v>1.33</v>
      </c>
      <c r="O1309" s="1" t="s">
        <v>67</v>
      </c>
      <c r="P1309" s="1" t="s">
        <v>63</v>
      </c>
      <c r="Q1309" s="1" t="s">
        <v>29</v>
      </c>
      <c r="R1309" s="1" t="s">
        <v>4197</v>
      </c>
      <c r="S1309" s="121" t="s">
        <v>6200</v>
      </c>
      <c r="T1309" s="5">
        <v>46155</v>
      </c>
      <c r="U1309" s="388"/>
      <c r="V1309" s="83">
        <f>M1309-Z1309-AB1309-AD1309-AF1309-AH1309-AJ1309-AL1309-AN1309-AP1309-AR1309-AT1309-AV1309-AX1309-AZ1309-BB1309-BD1309-BF1309-BH1309-U1309</f>
        <v>855</v>
      </c>
      <c r="W1309" s="4" t="s">
        <v>6372</v>
      </c>
      <c r="X1309" s="1"/>
      <c r="Y1309" s="58"/>
      <c r="Z1309" s="58"/>
    </row>
    <row r="1310" spans="1:26" s="101" customFormat="1" ht="20.25" customHeight="1">
      <c r="A1310" s="3">
        <v>46146</v>
      </c>
      <c r="B1310" s="1" t="s">
        <v>6271</v>
      </c>
      <c r="C1310" s="1" t="s">
        <v>304</v>
      </c>
      <c r="D1310" s="1" t="s">
        <v>212</v>
      </c>
      <c r="E1310" s="1" t="s">
        <v>25</v>
      </c>
      <c r="F1310" s="1" t="s">
        <v>6303</v>
      </c>
      <c r="G1310" s="1" t="s">
        <v>71</v>
      </c>
      <c r="H1310" s="1" t="s">
        <v>31</v>
      </c>
      <c r="I1310" s="1"/>
      <c r="J1310" s="1" t="s">
        <v>27</v>
      </c>
      <c r="K1310" s="1" t="s">
        <v>5535</v>
      </c>
      <c r="L1310" s="1" t="s">
        <v>35</v>
      </c>
      <c r="M1310" s="2">
        <v>290</v>
      </c>
      <c r="N1310" s="6">
        <v>1.33</v>
      </c>
      <c r="O1310" s="1" t="s">
        <v>67</v>
      </c>
      <c r="P1310" s="1" t="s">
        <v>63</v>
      </c>
      <c r="Q1310" s="1" t="s">
        <v>29</v>
      </c>
      <c r="R1310" s="1" t="s">
        <v>4005</v>
      </c>
      <c r="S1310" s="121" t="s">
        <v>6200</v>
      </c>
      <c r="T1310" s="5">
        <v>46155</v>
      </c>
      <c r="U1310" s="388"/>
      <c r="V1310" s="83">
        <f>M1310-Z1310-AB1310-AD1310-AF1310-AH1310-AJ1310-AL1310-AN1310-AP1310-AR1310-AT1310-AV1310-AX1310-AZ1310-BB1310-BD1310-BF1310-BH1310-U1310</f>
        <v>290</v>
      </c>
      <c r="W1310" s="4" t="s">
        <v>6373</v>
      </c>
      <c r="X1310" s="1"/>
      <c r="Y1310" s="58"/>
      <c r="Z1310" s="58"/>
    </row>
    <row r="1311" spans="1:26" s="101" customFormat="1" ht="20.25" customHeight="1">
      <c r="A1311" s="3">
        <v>46146</v>
      </c>
      <c r="B1311" s="1" t="s">
        <v>6272</v>
      </c>
      <c r="C1311" s="1" t="s">
        <v>304</v>
      </c>
      <c r="D1311" s="1" t="s">
        <v>212</v>
      </c>
      <c r="E1311" s="1" t="s">
        <v>25</v>
      </c>
      <c r="F1311" s="1" t="s">
        <v>6304</v>
      </c>
      <c r="G1311" s="1" t="s">
        <v>71</v>
      </c>
      <c r="H1311" s="1" t="s">
        <v>26</v>
      </c>
      <c r="I1311" s="1"/>
      <c r="J1311" s="1" t="s">
        <v>27</v>
      </c>
      <c r="K1311" s="1" t="s">
        <v>218</v>
      </c>
      <c r="L1311" s="1" t="s">
        <v>35</v>
      </c>
      <c r="M1311" s="2">
        <v>825</v>
      </c>
      <c r="N1311" s="6">
        <v>1.33</v>
      </c>
      <c r="O1311" s="1" t="s">
        <v>67</v>
      </c>
      <c r="P1311" s="1" t="s">
        <v>63</v>
      </c>
      <c r="Q1311" s="1" t="s">
        <v>29</v>
      </c>
      <c r="R1311" s="1" t="s">
        <v>2988</v>
      </c>
      <c r="S1311" s="121" t="s">
        <v>6334</v>
      </c>
      <c r="T1311" s="5">
        <v>46164</v>
      </c>
      <c r="U1311" s="388"/>
      <c r="V1311" s="83">
        <f>M1311-Z1311-AB1311-AD1311-AF1311-AH1311-AJ1311-AL1311-AN1311-AP1311-AR1311-AT1311-AV1311-AX1311-AZ1311-BB1311-BD1311-BF1311-BH1311-U1311</f>
        <v>825</v>
      </c>
      <c r="W1311" s="4" t="s">
        <v>6374</v>
      </c>
      <c r="X1311" s="1"/>
      <c r="Y1311" s="58"/>
      <c r="Z1311" s="58"/>
    </row>
    <row r="1312" spans="1:26" s="101" customFormat="1" ht="20.25" customHeight="1">
      <c r="A1312" s="3">
        <v>46146</v>
      </c>
      <c r="B1312" s="1" t="s">
        <v>6273</v>
      </c>
      <c r="C1312" s="1" t="s">
        <v>304</v>
      </c>
      <c r="D1312" s="1" t="s">
        <v>212</v>
      </c>
      <c r="E1312" s="1" t="s">
        <v>25</v>
      </c>
      <c r="F1312" s="1" t="s">
        <v>6305</v>
      </c>
      <c r="G1312" s="1" t="s">
        <v>71</v>
      </c>
      <c r="H1312" s="1" t="s">
        <v>31</v>
      </c>
      <c r="I1312" s="1"/>
      <c r="J1312" s="1" t="s">
        <v>27</v>
      </c>
      <c r="K1312" s="1" t="s">
        <v>372</v>
      </c>
      <c r="L1312" s="1" t="s">
        <v>35</v>
      </c>
      <c r="M1312" s="2">
        <v>480</v>
      </c>
      <c r="N1312" s="6">
        <v>1.33</v>
      </c>
      <c r="O1312" s="1" t="s">
        <v>67</v>
      </c>
      <c r="P1312" s="1" t="s">
        <v>63</v>
      </c>
      <c r="Q1312" s="1" t="s">
        <v>29</v>
      </c>
      <c r="R1312" s="1" t="s">
        <v>4750</v>
      </c>
      <c r="S1312" s="121" t="s">
        <v>6331</v>
      </c>
      <c r="T1312" s="5">
        <v>46171</v>
      </c>
      <c r="U1312" s="388"/>
      <c r="V1312" s="83">
        <f>M1312-Z1312-AB1312-AD1312-AF1312-AH1312-AJ1312-AL1312-AN1312-AP1312-AR1312-AT1312-AV1312-AX1312-AZ1312-BB1312-BD1312-BF1312-BH1312-U1312</f>
        <v>480</v>
      </c>
      <c r="W1312" s="4" t="s">
        <v>6375</v>
      </c>
      <c r="X1312" s="1"/>
      <c r="Y1312" s="58"/>
      <c r="Z1312" s="58"/>
    </row>
    <row r="1313" spans="1:26" s="101" customFormat="1" ht="20.25" customHeight="1">
      <c r="A1313" s="3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2"/>
      <c r="N1313" s="6"/>
      <c r="O1313" s="1"/>
      <c r="P1313" s="1"/>
      <c r="Q1313" s="1"/>
      <c r="R1313" s="1"/>
      <c r="S1313" s="121"/>
      <c r="T1313" s="5"/>
      <c r="U1313" s="388"/>
      <c r="V1313" s="83"/>
      <c r="W1313" s="4"/>
      <c r="X1313" s="1"/>
      <c r="Y1313" s="58"/>
      <c r="Z1313" s="58"/>
    </row>
  </sheetData>
  <autoFilter ref="A3:BO3" xr:uid="{0EB1954F-4805-403C-B958-01E62CFF16C4}"/>
  <mergeCells count="47">
    <mergeCell ref="BN2:BO2"/>
    <mergeCell ref="BL2:BM2"/>
    <mergeCell ref="AH2:AI2"/>
    <mergeCell ref="BJ2:BK2"/>
    <mergeCell ref="AZ2:BA2"/>
    <mergeCell ref="BB2:BC2"/>
    <mergeCell ref="BD2:BE2"/>
    <mergeCell ref="AN2:AO2"/>
    <mergeCell ref="AP2:AQ2"/>
    <mergeCell ref="AR2:AS2"/>
    <mergeCell ref="AT2:AU2"/>
    <mergeCell ref="AV2:AW2"/>
    <mergeCell ref="A1:C1"/>
    <mergeCell ref="A2:A3"/>
    <mergeCell ref="B2:B3"/>
    <mergeCell ref="C2:C3"/>
    <mergeCell ref="D2:D3"/>
    <mergeCell ref="X2:X3"/>
    <mergeCell ref="Z2:AA2"/>
    <mergeCell ref="BH2:BI2"/>
    <mergeCell ref="BF2:BG2"/>
    <mergeCell ref="R2:R3"/>
    <mergeCell ref="S2:S3"/>
    <mergeCell ref="T2:T3"/>
    <mergeCell ref="U2:U3"/>
    <mergeCell ref="V2:V3"/>
    <mergeCell ref="AB2:AC2"/>
    <mergeCell ref="AD2:AE2"/>
    <mergeCell ref="AF2:AG2"/>
    <mergeCell ref="Y2:Y3"/>
    <mergeCell ref="AX2:AY2"/>
    <mergeCell ref="AL2:AM2"/>
    <mergeCell ref="AJ2:AK2"/>
    <mergeCell ref="E2:E3"/>
    <mergeCell ref="Q2:Q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W2:W3"/>
  </mergeCells>
  <pageMargins left="0.7" right="0.7" top="0.75" bottom="0.75" header="0.3" footer="0.3"/>
  <pageSetup paperSize="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87C7-02D2-4C94-B1B3-1F27E3F94A02}">
  <sheetPr codeName="Sheet5" filterMode="1"/>
  <dimension ref="A1:BF123"/>
  <sheetViews>
    <sheetView zoomScale="110" zoomScaleNormal="110" workbookViewId="0">
      <pane xSplit="4" ySplit="3" topLeftCell="P121" activePane="bottomRight" state="frozen"/>
      <selection pane="topRight" activeCell="E1" sqref="E1"/>
      <selection pane="bottomLeft" activeCell="A4" sqref="A4"/>
      <selection pane="bottomRight" activeCell="AA132" sqref="AA132"/>
    </sheetView>
  </sheetViews>
  <sheetFormatPr defaultRowHeight="15"/>
  <cols>
    <col min="1" max="1" width="9" bestFit="1" customWidth="1"/>
    <col min="2" max="2" width="12.7109375" bestFit="1" customWidth="1"/>
    <col min="3" max="3" width="20" bestFit="1" customWidth="1"/>
    <col min="4" max="4" width="18.85546875" customWidth="1"/>
    <col min="5" max="5" width="14.7109375" customWidth="1"/>
    <col min="6" max="6" width="32.85546875" customWidth="1"/>
    <col min="7" max="7" width="23.85546875" customWidth="1"/>
    <col min="8" max="8" width="13.42578125" customWidth="1"/>
    <col min="9" max="9" width="9.5703125" customWidth="1"/>
    <col min="10" max="10" width="18.5703125" customWidth="1"/>
    <col min="11" max="11" width="20.140625" customWidth="1"/>
    <col min="12" max="12" width="12.140625" customWidth="1"/>
    <col min="13" max="13" width="13.7109375" customWidth="1"/>
    <col min="14" max="14" width="7.28515625" customWidth="1"/>
    <col min="15" max="15" width="18" customWidth="1"/>
    <col min="16" max="16" width="11.5703125" customWidth="1"/>
    <col min="17" max="17" width="17.85546875" customWidth="1"/>
    <col min="18" max="18" width="11.28515625" customWidth="1"/>
    <col min="19" max="19" width="7.28515625" customWidth="1"/>
    <col min="20" max="20" width="12.85546875" customWidth="1"/>
    <col min="21" max="21" width="12.5703125" customWidth="1"/>
    <col min="22" max="22" width="17.28515625" customWidth="1"/>
    <col min="23" max="23" width="16.5703125" customWidth="1"/>
    <col min="24" max="24" width="16.85546875" customWidth="1"/>
    <col min="25" max="25" width="9.42578125" bestFit="1" customWidth="1"/>
    <col min="26" max="26" width="10.7109375" bestFit="1" customWidth="1"/>
    <col min="27" max="27" width="9.42578125" bestFit="1" customWidth="1"/>
    <col min="28" max="28" width="10.7109375" bestFit="1" customWidth="1"/>
    <col min="29" max="29" width="9.42578125" bestFit="1" customWidth="1"/>
    <col min="30" max="30" width="10.7109375" bestFit="1" customWidth="1"/>
    <col min="31" max="31" width="9.42578125" bestFit="1" customWidth="1"/>
    <col min="32" max="32" width="10.7109375" bestFit="1" customWidth="1"/>
    <col min="33" max="33" width="9.42578125" bestFit="1" customWidth="1"/>
    <col min="34" max="34" width="10.7109375" bestFit="1" customWidth="1"/>
  </cols>
  <sheetData>
    <row r="1" spans="1:58" ht="23.25">
      <c r="A1" s="427" t="s">
        <v>140</v>
      </c>
      <c r="B1" s="427"/>
      <c r="C1" s="427"/>
      <c r="M1" s="41">
        <f>SUBTOTAL(9,M4:M1048576)</f>
        <v>220</v>
      </c>
      <c r="U1" s="41">
        <f>SUBTOTAL(9,U4:U1048576)</f>
        <v>0</v>
      </c>
      <c r="V1" s="40">
        <f>SUBTOTAL(9,V4:V1048576)</f>
        <v>220</v>
      </c>
    </row>
    <row r="2" spans="1:58" s="66" customFormat="1" ht="18">
      <c r="A2" s="428" t="s">
        <v>0</v>
      </c>
      <c r="B2" s="419" t="s">
        <v>1</v>
      </c>
      <c r="C2" s="419" t="s">
        <v>2</v>
      </c>
      <c r="D2" s="419" t="s">
        <v>3</v>
      </c>
      <c r="E2" s="419" t="s">
        <v>4</v>
      </c>
      <c r="F2" s="419" t="s">
        <v>5</v>
      </c>
      <c r="G2" s="419" t="s">
        <v>6</v>
      </c>
      <c r="H2" s="419" t="s">
        <v>7</v>
      </c>
      <c r="I2" s="419" t="s">
        <v>8</v>
      </c>
      <c r="J2" s="418" t="s">
        <v>9</v>
      </c>
      <c r="K2" s="419" t="s">
        <v>10</v>
      </c>
      <c r="L2" s="418" t="s">
        <v>11</v>
      </c>
      <c r="M2" s="419" t="s">
        <v>39</v>
      </c>
      <c r="N2" s="420" t="s">
        <v>12</v>
      </c>
      <c r="O2" s="419" t="s">
        <v>13</v>
      </c>
      <c r="P2" s="419" t="s">
        <v>14</v>
      </c>
      <c r="Q2" s="419" t="s">
        <v>15</v>
      </c>
      <c r="R2" s="419" t="s">
        <v>16</v>
      </c>
      <c r="S2" s="419" t="s">
        <v>40</v>
      </c>
      <c r="T2" s="418" t="s">
        <v>17</v>
      </c>
      <c r="U2" s="429" t="s">
        <v>18</v>
      </c>
      <c r="V2" s="424" t="s">
        <v>41</v>
      </c>
      <c r="W2" s="419" t="s">
        <v>19</v>
      </c>
      <c r="X2" s="430" t="s">
        <v>20</v>
      </c>
      <c r="Y2" s="419" t="s">
        <v>42</v>
      </c>
      <c r="Z2" s="419"/>
      <c r="AA2" s="419" t="s">
        <v>43</v>
      </c>
      <c r="AB2" s="419"/>
      <c r="AC2" s="419" t="s">
        <v>44</v>
      </c>
      <c r="AD2" s="419"/>
      <c r="AE2" s="419" t="s">
        <v>45</v>
      </c>
      <c r="AF2" s="419"/>
      <c r="AG2" s="419" t="s">
        <v>46</v>
      </c>
      <c r="AH2" s="419"/>
    </row>
    <row r="3" spans="1:58" s="66" customFormat="1" ht="18">
      <c r="A3" s="428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8"/>
      <c r="M3" s="419"/>
      <c r="N3" s="420"/>
      <c r="O3" s="419"/>
      <c r="P3" s="419"/>
      <c r="Q3" s="419"/>
      <c r="R3" s="419"/>
      <c r="S3" s="419"/>
      <c r="T3" s="418"/>
      <c r="U3" s="429"/>
      <c r="V3" s="424"/>
      <c r="W3" s="419"/>
      <c r="X3" s="431"/>
      <c r="Y3" s="67" t="s">
        <v>21</v>
      </c>
      <c r="Z3" s="68" t="s">
        <v>22</v>
      </c>
      <c r="AA3" s="67" t="s">
        <v>21</v>
      </c>
      <c r="AB3" s="68" t="s">
        <v>22</v>
      </c>
      <c r="AC3" s="67" t="s">
        <v>21</v>
      </c>
      <c r="AD3" s="68" t="s">
        <v>22</v>
      </c>
      <c r="AE3" s="67" t="s">
        <v>21</v>
      </c>
      <c r="AF3" s="68" t="s">
        <v>22</v>
      </c>
      <c r="AG3" s="67" t="s">
        <v>21</v>
      </c>
      <c r="AH3" s="68" t="s">
        <v>22</v>
      </c>
    </row>
    <row r="4" spans="1:58" s="29" customFormat="1" ht="20.25" hidden="1" customHeight="1">
      <c r="A4" s="11">
        <v>45667</v>
      </c>
      <c r="B4" s="16" t="s">
        <v>565</v>
      </c>
      <c r="C4" s="16" t="s">
        <v>211</v>
      </c>
      <c r="D4" s="16" t="s">
        <v>212</v>
      </c>
      <c r="E4" s="16" t="s">
        <v>47</v>
      </c>
      <c r="F4" s="16" t="s">
        <v>566</v>
      </c>
      <c r="G4" s="16" t="s">
        <v>71</v>
      </c>
      <c r="H4" s="16" t="s">
        <v>31</v>
      </c>
      <c r="I4" s="16" t="s">
        <v>63</v>
      </c>
      <c r="J4" s="16" t="s">
        <v>27</v>
      </c>
      <c r="K4" s="16" t="s">
        <v>567</v>
      </c>
      <c r="L4" s="16" t="s">
        <v>35</v>
      </c>
      <c r="M4" s="17">
        <v>29</v>
      </c>
      <c r="N4" s="23">
        <v>1.33</v>
      </c>
      <c r="O4" s="16" t="s">
        <v>67</v>
      </c>
      <c r="P4" s="16" t="s">
        <v>29</v>
      </c>
      <c r="Q4" s="16" t="s">
        <v>29</v>
      </c>
      <c r="R4" s="16" t="s">
        <v>29</v>
      </c>
      <c r="S4" s="13">
        <v>45681</v>
      </c>
      <c r="T4" s="13">
        <v>45681</v>
      </c>
      <c r="U4" s="16"/>
      <c r="V4" s="59">
        <f>M4-U4-Y4</f>
        <v>0</v>
      </c>
      <c r="W4" s="22" t="s">
        <v>568</v>
      </c>
      <c r="X4" s="16" t="s">
        <v>29</v>
      </c>
      <c r="Y4" s="35">
        <v>29</v>
      </c>
      <c r="Z4" s="31">
        <v>45688</v>
      </c>
    </row>
    <row r="5" spans="1:58" s="29" customFormat="1" ht="20.25" hidden="1" customHeight="1">
      <c r="A5" s="11">
        <v>45670</v>
      </c>
      <c r="B5" s="16" t="s">
        <v>569</v>
      </c>
      <c r="C5" s="16" t="s">
        <v>438</v>
      </c>
      <c r="D5" s="16" t="s">
        <v>212</v>
      </c>
      <c r="E5" s="16" t="s">
        <v>47</v>
      </c>
      <c r="F5" s="16" t="s">
        <v>570</v>
      </c>
      <c r="G5" s="16" t="s">
        <v>71</v>
      </c>
      <c r="H5" s="16" t="s">
        <v>31</v>
      </c>
      <c r="I5" s="16" t="s">
        <v>63</v>
      </c>
      <c r="J5" s="16" t="s">
        <v>27</v>
      </c>
      <c r="K5" s="16" t="s">
        <v>571</v>
      </c>
      <c r="L5" s="16" t="s">
        <v>35</v>
      </c>
      <c r="M5" s="17">
        <v>170</v>
      </c>
      <c r="N5" s="23">
        <v>1.33</v>
      </c>
      <c r="O5" s="16" t="s">
        <v>572</v>
      </c>
      <c r="P5" s="16" t="s">
        <v>29</v>
      </c>
      <c r="Q5" s="16" t="s">
        <v>29</v>
      </c>
      <c r="R5" s="16" t="s">
        <v>573</v>
      </c>
      <c r="S5" s="13">
        <v>45687</v>
      </c>
      <c r="T5" s="13">
        <v>45691</v>
      </c>
      <c r="U5" s="16"/>
      <c r="V5" s="59">
        <f>M5-U5-Y5</f>
        <v>0</v>
      </c>
      <c r="W5" s="22" t="s">
        <v>574</v>
      </c>
      <c r="X5" s="16" t="s">
        <v>29</v>
      </c>
      <c r="Y5" s="21">
        <v>170</v>
      </c>
      <c r="Z5" s="24">
        <v>45678</v>
      </c>
    </row>
    <row r="6" spans="1:58" s="29" customFormat="1" ht="20.25" hidden="1" customHeight="1">
      <c r="A6" s="11">
        <v>45825</v>
      </c>
      <c r="B6" s="16" t="s">
        <v>1402</v>
      </c>
      <c r="C6" s="16" t="s">
        <v>290</v>
      </c>
      <c r="D6" s="16" t="s">
        <v>212</v>
      </c>
      <c r="E6" s="16" t="s">
        <v>47</v>
      </c>
      <c r="F6" s="16" t="s">
        <v>1403</v>
      </c>
      <c r="G6" s="16" t="s">
        <v>71</v>
      </c>
      <c r="H6" s="16" t="s">
        <v>31</v>
      </c>
      <c r="I6" s="16" t="s">
        <v>63</v>
      </c>
      <c r="J6" s="16" t="s">
        <v>27</v>
      </c>
      <c r="K6" s="16" t="s">
        <v>913</v>
      </c>
      <c r="L6" s="16" t="s">
        <v>75</v>
      </c>
      <c r="M6" s="17">
        <v>120</v>
      </c>
      <c r="N6" s="23">
        <v>1.3</v>
      </c>
      <c r="O6" s="16" t="s">
        <v>1063</v>
      </c>
      <c r="P6" s="16" t="s">
        <v>29</v>
      </c>
      <c r="Q6" s="16" t="s">
        <v>1404</v>
      </c>
      <c r="R6" s="16" t="s">
        <v>29</v>
      </c>
      <c r="S6" s="13">
        <v>45846</v>
      </c>
      <c r="T6" s="13">
        <v>45839</v>
      </c>
      <c r="U6" s="19"/>
      <c r="V6" s="53">
        <f>M6-U6-Y6-AA6</f>
        <v>-1.0999999999999943</v>
      </c>
      <c r="W6" s="22" t="s">
        <v>1405</v>
      </c>
      <c r="X6" s="16" t="s">
        <v>1454</v>
      </c>
      <c r="Y6" s="19">
        <v>121.1</v>
      </c>
      <c r="Z6" s="14">
        <v>45833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</row>
    <row r="7" spans="1:58" s="29" customFormat="1" ht="20.25" hidden="1" customHeight="1">
      <c r="A7" s="11">
        <v>45708</v>
      </c>
      <c r="B7" s="16" t="s">
        <v>609</v>
      </c>
      <c r="C7" s="16" t="s">
        <v>438</v>
      </c>
      <c r="D7" s="16" t="s">
        <v>212</v>
      </c>
      <c r="E7" s="16" t="s">
        <v>47</v>
      </c>
      <c r="F7" s="16" t="s">
        <v>610</v>
      </c>
      <c r="G7" s="16" t="s">
        <v>71</v>
      </c>
      <c r="H7" s="16" t="s">
        <v>31</v>
      </c>
      <c r="I7" s="16" t="s">
        <v>63</v>
      </c>
      <c r="J7" s="16" t="s">
        <v>27</v>
      </c>
      <c r="K7" s="16" t="s">
        <v>239</v>
      </c>
      <c r="L7" s="16" t="s">
        <v>75</v>
      </c>
      <c r="M7" s="17">
        <v>13</v>
      </c>
      <c r="N7" s="23">
        <v>1.33</v>
      </c>
      <c r="O7" s="16" t="s">
        <v>67</v>
      </c>
      <c r="P7" s="16" t="s">
        <v>29</v>
      </c>
      <c r="Q7" s="16" t="s">
        <v>611</v>
      </c>
      <c r="R7" s="16" t="s">
        <v>29</v>
      </c>
      <c r="S7" s="13">
        <v>45722</v>
      </c>
      <c r="T7" s="13">
        <v>45722</v>
      </c>
      <c r="U7" s="16"/>
      <c r="V7" s="53">
        <f>M7-U7-Y7</f>
        <v>-1.5999999999999996</v>
      </c>
      <c r="W7" s="22" t="s">
        <v>612</v>
      </c>
      <c r="X7" s="16" t="s">
        <v>29</v>
      </c>
      <c r="Y7" s="16">
        <v>14.6</v>
      </c>
      <c r="Z7" s="24">
        <v>45720</v>
      </c>
    </row>
    <row r="8" spans="1:58" s="29" customFormat="1" ht="20.25" hidden="1" customHeight="1">
      <c r="A8" s="11">
        <v>45695</v>
      </c>
      <c r="B8" s="16" t="s">
        <v>579</v>
      </c>
      <c r="C8" s="16" t="s">
        <v>267</v>
      </c>
      <c r="D8" s="16" t="s">
        <v>212</v>
      </c>
      <c r="E8" s="16" t="s">
        <v>47</v>
      </c>
      <c r="F8" s="16" t="s">
        <v>580</v>
      </c>
      <c r="G8" s="16" t="s">
        <v>71</v>
      </c>
      <c r="H8" s="16" t="s">
        <v>26</v>
      </c>
      <c r="I8" s="16" t="s">
        <v>63</v>
      </c>
      <c r="J8" s="16" t="s">
        <v>27</v>
      </c>
      <c r="K8" s="16" t="s">
        <v>537</v>
      </c>
      <c r="L8" s="16" t="s">
        <v>75</v>
      </c>
      <c r="M8" s="17">
        <v>60</v>
      </c>
      <c r="N8" s="23">
        <v>1.33</v>
      </c>
      <c r="O8" s="16" t="s">
        <v>67</v>
      </c>
      <c r="P8" s="16" t="s">
        <v>29</v>
      </c>
      <c r="Q8" s="16" t="s">
        <v>29</v>
      </c>
      <c r="R8" s="16" t="s">
        <v>29</v>
      </c>
      <c r="S8" s="13">
        <v>45709</v>
      </c>
      <c r="T8" s="13">
        <v>45712</v>
      </c>
      <c r="U8" s="16"/>
      <c r="V8" s="53">
        <f>M8-U8-Y8</f>
        <v>-1.7000000000000028</v>
      </c>
      <c r="W8" s="22" t="s">
        <v>582</v>
      </c>
      <c r="X8" s="16" t="s">
        <v>583</v>
      </c>
      <c r="Y8" s="16">
        <v>61.7</v>
      </c>
      <c r="Z8" s="24">
        <v>45708</v>
      </c>
    </row>
    <row r="9" spans="1:58" s="29" customFormat="1" ht="20.25" hidden="1" customHeight="1">
      <c r="A9" s="11">
        <v>45695</v>
      </c>
      <c r="B9" s="16" t="s">
        <v>579</v>
      </c>
      <c r="C9" s="16" t="s">
        <v>267</v>
      </c>
      <c r="D9" s="16" t="s">
        <v>212</v>
      </c>
      <c r="E9" s="16" t="s">
        <v>47</v>
      </c>
      <c r="F9" s="16" t="s">
        <v>580</v>
      </c>
      <c r="G9" s="16" t="s">
        <v>71</v>
      </c>
      <c r="H9" s="16" t="s">
        <v>26</v>
      </c>
      <c r="I9" s="16" t="s">
        <v>63</v>
      </c>
      <c r="J9" s="16" t="s">
        <v>27</v>
      </c>
      <c r="K9" s="16" t="s">
        <v>332</v>
      </c>
      <c r="L9" s="16" t="s">
        <v>75</v>
      </c>
      <c r="M9" s="17">
        <v>30</v>
      </c>
      <c r="N9" s="23">
        <v>1.33</v>
      </c>
      <c r="O9" s="16" t="s">
        <v>67</v>
      </c>
      <c r="P9" s="16" t="s">
        <v>29</v>
      </c>
      <c r="Q9" s="16" t="s">
        <v>29</v>
      </c>
      <c r="R9" s="16" t="s">
        <v>29</v>
      </c>
      <c r="S9" s="13">
        <v>45709</v>
      </c>
      <c r="T9" s="13">
        <v>45712</v>
      </c>
      <c r="U9" s="16"/>
      <c r="V9" s="53">
        <f>M9-U9-Y9</f>
        <v>-2</v>
      </c>
      <c r="W9" s="22" t="s">
        <v>584</v>
      </c>
      <c r="X9" s="16" t="s">
        <v>342</v>
      </c>
      <c r="Y9" s="16">
        <v>32</v>
      </c>
      <c r="Z9" s="24">
        <v>45708</v>
      </c>
    </row>
    <row r="10" spans="1:58" s="29" customFormat="1" ht="20.25" hidden="1" customHeight="1">
      <c r="A10" s="11">
        <v>45695</v>
      </c>
      <c r="B10" s="16" t="s">
        <v>579</v>
      </c>
      <c r="C10" s="16" t="s">
        <v>267</v>
      </c>
      <c r="D10" s="16" t="s">
        <v>212</v>
      </c>
      <c r="E10" s="16" t="s">
        <v>47</v>
      </c>
      <c r="F10" s="16" t="s">
        <v>580</v>
      </c>
      <c r="G10" s="16" t="s">
        <v>71</v>
      </c>
      <c r="H10" s="16" t="s">
        <v>26</v>
      </c>
      <c r="I10" s="16" t="s">
        <v>63</v>
      </c>
      <c r="J10" s="16" t="s">
        <v>27</v>
      </c>
      <c r="K10" s="16" t="s">
        <v>585</v>
      </c>
      <c r="L10" s="16" t="s">
        <v>75</v>
      </c>
      <c r="M10" s="17">
        <v>60</v>
      </c>
      <c r="N10" s="23">
        <v>1.33</v>
      </c>
      <c r="O10" s="16" t="s">
        <v>67</v>
      </c>
      <c r="P10" s="16" t="s">
        <v>29</v>
      </c>
      <c r="Q10" s="16" t="s">
        <v>29</v>
      </c>
      <c r="R10" s="16" t="s">
        <v>29</v>
      </c>
      <c r="S10" s="13">
        <v>45709</v>
      </c>
      <c r="T10" s="13">
        <v>45712</v>
      </c>
      <c r="U10" s="16"/>
      <c r="V10" s="53">
        <f>M10-U10-Y10</f>
        <v>-3.8999999999999986</v>
      </c>
      <c r="W10" s="22" t="s">
        <v>586</v>
      </c>
      <c r="X10" s="16" t="s">
        <v>587</v>
      </c>
      <c r="Y10" s="16">
        <v>63.9</v>
      </c>
      <c r="Z10" s="85">
        <v>45708</v>
      </c>
    </row>
    <row r="11" spans="1:58" s="29" customFormat="1" ht="20.25" hidden="1" customHeight="1">
      <c r="A11" s="11">
        <v>45698</v>
      </c>
      <c r="B11" s="16" t="s">
        <v>579</v>
      </c>
      <c r="C11" s="16" t="s">
        <v>267</v>
      </c>
      <c r="D11" s="16" t="s">
        <v>212</v>
      </c>
      <c r="E11" s="16" t="s">
        <v>47</v>
      </c>
      <c r="F11" s="16" t="s">
        <v>580</v>
      </c>
      <c r="G11" s="16" t="s">
        <v>71</v>
      </c>
      <c r="H11" s="16" t="s">
        <v>26</v>
      </c>
      <c r="I11" s="16" t="s">
        <v>63</v>
      </c>
      <c r="J11" s="16" t="s">
        <v>27</v>
      </c>
      <c r="K11" s="16" t="s">
        <v>588</v>
      </c>
      <c r="L11" s="16" t="s">
        <v>75</v>
      </c>
      <c r="M11" s="17">
        <v>30</v>
      </c>
      <c r="N11" s="23">
        <v>1.33</v>
      </c>
      <c r="O11" s="16" t="s">
        <v>67</v>
      </c>
      <c r="P11" s="16" t="s">
        <v>29</v>
      </c>
      <c r="Q11" s="16" t="s">
        <v>29</v>
      </c>
      <c r="R11" s="16" t="s">
        <v>29</v>
      </c>
      <c r="S11" s="13">
        <v>45712</v>
      </c>
      <c r="T11" s="13">
        <v>45712</v>
      </c>
      <c r="U11" s="16"/>
      <c r="V11" s="53">
        <f>M11-U11-Y11</f>
        <v>-0.5</v>
      </c>
      <c r="W11" s="22" t="s">
        <v>589</v>
      </c>
      <c r="X11" s="16" t="s">
        <v>590</v>
      </c>
      <c r="Y11" s="16">
        <v>30.5</v>
      </c>
      <c r="Z11" s="24">
        <v>45708</v>
      </c>
    </row>
    <row r="12" spans="1:58" s="29" customFormat="1" ht="20.25" hidden="1" customHeight="1">
      <c r="A12" s="11">
        <v>45727</v>
      </c>
      <c r="B12" s="16" t="s">
        <v>615</v>
      </c>
      <c r="C12" s="16" t="s">
        <v>438</v>
      </c>
      <c r="D12" s="16" t="s">
        <v>212</v>
      </c>
      <c r="E12" s="16" t="s">
        <v>47</v>
      </c>
      <c r="F12" s="16" t="s">
        <v>616</v>
      </c>
      <c r="G12" s="16" t="s">
        <v>71</v>
      </c>
      <c r="H12" s="16" t="s">
        <v>31</v>
      </c>
      <c r="I12" s="16" t="s">
        <v>63</v>
      </c>
      <c r="J12" s="16" t="s">
        <v>27</v>
      </c>
      <c r="K12" s="16" t="s">
        <v>239</v>
      </c>
      <c r="L12" s="16" t="s">
        <v>75</v>
      </c>
      <c r="M12" s="17">
        <v>25</v>
      </c>
      <c r="N12" s="23">
        <v>1.33</v>
      </c>
      <c r="O12" s="16" t="s">
        <v>67</v>
      </c>
      <c r="P12" s="16" t="s">
        <v>29</v>
      </c>
      <c r="Q12" s="16" t="s">
        <v>617</v>
      </c>
      <c r="R12" s="16" t="s">
        <v>618</v>
      </c>
      <c r="S12" s="13">
        <v>45741</v>
      </c>
      <c r="T12" s="13">
        <v>45756</v>
      </c>
      <c r="U12" s="16"/>
      <c r="V12" s="53">
        <f>M12-U12-Y12</f>
        <v>-3.6999999999999993</v>
      </c>
      <c r="W12" s="22" t="s">
        <v>619</v>
      </c>
      <c r="X12" s="16" t="s">
        <v>620</v>
      </c>
      <c r="Y12" s="16">
        <v>28.7</v>
      </c>
      <c r="Z12" s="24">
        <v>45736</v>
      </c>
    </row>
    <row r="13" spans="1:58" s="29" customFormat="1" ht="20.25" hidden="1" customHeight="1">
      <c r="A13" s="11">
        <v>45707</v>
      </c>
      <c r="B13" s="16" t="s">
        <v>591</v>
      </c>
      <c r="C13" s="16" t="s">
        <v>267</v>
      </c>
      <c r="D13" s="16" t="s">
        <v>212</v>
      </c>
      <c r="E13" s="16" t="s">
        <v>47</v>
      </c>
      <c r="F13" s="16" t="s">
        <v>592</v>
      </c>
      <c r="G13" s="16" t="s">
        <v>71</v>
      </c>
      <c r="H13" s="16" t="s">
        <v>31</v>
      </c>
      <c r="I13" s="16" t="s">
        <v>63</v>
      </c>
      <c r="J13" s="16" t="s">
        <v>27</v>
      </c>
      <c r="K13" s="16" t="s">
        <v>595</v>
      </c>
      <c r="L13" s="16" t="s">
        <v>75</v>
      </c>
      <c r="M13" s="17">
        <v>30</v>
      </c>
      <c r="N13" s="23">
        <v>1.33</v>
      </c>
      <c r="O13" s="16" t="s">
        <v>67</v>
      </c>
      <c r="P13" s="16" t="s">
        <v>29</v>
      </c>
      <c r="Q13" s="16" t="s">
        <v>29</v>
      </c>
      <c r="R13" s="16" t="s">
        <v>29</v>
      </c>
      <c r="S13" s="13">
        <v>45720</v>
      </c>
      <c r="T13" s="13">
        <v>45720</v>
      </c>
      <c r="U13" s="16"/>
      <c r="V13" s="53">
        <f>M13-U13-Y13</f>
        <v>-4.7999999999999972</v>
      </c>
      <c r="W13" s="22" t="s">
        <v>596</v>
      </c>
      <c r="X13" s="16" t="s">
        <v>597</v>
      </c>
      <c r="Y13" s="16">
        <v>34.799999999999997</v>
      </c>
      <c r="Z13" s="24">
        <v>45708</v>
      </c>
    </row>
    <row r="14" spans="1:58" s="29" customFormat="1" ht="20.25" hidden="1" customHeight="1">
      <c r="A14" s="11">
        <v>45707</v>
      </c>
      <c r="B14" s="16" t="s">
        <v>591</v>
      </c>
      <c r="C14" s="16" t="s">
        <v>267</v>
      </c>
      <c r="D14" s="16" t="s">
        <v>212</v>
      </c>
      <c r="E14" s="16" t="s">
        <v>47</v>
      </c>
      <c r="F14" s="16" t="s">
        <v>592</v>
      </c>
      <c r="G14" s="16" t="s">
        <v>71</v>
      </c>
      <c r="H14" s="16" t="s">
        <v>31</v>
      </c>
      <c r="I14" s="16" t="s">
        <v>63</v>
      </c>
      <c r="J14" s="16" t="s">
        <v>27</v>
      </c>
      <c r="K14" s="16" t="s">
        <v>598</v>
      </c>
      <c r="L14" s="16" t="s">
        <v>35</v>
      </c>
      <c r="M14" s="17">
        <v>50</v>
      </c>
      <c r="N14" s="23">
        <v>1.33</v>
      </c>
      <c r="O14" s="16" t="s">
        <v>67</v>
      </c>
      <c r="P14" s="16" t="s">
        <v>29</v>
      </c>
      <c r="Q14" s="16" t="s">
        <v>409</v>
      </c>
      <c r="R14" s="16" t="s">
        <v>29</v>
      </c>
      <c r="S14" s="13">
        <v>45720</v>
      </c>
      <c r="T14" s="13">
        <v>45720</v>
      </c>
      <c r="U14" s="16"/>
      <c r="V14" s="53">
        <f>M14-U14-Y14</f>
        <v>-2.6000000000000014</v>
      </c>
      <c r="W14" s="22" t="s">
        <v>599</v>
      </c>
      <c r="X14" s="16" t="s">
        <v>29</v>
      </c>
      <c r="Y14" s="21">
        <v>52.6</v>
      </c>
      <c r="Z14" s="24">
        <v>45713</v>
      </c>
    </row>
    <row r="15" spans="1:58" s="29" customFormat="1" ht="20.25" hidden="1" customHeight="1">
      <c r="A15" s="11">
        <v>45707</v>
      </c>
      <c r="B15" s="16" t="s">
        <v>600</v>
      </c>
      <c r="C15" s="16" t="s">
        <v>267</v>
      </c>
      <c r="D15" s="16" t="s">
        <v>212</v>
      </c>
      <c r="E15" s="16" t="s">
        <v>47</v>
      </c>
      <c r="F15" s="16" t="s">
        <v>601</v>
      </c>
      <c r="G15" s="16" t="s">
        <v>71</v>
      </c>
      <c r="H15" s="16" t="s">
        <v>31</v>
      </c>
      <c r="I15" s="16" t="s">
        <v>63</v>
      </c>
      <c r="J15" s="16" t="s">
        <v>27</v>
      </c>
      <c r="K15" s="16" t="s">
        <v>250</v>
      </c>
      <c r="L15" s="16" t="s">
        <v>75</v>
      </c>
      <c r="M15" s="17">
        <v>15</v>
      </c>
      <c r="N15" s="23">
        <v>1.33</v>
      </c>
      <c r="O15" s="16" t="s">
        <v>67</v>
      </c>
      <c r="P15" s="16" t="s">
        <v>29</v>
      </c>
      <c r="Q15" s="16" t="s">
        <v>29</v>
      </c>
      <c r="R15" s="16" t="s">
        <v>29</v>
      </c>
      <c r="S15" s="13">
        <v>45720</v>
      </c>
      <c r="T15" s="13">
        <v>45720</v>
      </c>
      <c r="U15" s="16"/>
      <c r="V15" s="53">
        <f>M15-U15-Y15</f>
        <v>-3.8999999999999986</v>
      </c>
      <c r="W15" s="22" t="s">
        <v>602</v>
      </c>
      <c r="X15" s="16" t="s">
        <v>409</v>
      </c>
      <c r="Y15" s="21">
        <v>18.899999999999999</v>
      </c>
      <c r="Z15" s="24">
        <v>45713</v>
      </c>
    </row>
    <row r="16" spans="1:58" s="37" customFormat="1" ht="20.25" hidden="1" customHeight="1">
      <c r="A16" s="11">
        <v>45707</v>
      </c>
      <c r="B16" s="16" t="s">
        <v>603</v>
      </c>
      <c r="C16" s="16" t="s">
        <v>267</v>
      </c>
      <c r="D16" s="16" t="s">
        <v>212</v>
      </c>
      <c r="E16" s="16" t="s">
        <v>47</v>
      </c>
      <c r="F16" s="16" t="s">
        <v>604</v>
      </c>
      <c r="G16" s="16" t="s">
        <v>71</v>
      </c>
      <c r="H16" s="16" t="s">
        <v>26</v>
      </c>
      <c r="I16" s="16" t="s">
        <v>63</v>
      </c>
      <c r="J16" s="16" t="s">
        <v>27</v>
      </c>
      <c r="K16" s="16" t="s">
        <v>340</v>
      </c>
      <c r="L16" s="16" t="s">
        <v>75</v>
      </c>
      <c r="M16" s="17">
        <v>50</v>
      </c>
      <c r="N16" s="23">
        <v>1.33</v>
      </c>
      <c r="O16" s="16" t="s">
        <v>67</v>
      </c>
      <c r="P16" s="16" t="s">
        <v>29</v>
      </c>
      <c r="Q16" s="16" t="s">
        <v>29</v>
      </c>
      <c r="R16" s="16" t="s">
        <v>29</v>
      </c>
      <c r="S16" s="13">
        <v>45720</v>
      </c>
      <c r="T16" s="13">
        <v>45720</v>
      </c>
      <c r="U16" s="16"/>
      <c r="V16" s="53">
        <f>M16-U16-Y16</f>
        <v>-0.20000000000000284</v>
      </c>
      <c r="W16" s="22" t="s">
        <v>605</v>
      </c>
      <c r="X16" s="16" t="s">
        <v>342</v>
      </c>
      <c r="Y16" s="21">
        <v>50.2</v>
      </c>
      <c r="Z16" s="24">
        <v>45713</v>
      </c>
      <c r="AA16" s="29"/>
      <c r="AB16" s="29"/>
      <c r="AC16" s="29"/>
      <c r="AD16" s="29"/>
      <c r="AE16" s="29"/>
      <c r="AF16" s="29"/>
      <c r="AG16" s="29"/>
      <c r="AH16" s="29"/>
    </row>
    <row r="17" spans="1:58" s="37" customFormat="1" ht="20.25" hidden="1" customHeight="1">
      <c r="A17" s="11">
        <v>45707</v>
      </c>
      <c r="B17" s="16" t="s">
        <v>606</v>
      </c>
      <c r="C17" s="16" t="s">
        <v>267</v>
      </c>
      <c r="D17" s="16" t="s">
        <v>212</v>
      </c>
      <c r="E17" s="16" t="s">
        <v>47</v>
      </c>
      <c r="F17" s="16" t="s">
        <v>607</v>
      </c>
      <c r="G17" s="16" t="s">
        <v>71</v>
      </c>
      <c r="H17" s="16" t="s">
        <v>31</v>
      </c>
      <c r="I17" s="16" t="s">
        <v>63</v>
      </c>
      <c r="J17" s="16" t="s">
        <v>27</v>
      </c>
      <c r="K17" s="16" t="s">
        <v>250</v>
      </c>
      <c r="L17" s="16" t="s">
        <v>35</v>
      </c>
      <c r="M17" s="17">
        <v>60</v>
      </c>
      <c r="N17" s="23">
        <v>1.33</v>
      </c>
      <c r="O17" s="16" t="s">
        <v>67</v>
      </c>
      <c r="P17" s="16" t="s">
        <v>29</v>
      </c>
      <c r="Q17" s="16" t="s">
        <v>29</v>
      </c>
      <c r="R17" s="16" t="s">
        <v>29</v>
      </c>
      <c r="S17" s="13">
        <v>45720</v>
      </c>
      <c r="T17" s="13">
        <v>45720</v>
      </c>
      <c r="U17" s="16"/>
      <c r="V17" s="53">
        <f>M17-U17-Y17</f>
        <v>-3.6000000000000014</v>
      </c>
      <c r="W17" s="22" t="s">
        <v>608</v>
      </c>
      <c r="X17" s="16" t="s">
        <v>409</v>
      </c>
      <c r="Y17" s="21">
        <v>63.6</v>
      </c>
      <c r="Z17" s="24">
        <v>45713</v>
      </c>
      <c r="AA17" s="29"/>
      <c r="AB17" s="29"/>
      <c r="AC17" s="29"/>
      <c r="AD17" s="29"/>
      <c r="AE17" s="29"/>
      <c r="AF17" s="29"/>
      <c r="AG17" s="29"/>
      <c r="AH17" s="29"/>
    </row>
    <row r="18" spans="1:58" s="29" customFormat="1" ht="20.25" hidden="1" customHeight="1">
      <c r="A18" s="11">
        <v>45674</v>
      </c>
      <c r="B18" s="16" t="s">
        <v>575</v>
      </c>
      <c r="C18" s="16" t="s">
        <v>290</v>
      </c>
      <c r="D18" s="16" t="s">
        <v>212</v>
      </c>
      <c r="E18" s="16" t="s">
        <v>47</v>
      </c>
      <c r="F18" s="16" t="s">
        <v>576</v>
      </c>
      <c r="G18" s="16" t="s">
        <v>71</v>
      </c>
      <c r="H18" s="16" t="s">
        <v>31</v>
      </c>
      <c r="I18" s="16" t="s">
        <v>63</v>
      </c>
      <c r="J18" s="16" t="s">
        <v>27</v>
      </c>
      <c r="K18" s="16" t="s">
        <v>218</v>
      </c>
      <c r="L18" s="16" t="s">
        <v>75</v>
      </c>
      <c r="M18" s="17">
        <v>100</v>
      </c>
      <c r="N18" s="23">
        <v>1.33</v>
      </c>
      <c r="O18" s="16" t="s">
        <v>67</v>
      </c>
      <c r="P18" s="16" t="s">
        <v>29</v>
      </c>
      <c r="Q18" s="16" t="s">
        <v>577</v>
      </c>
      <c r="R18" s="16" t="s">
        <v>29</v>
      </c>
      <c r="S18" s="13">
        <v>45688</v>
      </c>
      <c r="T18" s="13">
        <v>45688</v>
      </c>
      <c r="U18" s="16"/>
      <c r="V18" s="59">
        <f>M18-U18-Y18</f>
        <v>0</v>
      </c>
      <c r="W18" s="22" t="s">
        <v>578</v>
      </c>
      <c r="X18" s="84" t="s">
        <v>29</v>
      </c>
      <c r="Y18" s="21">
        <v>100</v>
      </c>
      <c r="Z18" s="24">
        <v>45680</v>
      </c>
    </row>
    <row r="19" spans="1:58" s="29" customFormat="1" ht="20.25" hidden="1" customHeight="1">
      <c r="A19" s="11">
        <v>45708</v>
      </c>
      <c r="B19" s="16" t="s">
        <v>609</v>
      </c>
      <c r="C19" s="16" t="s">
        <v>438</v>
      </c>
      <c r="D19" s="16" t="s">
        <v>212</v>
      </c>
      <c r="E19" s="16" t="s">
        <v>47</v>
      </c>
      <c r="F19" s="16" t="s">
        <v>610</v>
      </c>
      <c r="G19" s="16" t="s">
        <v>71</v>
      </c>
      <c r="H19" s="16" t="s">
        <v>31</v>
      </c>
      <c r="I19" s="16" t="s">
        <v>63</v>
      </c>
      <c r="J19" s="16" t="s">
        <v>27</v>
      </c>
      <c r="K19" s="16" t="s">
        <v>613</v>
      </c>
      <c r="L19" s="16" t="s">
        <v>75</v>
      </c>
      <c r="M19" s="17">
        <v>13</v>
      </c>
      <c r="N19" s="23">
        <v>1.33</v>
      </c>
      <c r="O19" s="16" t="s">
        <v>67</v>
      </c>
      <c r="P19" s="16" t="s">
        <v>29</v>
      </c>
      <c r="Q19" s="16" t="s">
        <v>611</v>
      </c>
      <c r="R19" s="16" t="s">
        <v>29</v>
      </c>
      <c r="S19" s="13">
        <v>45722</v>
      </c>
      <c r="T19" s="13">
        <v>45722</v>
      </c>
      <c r="U19" s="16"/>
      <c r="V19" s="53">
        <f>M19-U19-Y19</f>
        <v>-4.1999999999999993</v>
      </c>
      <c r="W19" s="22" t="s">
        <v>614</v>
      </c>
      <c r="Y19" s="16">
        <v>17.2</v>
      </c>
      <c r="Z19" s="24">
        <v>45720</v>
      </c>
    </row>
    <row r="20" spans="1:58" s="29" customFormat="1" ht="20.25" hidden="1" customHeight="1">
      <c r="A20" s="11">
        <v>45695</v>
      </c>
      <c r="B20" s="16" t="s">
        <v>579</v>
      </c>
      <c r="C20" s="16" t="s">
        <v>267</v>
      </c>
      <c r="D20" s="16" t="s">
        <v>212</v>
      </c>
      <c r="E20" s="16" t="s">
        <v>47</v>
      </c>
      <c r="F20" s="16" t="s">
        <v>580</v>
      </c>
      <c r="G20" s="16" t="s">
        <v>71</v>
      </c>
      <c r="H20" s="16" t="s">
        <v>26</v>
      </c>
      <c r="I20" s="16" t="s">
        <v>63</v>
      </c>
      <c r="J20" s="16" t="s">
        <v>27</v>
      </c>
      <c r="K20" s="16" t="s">
        <v>218</v>
      </c>
      <c r="L20" s="16" t="s">
        <v>75</v>
      </c>
      <c r="M20" s="17">
        <v>150</v>
      </c>
      <c r="N20" s="23">
        <v>1.33</v>
      </c>
      <c r="O20" s="16" t="s">
        <v>67</v>
      </c>
      <c r="P20" s="16" t="s">
        <v>29</v>
      </c>
      <c r="Q20" s="16" t="s">
        <v>29</v>
      </c>
      <c r="R20" s="16" t="s">
        <v>29</v>
      </c>
      <c r="S20" s="13">
        <v>45709</v>
      </c>
      <c r="T20" s="13">
        <v>45712</v>
      </c>
      <c r="U20" s="16"/>
      <c r="V20" s="53">
        <f>M20-U20-Y20</f>
        <v>0</v>
      </c>
      <c r="W20" s="22" t="s">
        <v>581</v>
      </c>
      <c r="X20" s="16" t="s">
        <v>431</v>
      </c>
      <c r="Y20" s="16">
        <v>150</v>
      </c>
      <c r="Z20" s="24">
        <v>45708</v>
      </c>
    </row>
    <row r="21" spans="1:58" s="29" customFormat="1" ht="20.25" hidden="1" customHeight="1">
      <c r="A21" s="11">
        <v>45729</v>
      </c>
      <c r="B21" s="16" t="s">
        <v>621</v>
      </c>
      <c r="C21" s="16" t="s">
        <v>290</v>
      </c>
      <c r="D21" s="16" t="s">
        <v>212</v>
      </c>
      <c r="E21" s="16" t="s">
        <v>47</v>
      </c>
      <c r="F21" s="16" t="s">
        <v>622</v>
      </c>
      <c r="G21" s="16" t="s">
        <v>71</v>
      </c>
      <c r="H21" s="16" t="s">
        <v>31</v>
      </c>
      <c r="I21" s="16" t="s">
        <v>63</v>
      </c>
      <c r="J21" s="16" t="s">
        <v>27</v>
      </c>
      <c r="K21" s="16" t="s">
        <v>623</v>
      </c>
      <c r="L21" s="16" t="s">
        <v>75</v>
      </c>
      <c r="M21" s="17">
        <v>30</v>
      </c>
      <c r="N21" s="23">
        <v>1.33</v>
      </c>
      <c r="O21" s="16" t="s">
        <v>67</v>
      </c>
      <c r="P21" s="16" t="s">
        <v>29</v>
      </c>
      <c r="Q21" s="16" t="s">
        <v>624</v>
      </c>
      <c r="R21" s="16" t="s">
        <v>29</v>
      </c>
      <c r="S21" s="13">
        <v>45743</v>
      </c>
      <c r="T21" s="13">
        <v>45743</v>
      </c>
      <c r="U21" s="16"/>
      <c r="V21" s="53">
        <f>M21-U21-Y21</f>
        <v>-1.6000000000000014</v>
      </c>
      <c r="W21" s="22" t="s">
        <v>625</v>
      </c>
      <c r="X21" s="16" t="s">
        <v>29</v>
      </c>
      <c r="Y21" s="21">
        <v>31.6</v>
      </c>
      <c r="Z21" s="24">
        <v>45769</v>
      </c>
    </row>
    <row r="22" spans="1:58" s="29" customFormat="1" ht="20.25" hidden="1" customHeight="1">
      <c r="A22" s="11">
        <v>45729</v>
      </c>
      <c r="B22" s="16" t="s">
        <v>626</v>
      </c>
      <c r="C22" s="16" t="s">
        <v>290</v>
      </c>
      <c r="D22" s="16" t="s">
        <v>212</v>
      </c>
      <c r="E22" s="16" t="s">
        <v>47</v>
      </c>
      <c r="F22" s="16" t="s">
        <v>627</v>
      </c>
      <c r="G22" s="16" t="s">
        <v>71</v>
      </c>
      <c r="H22" s="16" t="s">
        <v>31</v>
      </c>
      <c r="I22" s="16" t="s">
        <v>63</v>
      </c>
      <c r="J22" s="16" t="s">
        <v>27</v>
      </c>
      <c r="K22" s="16" t="s">
        <v>623</v>
      </c>
      <c r="L22" s="16" t="s">
        <v>35</v>
      </c>
      <c r="M22" s="17">
        <v>22</v>
      </c>
      <c r="N22" s="23">
        <v>1.33</v>
      </c>
      <c r="O22" s="16" t="s">
        <v>67</v>
      </c>
      <c r="P22" s="16" t="s">
        <v>29</v>
      </c>
      <c r="Q22" s="16" t="s">
        <v>624</v>
      </c>
      <c r="R22" s="16" t="s">
        <v>29</v>
      </c>
      <c r="S22" s="13">
        <v>45743</v>
      </c>
      <c r="T22" s="13">
        <v>45743</v>
      </c>
      <c r="U22" s="16"/>
      <c r="V22" s="53">
        <f>M22-U22-Y22</f>
        <v>-0.5</v>
      </c>
      <c r="W22" s="22" t="s">
        <v>628</v>
      </c>
      <c r="X22" s="16" t="s">
        <v>629</v>
      </c>
      <c r="Y22" s="21">
        <v>22.5</v>
      </c>
      <c r="Z22" s="24">
        <v>45769</v>
      </c>
    </row>
    <row r="23" spans="1:58" s="29" customFormat="1" ht="20.25" hidden="1" customHeight="1">
      <c r="A23" s="11">
        <v>45756</v>
      </c>
      <c r="B23" s="16" t="s">
        <v>630</v>
      </c>
      <c r="C23" s="16" t="s">
        <v>290</v>
      </c>
      <c r="D23" s="16" t="s">
        <v>212</v>
      </c>
      <c r="E23" s="16" t="s">
        <v>47</v>
      </c>
      <c r="F23" s="16" t="s">
        <v>631</v>
      </c>
      <c r="G23" s="16" t="s">
        <v>71</v>
      </c>
      <c r="H23" s="16" t="s">
        <v>31</v>
      </c>
      <c r="I23" s="16" t="s">
        <v>63</v>
      </c>
      <c r="J23" s="16" t="s">
        <v>27</v>
      </c>
      <c r="K23" s="16" t="s">
        <v>632</v>
      </c>
      <c r="L23" s="16" t="s">
        <v>75</v>
      </c>
      <c r="M23" s="17">
        <v>30</v>
      </c>
      <c r="N23" s="23">
        <v>1.33</v>
      </c>
      <c r="O23" s="16" t="s">
        <v>67</v>
      </c>
      <c r="P23" s="16" t="s">
        <v>29</v>
      </c>
      <c r="Q23" s="16" t="s">
        <v>633</v>
      </c>
      <c r="R23" s="16" t="s">
        <v>29</v>
      </c>
      <c r="S23" s="13">
        <v>45770</v>
      </c>
      <c r="T23" s="13">
        <v>45770</v>
      </c>
      <c r="U23" s="16"/>
      <c r="V23" s="53">
        <f>M23-U23-Y23</f>
        <v>-1.6999999999999993</v>
      </c>
      <c r="W23" s="22" t="s">
        <v>634</v>
      </c>
      <c r="X23" s="16" t="s">
        <v>635</v>
      </c>
      <c r="Y23" s="21">
        <v>31.7</v>
      </c>
      <c r="Z23" s="24">
        <v>45769</v>
      </c>
    </row>
    <row r="24" spans="1:58" s="29" customFormat="1" ht="20.25" hidden="1" customHeight="1">
      <c r="A24" s="11">
        <v>45756</v>
      </c>
      <c r="B24" s="16" t="s">
        <v>636</v>
      </c>
      <c r="C24" s="16" t="s">
        <v>290</v>
      </c>
      <c r="D24" s="16" t="s">
        <v>212</v>
      </c>
      <c r="E24" s="16" t="s">
        <v>47</v>
      </c>
      <c r="F24" s="16" t="s">
        <v>637</v>
      </c>
      <c r="G24" s="16" t="s">
        <v>71</v>
      </c>
      <c r="H24" s="16" t="s">
        <v>31</v>
      </c>
      <c r="I24" s="16" t="s">
        <v>63</v>
      </c>
      <c r="J24" s="16" t="s">
        <v>27</v>
      </c>
      <c r="K24" s="16" t="s">
        <v>632</v>
      </c>
      <c r="L24" s="16" t="s">
        <v>75</v>
      </c>
      <c r="M24" s="17">
        <v>50</v>
      </c>
      <c r="N24" s="23">
        <v>1.33</v>
      </c>
      <c r="O24" s="16" t="s">
        <v>67</v>
      </c>
      <c r="P24" s="16" t="s">
        <v>29</v>
      </c>
      <c r="Q24" s="16" t="s">
        <v>633</v>
      </c>
      <c r="R24" s="16" t="s">
        <v>29</v>
      </c>
      <c r="S24" s="13">
        <v>45770</v>
      </c>
      <c r="T24" s="13">
        <v>45770</v>
      </c>
      <c r="U24" s="16"/>
      <c r="V24" s="53">
        <f>M24-U24-Y24</f>
        <v>-1.2000000000000028</v>
      </c>
      <c r="W24" s="22" t="s">
        <v>638</v>
      </c>
      <c r="X24" s="16" t="s">
        <v>29</v>
      </c>
      <c r="Y24" s="21">
        <v>51.2</v>
      </c>
      <c r="Z24" s="24">
        <v>45769</v>
      </c>
    </row>
    <row r="25" spans="1:58" s="29" customFormat="1" ht="20.25" hidden="1" customHeight="1">
      <c r="A25" s="11">
        <v>45761</v>
      </c>
      <c r="B25" s="16" t="s">
        <v>289</v>
      </c>
      <c r="C25" s="16" t="s">
        <v>290</v>
      </c>
      <c r="D25" s="16" t="s">
        <v>212</v>
      </c>
      <c r="E25" s="16" t="s">
        <v>47</v>
      </c>
      <c r="F25" s="16" t="s">
        <v>291</v>
      </c>
      <c r="G25" s="16" t="s">
        <v>71</v>
      </c>
      <c r="H25" s="16" t="s">
        <v>31</v>
      </c>
      <c r="I25" s="16" t="s">
        <v>63</v>
      </c>
      <c r="J25" s="16" t="s">
        <v>27</v>
      </c>
      <c r="K25" s="16" t="s">
        <v>292</v>
      </c>
      <c r="L25" s="16" t="s">
        <v>75</v>
      </c>
      <c r="M25" s="17">
        <v>50</v>
      </c>
      <c r="N25" s="23">
        <v>0</v>
      </c>
      <c r="O25" s="16" t="s">
        <v>67</v>
      </c>
      <c r="P25" s="16"/>
      <c r="Q25" s="16" t="s">
        <v>293</v>
      </c>
      <c r="R25" s="16"/>
      <c r="S25" s="13">
        <v>45775</v>
      </c>
      <c r="T25" s="13">
        <v>45775</v>
      </c>
      <c r="U25" s="16"/>
      <c r="V25" s="53">
        <f>M25-U25-Y25</f>
        <v>-0.60000000000000142</v>
      </c>
      <c r="W25" s="22" t="s">
        <v>295</v>
      </c>
      <c r="X25" s="16" t="s">
        <v>296</v>
      </c>
      <c r="Y25" s="16">
        <v>50.6</v>
      </c>
      <c r="Z25" s="24">
        <v>45797</v>
      </c>
    </row>
    <row r="26" spans="1:58" s="29" customFormat="1" ht="20.25" hidden="1" customHeight="1">
      <c r="A26" s="11">
        <v>45763</v>
      </c>
      <c r="B26" s="16" t="s">
        <v>639</v>
      </c>
      <c r="C26" s="16" t="s">
        <v>267</v>
      </c>
      <c r="D26" s="16" t="s">
        <v>212</v>
      </c>
      <c r="E26" s="16" t="s">
        <v>47</v>
      </c>
      <c r="F26" s="16" t="s">
        <v>640</v>
      </c>
      <c r="G26" s="16" t="s">
        <v>71</v>
      </c>
      <c r="H26" s="16" t="s">
        <v>26</v>
      </c>
      <c r="I26" s="16" t="s">
        <v>63</v>
      </c>
      <c r="J26" s="16" t="s">
        <v>27</v>
      </c>
      <c r="K26" s="16" t="s">
        <v>273</v>
      </c>
      <c r="L26" s="16" t="s">
        <v>75</v>
      </c>
      <c r="M26" s="17">
        <v>50</v>
      </c>
      <c r="N26" s="23">
        <v>0.66</v>
      </c>
      <c r="O26" s="16" t="s">
        <v>67</v>
      </c>
      <c r="P26" s="16"/>
      <c r="Q26" s="16" t="s">
        <v>641</v>
      </c>
      <c r="R26" s="16"/>
      <c r="S26" s="13" t="s">
        <v>642</v>
      </c>
      <c r="T26" s="13">
        <v>45777</v>
      </c>
      <c r="U26" s="16"/>
      <c r="V26" s="53">
        <f>M26-U26-Y26</f>
        <v>-4.3999999999999986</v>
      </c>
      <c r="W26" s="22" t="s">
        <v>643</v>
      </c>
      <c r="X26" s="16" t="s">
        <v>644</v>
      </c>
      <c r="Y26" s="21">
        <v>54.4</v>
      </c>
      <c r="Z26" s="24">
        <v>45779</v>
      </c>
    </row>
    <row r="27" spans="1:58" s="29" customFormat="1" ht="20.25" hidden="1" customHeight="1">
      <c r="A27" s="11">
        <v>45763</v>
      </c>
      <c r="B27" s="16" t="s">
        <v>639</v>
      </c>
      <c r="C27" s="16" t="s">
        <v>267</v>
      </c>
      <c r="D27" s="16" t="s">
        <v>212</v>
      </c>
      <c r="E27" s="16" t="s">
        <v>47</v>
      </c>
      <c r="F27" s="16" t="s">
        <v>640</v>
      </c>
      <c r="G27" s="16" t="s">
        <v>71</v>
      </c>
      <c r="H27" s="16" t="s">
        <v>26</v>
      </c>
      <c r="I27" s="16" t="s">
        <v>63</v>
      </c>
      <c r="J27" s="16" t="s">
        <v>27</v>
      </c>
      <c r="K27" s="16" t="s">
        <v>645</v>
      </c>
      <c r="L27" s="16" t="s">
        <v>75</v>
      </c>
      <c r="M27" s="17">
        <v>50</v>
      </c>
      <c r="N27" s="23">
        <v>0.66</v>
      </c>
      <c r="O27" s="16" t="s">
        <v>67</v>
      </c>
      <c r="P27" s="16"/>
      <c r="Q27" s="16" t="s">
        <v>646</v>
      </c>
      <c r="R27" s="16"/>
      <c r="S27" s="13" t="s">
        <v>642</v>
      </c>
      <c r="T27" s="13">
        <v>45777</v>
      </c>
      <c r="U27" s="16"/>
      <c r="V27" s="53">
        <f>M27-U27-Y27</f>
        <v>-3.3999999999999986</v>
      </c>
      <c r="W27" s="22" t="s">
        <v>647</v>
      </c>
      <c r="X27" s="16" t="s">
        <v>342</v>
      </c>
      <c r="Y27" s="21">
        <v>53.4</v>
      </c>
      <c r="Z27" s="24">
        <v>45769</v>
      </c>
    </row>
    <row r="28" spans="1:58" s="29" customFormat="1" ht="20.25" hidden="1" customHeight="1">
      <c r="A28" s="11">
        <v>45768</v>
      </c>
      <c r="B28" s="16" t="s">
        <v>297</v>
      </c>
      <c r="C28" s="16" t="s">
        <v>298</v>
      </c>
      <c r="D28" s="16" t="s">
        <v>212</v>
      </c>
      <c r="E28" s="16" t="s">
        <v>47</v>
      </c>
      <c r="F28" s="16" t="s">
        <v>299</v>
      </c>
      <c r="G28" s="16" t="s">
        <v>71</v>
      </c>
      <c r="H28" s="16" t="s">
        <v>31</v>
      </c>
      <c r="I28" s="16" t="s">
        <v>63</v>
      </c>
      <c r="J28" s="16" t="s">
        <v>27</v>
      </c>
      <c r="K28" s="16" t="s">
        <v>300</v>
      </c>
      <c r="L28" s="16" t="s">
        <v>75</v>
      </c>
      <c r="M28" s="17">
        <v>50</v>
      </c>
      <c r="N28" s="23">
        <v>0</v>
      </c>
      <c r="O28" s="16" t="s">
        <v>67</v>
      </c>
      <c r="P28" s="16"/>
      <c r="Q28" s="16" t="s">
        <v>301</v>
      </c>
      <c r="R28" s="16"/>
      <c r="S28" s="13">
        <v>45779</v>
      </c>
      <c r="T28" s="13">
        <v>45782</v>
      </c>
      <c r="U28" s="19"/>
      <c r="V28" s="53">
        <f>M28-U28-Y28</f>
        <v>-0.29999999999999716</v>
      </c>
      <c r="W28" s="22" t="s">
        <v>302</v>
      </c>
      <c r="X28" s="16" t="s">
        <v>29</v>
      </c>
      <c r="Y28" s="19">
        <v>50.3</v>
      </c>
      <c r="Z28" s="24">
        <v>45785</v>
      </c>
    </row>
    <row r="29" spans="1:58" s="29" customFormat="1" ht="20.25" hidden="1" customHeight="1">
      <c r="A29" s="11">
        <v>45707</v>
      </c>
      <c r="B29" s="16" t="s">
        <v>591</v>
      </c>
      <c r="C29" s="16" t="s">
        <v>267</v>
      </c>
      <c r="D29" s="16" t="s">
        <v>212</v>
      </c>
      <c r="E29" s="16" t="s">
        <v>47</v>
      </c>
      <c r="F29" s="16" t="s">
        <v>592</v>
      </c>
      <c r="G29" s="16" t="s">
        <v>71</v>
      </c>
      <c r="H29" s="16" t="s">
        <v>31</v>
      </c>
      <c r="I29" s="16" t="s">
        <v>63</v>
      </c>
      <c r="J29" s="16" t="s">
        <v>27</v>
      </c>
      <c r="K29" s="16" t="s">
        <v>218</v>
      </c>
      <c r="L29" s="16" t="s">
        <v>75</v>
      </c>
      <c r="M29" s="17">
        <v>50</v>
      </c>
      <c r="N29" s="23">
        <v>1.33</v>
      </c>
      <c r="O29" s="16" t="s">
        <v>67</v>
      </c>
      <c r="P29" s="16" t="s">
        <v>29</v>
      </c>
      <c r="Q29" s="16" t="s">
        <v>29</v>
      </c>
      <c r="R29" s="16" t="s">
        <v>29</v>
      </c>
      <c r="S29" s="13">
        <v>45720</v>
      </c>
      <c r="T29" s="13">
        <v>45720</v>
      </c>
      <c r="U29" s="16"/>
      <c r="V29" s="53">
        <f>M29-U29-Y29</f>
        <v>-1.2999999999999972</v>
      </c>
      <c r="W29" s="22" t="s">
        <v>593</v>
      </c>
      <c r="X29" s="16" t="s">
        <v>594</v>
      </c>
      <c r="Y29" s="16">
        <v>51.3</v>
      </c>
      <c r="Z29" s="24">
        <v>45713</v>
      </c>
    </row>
    <row r="30" spans="1:58" s="29" customFormat="1" ht="20.25" hidden="1" customHeight="1">
      <c r="A30" s="127">
        <v>45775</v>
      </c>
      <c r="B30" s="107" t="s">
        <v>657</v>
      </c>
      <c r="C30" s="128" t="s">
        <v>267</v>
      </c>
      <c r="D30" s="107" t="s">
        <v>212</v>
      </c>
      <c r="E30" s="9" t="s">
        <v>25</v>
      </c>
      <c r="F30" s="107" t="s">
        <v>658</v>
      </c>
      <c r="G30" s="107" t="s">
        <v>71</v>
      </c>
      <c r="H30" s="107" t="s">
        <v>26</v>
      </c>
      <c r="I30" s="107" t="s">
        <v>29</v>
      </c>
      <c r="J30" s="129" t="s">
        <v>110</v>
      </c>
      <c r="K30" s="108" t="s">
        <v>218</v>
      </c>
      <c r="L30" s="130" t="s">
        <v>659</v>
      </c>
      <c r="M30" s="128">
        <v>200</v>
      </c>
      <c r="N30" s="9">
        <v>0.66</v>
      </c>
      <c r="O30" s="131" t="s">
        <v>67</v>
      </c>
      <c r="P30" s="132" t="s">
        <v>29</v>
      </c>
      <c r="Q30" s="132" t="s">
        <v>29</v>
      </c>
      <c r="R30" s="14" t="s">
        <v>29</v>
      </c>
      <c r="S30" s="127" t="s">
        <v>270</v>
      </c>
      <c r="T30" s="133">
        <v>45789</v>
      </c>
      <c r="U30" s="131"/>
      <c r="V30" s="134">
        <f>M30-U30-Y30-AA30-AC30-AE30-AG30-AI30-AK30-AM30-AO30-AQ30-AS30-AU30</f>
        <v>-0.40000000000000568</v>
      </c>
      <c r="W30" s="135" t="s">
        <v>660</v>
      </c>
      <c r="X30" s="109" t="s">
        <v>661</v>
      </c>
      <c r="Y30" s="131">
        <v>200.4</v>
      </c>
      <c r="Z30" s="109">
        <v>45779</v>
      </c>
      <c r="AA30" s="167"/>
      <c r="AB30" s="168"/>
      <c r="AC30" s="167"/>
      <c r="AD30" s="168"/>
      <c r="AE30" s="167"/>
      <c r="AF30" s="168"/>
      <c r="AG30" s="167"/>
      <c r="AH30" s="168"/>
      <c r="AI30" s="167"/>
      <c r="AJ30" s="168"/>
      <c r="AK30" s="167"/>
      <c r="AL30" s="168"/>
      <c r="AM30" s="167"/>
      <c r="AN30" s="168"/>
      <c r="AO30" s="167"/>
      <c r="AP30" s="168"/>
      <c r="AQ30" s="167"/>
      <c r="AR30" s="168"/>
      <c r="AS30" s="167"/>
      <c r="AT30" s="168"/>
      <c r="AU30" s="167"/>
      <c r="AV30" s="168"/>
      <c r="AW30" s="167"/>
      <c r="AX30" s="168"/>
      <c r="AY30" s="136"/>
      <c r="AZ30" s="136"/>
      <c r="BA30" s="136"/>
      <c r="BB30" s="136"/>
      <c r="BC30" s="136"/>
      <c r="BD30" s="136"/>
      <c r="BE30" s="136"/>
      <c r="BF30" s="136"/>
    </row>
    <row r="31" spans="1:58" s="137" customFormat="1" ht="22.5" hidden="1" customHeight="1">
      <c r="A31" s="11">
        <v>45799</v>
      </c>
      <c r="B31" s="16" t="s">
        <v>1072</v>
      </c>
      <c r="C31" s="16" t="s">
        <v>290</v>
      </c>
      <c r="D31" s="16" t="s">
        <v>212</v>
      </c>
      <c r="E31" s="16" t="s">
        <v>47</v>
      </c>
      <c r="F31" s="16" t="s">
        <v>1073</v>
      </c>
      <c r="G31" s="16" t="s">
        <v>71</v>
      </c>
      <c r="H31" s="16" t="s">
        <v>31</v>
      </c>
      <c r="I31" s="16" t="s">
        <v>63</v>
      </c>
      <c r="J31" s="16" t="s">
        <v>27</v>
      </c>
      <c r="K31" s="16" t="s">
        <v>218</v>
      </c>
      <c r="L31" s="16" t="s">
        <v>75</v>
      </c>
      <c r="M31" s="17">
        <v>50</v>
      </c>
      <c r="N31" s="23">
        <v>1.33</v>
      </c>
      <c r="O31" s="16" t="s">
        <v>1063</v>
      </c>
      <c r="P31" s="16" t="s">
        <v>29</v>
      </c>
      <c r="Q31" s="16" t="s">
        <v>1074</v>
      </c>
      <c r="R31" s="16" t="s">
        <v>29</v>
      </c>
      <c r="S31" s="12" t="s">
        <v>1013</v>
      </c>
      <c r="T31" s="13">
        <v>45812</v>
      </c>
      <c r="U31" s="19"/>
      <c r="V31" s="53">
        <f>M31-U31-Y31-AA31</f>
        <v>-2.3999999999999986</v>
      </c>
      <c r="W31" s="22" t="s">
        <v>1075</v>
      </c>
      <c r="X31" s="16" t="s">
        <v>29</v>
      </c>
      <c r="Y31" s="217">
        <v>52.4</v>
      </c>
      <c r="Z31" s="218">
        <v>45804</v>
      </c>
      <c r="AA31" s="57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9"/>
      <c r="AZ31" s="29"/>
      <c r="BA31" s="29"/>
      <c r="BB31" s="29"/>
      <c r="BC31" s="29"/>
      <c r="BD31" s="29"/>
      <c r="BE31" s="29"/>
      <c r="BF31" s="29"/>
    </row>
    <row r="32" spans="1:58" s="29" customFormat="1" ht="20.25" hidden="1" customHeight="1">
      <c r="A32" s="11">
        <v>45804</v>
      </c>
      <c r="B32" s="16" t="s">
        <v>1098</v>
      </c>
      <c r="C32" s="16" t="s">
        <v>290</v>
      </c>
      <c r="D32" s="16" t="s">
        <v>212</v>
      </c>
      <c r="E32" s="16" t="s">
        <v>47</v>
      </c>
      <c r="F32" s="16" t="s">
        <v>1099</v>
      </c>
      <c r="G32" s="16" t="s">
        <v>71</v>
      </c>
      <c r="H32" s="16" t="s">
        <v>31</v>
      </c>
      <c r="I32" s="16" t="s">
        <v>63</v>
      </c>
      <c r="J32" s="16" t="s">
        <v>27</v>
      </c>
      <c r="K32" s="16" t="s">
        <v>218</v>
      </c>
      <c r="L32" s="16" t="s">
        <v>75</v>
      </c>
      <c r="M32" s="17">
        <v>22</v>
      </c>
      <c r="N32" s="23">
        <v>1.33</v>
      </c>
      <c r="O32" s="16" t="s">
        <v>1063</v>
      </c>
      <c r="P32" s="16" t="s">
        <v>29</v>
      </c>
      <c r="Q32" s="16" t="s">
        <v>1100</v>
      </c>
      <c r="R32" s="16" t="s">
        <v>29</v>
      </c>
      <c r="S32" s="13">
        <v>45811</v>
      </c>
      <c r="T32" s="13">
        <v>45818</v>
      </c>
      <c r="U32" s="19"/>
      <c r="V32" s="53">
        <f>M32-U32-Y32-AA32</f>
        <v>0</v>
      </c>
      <c r="W32" s="22" t="s">
        <v>1101</v>
      </c>
      <c r="X32" s="16" t="s">
        <v>29</v>
      </c>
      <c r="Y32" s="80">
        <v>22</v>
      </c>
      <c r="Z32" s="31">
        <v>45804</v>
      </c>
    </row>
    <row r="33" spans="1:58" s="29" customFormat="1" ht="20.25" hidden="1" customHeight="1">
      <c r="A33" s="11">
        <v>45799</v>
      </c>
      <c r="B33" s="16" t="s">
        <v>1072</v>
      </c>
      <c r="C33" s="16" t="s">
        <v>290</v>
      </c>
      <c r="D33" s="16" t="s">
        <v>212</v>
      </c>
      <c r="E33" s="16" t="s">
        <v>47</v>
      </c>
      <c r="F33" s="16" t="s">
        <v>1073</v>
      </c>
      <c r="G33" s="16" t="s">
        <v>71</v>
      </c>
      <c r="H33" s="16" t="s">
        <v>31</v>
      </c>
      <c r="I33" s="16" t="s">
        <v>63</v>
      </c>
      <c r="J33" s="16" t="s">
        <v>27</v>
      </c>
      <c r="K33" s="16" t="s">
        <v>632</v>
      </c>
      <c r="L33" s="16" t="s">
        <v>75</v>
      </c>
      <c r="M33" s="17">
        <v>50</v>
      </c>
      <c r="N33" s="23">
        <v>1.33</v>
      </c>
      <c r="O33" s="16" t="s">
        <v>67</v>
      </c>
      <c r="P33" s="16" t="s">
        <v>29</v>
      </c>
      <c r="Q33" s="16" t="s">
        <v>1074</v>
      </c>
      <c r="R33" s="16" t="s">
        <v>29</v>
      </c>
      <c r="S33" s="12" t="s">
        <v>1013</v>
      </c>
      <c r="T33" s="13">
        <v>45812</v>
      </c>
      <c r="U33" s="19"/>
      <c r="V33" s="53">
        <f>M33-U33-Y33-AA33</f>
        <v>-8.2000000000000028</v>
      </c>
      <c r="W33" s="22" t="s">
        <v>1076</v>
      </c>
      <c r="X33" s="16" t="s">
        <v>29</v>
      </c>
      <c r="Y33" s="19">
        <v>58.2</v>
      </c>
      <c r="Z33" s="24">
        <v>45804</v>
      </c>
    </row>
    <row r="34" spans="1:58" s="29" customFormat="1" ht="20.25" hidden="1" customHeight="1">
      <c r="A34" s="11">
        <v>45812</v>
      </c>
      <c r="B34" s="16" t="s">
        <v>1313</v>
      </c>
      <c r="C34" s="16" t="s">
        <v>290</v>
      </c>
      <c r="D34" s="16" t="s">
        <v>212</v>
      </c>
      <c r="E34" s="16" t="s">
        <v>47</v>
      </c>
      <c r="F34" s="16" t="s">
        <v>1314</v>
      </c>
      <c r="G34" s="16" t="s">
        <v>71</v>
      </c>
      <c r="H34" s="16" t="s">
        <v>31</v>
      </c>
      <c r="I34" s="16" t="s">
        <v>63</v>
      </c>
      <c r="J34" s="16" t="s">
        <v>27</v>
      </c>
      <c r="K34" s="16" t="s">
        <v>218</v>
      </c>
      <c r="L34" s="16" t="s">
        <v>75</v>
      </c>
      <c r="M34" s="17">
        <v>200</v>
      </c>
      <c r="N34" s="23">
        <v>1.3</v>
      </c>
      <c r="O34" s="16" t="s">
        <v>1063</v>
      </c>
      <c r="P34" s="16" t="s">
        <v>29</v>
      </c>
      <c r="Q34" s="16" t="s">
        <v>29</v>
      </c>
      <c r="R34" s="16" t="s">
        <v>1315</v>
      </c>
      <c r="S34" s="12" t="s">
        <v>1272</v>
      </c>
      <c r="T34" s="16" t="s">
        <v>29</v>
      </c>
      <c r="U34" s="19"/>
      <c r="V34" s="53">
        <f>M34-U34-Y34-AA34</f>
        <v>-2.4000000000000057</v>
      </c>
      <c r="W34" s="22" t="s">
        <v>1316</v>
      </c>
      <c r="X34" s="16" t="s">
        <v>1453</v>
      </c>
      <c r="Y34" s="217">
        <v>202.4</v>
      </c>
      <c r="Z34" s="216">
        <v>45833</v>
      </c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</row>
    <row r="35" spans="1:58" s="28" customFormat="1" ht="20.25" hidden="1" customHeight="1">
      <c r="A35" s="48">
        <v>45811</v>
      </c>
      <c r="B35" s="49" t="s">
        <v>1266</v>
      </c>
      <c r="C35" s="49" t="s">
        <v>290</v>
      </c>
      <c r="D35" s="49" t="s">
        <v>212</v>
      </c>
      <c r="E35" s="49" t="s">
        <v>47</v>
      </c>
      <c r="F35" s="49" t="s">
        <v>1267</v>
      </c>
      <c r="G35" s="49" t="s">
        <v>71</v>
      </c>
      <c r="H35" s="49" t="s">
        <v>31</v>
      </c>
      <c r="I35" s="49" t="s">
        <v>63</v>
      </c>
      <c r="J35" s="49" t="s">
        <v>27</v>
      </c>
      <c r="K35" s="49" t="s">
        <v>372</v>
      </c>
      <c r="L35" s="49" t="s">
        <v>75</v>
      </c>
      <c r="M35" s="50">
        <v>200</v>
      </c>
      <c r="N35" s="215">
        <v>1.32</v>
      </c>
      <c r="O35" s="49" t="s">
        <v>67</v>
      </c>
      <c r="P35" s="49" t="s">
        <v>29</v>
      </c>
      <c r="Q35" s="49" t="s">
        <v>29</v>
      </c>
      <c r="R35" s="49" t="s">
        <v>1268</v>
      </c>
      <c r="S35" s="52">
        <v>45825</v>
      </c>
      <c r="T35" s="52">
        <v>45834</v>
      </c>
      <c r="U35" s="19"/>
      <c r="V35" s="53">
        <f>M35-U35-Y35-AA35</f>
        <v>-0.30000000000001137</v>
      </c>
      <c r="W35" s="51" t="s">
        <v>1269</v>
      </c>
      <c r="X35" s="49" t="s">
        <v>1320</v>
      </c>
      <c r="Y35" s="19">
        <v>200.3</v>
      </c>
      <c r="Z35" s="219">
        <v>45821</v>
      </c>
    </row>
    <row r="36" spans="1:58" s="28" customFormat="1" ht="20.25" hidden="1" customHeight="1">
      <c r="A36" s="11">
        <v>45832</v>
      </c>
      <c r="B36" s="16" t="s">
        <v>1461</v>
      </c>
      <c r="C36" s="16" t="s">
        <v>267</v>
      </c>
      <c r="D36" s="16" t="s">
        <v>212</v>
      </c>
      <c r="E36" s="16" t="s">
        <v>47</v>
      </c>
      <c r="F36" s="16" t="s">
        <v>1462</v>
      </c>
      <c r="G36" s="16" t="s">
        <v>71</v>
      </c>
      <c r="H36" s="16" t="s">
        <v>26</v>
      </c>
      <c r="I36" s="16" t="s">
        <v>63</v>
      </c>
      <c r="J36" s="16" t="s">
        <v>27</v>
      </c>
      <c r="K36" s="16" t="s">
        <v>218</v>
      </c>
      <c r="L36" s="16" t="s">
        <v>75</v>
      </c>
      <c r="M36" s="17">
        <v>50</v>
      </c>
      <c r="N36" s="23">
        <v>1.31</v>
      </c>
      <c r="O36" s="16" t="s">
        <v>1063</v>
      </c>
      <c r="P36" s="16" t="s">
        <v>29</v>
      </c>
      <c r="Q36" s="16" t="s">
        <v>29</v>
      </c>
      <c r="R36" s="16" t="s">
        <v>29</v>
      </c>
      <c r="S36" s="12" t="s">
        <v>1411</v>
      </c>
      <c r="T36" s="13">
        <v>45846</v>
      </c>
      <c r="U36" s="19"/>
      <c r="V36" s="53">
        <f>M36-U36-Y36-AA36</f>
        <v>-0.70000000000000284</v>
      </c>
      <c r="W36" s="22" t="s">
        <v>1464</v>
      </c>
      <c r="X36" s="16" t="s">
        <v>1463</v>
      </c>
      <c r="Y36" s="19">
        <v>50.7</v>
      </c>
      <c r="Z36" s="14">
        <v>45854</v>
      </c>
    </row>
    <row r="37" spans="1:58" s="28" customFormat="1" ht="20.25" hidden="1" customHeight="1">
      <c r="A37" s="11">
        <v>45812</v>
      </c>
      <c r="B37" s="16" t="s">
        <v>1313</v>
      </c>
      <c r="C37" s="16" t="s">
        <v>290</v>
      </c>
      <c r="D37" s="16" t="s">
        <v>212</v>
      </c>
      <c r="E37" s="16" t="s">
        <v>47</v>
      </c>
      <c r="F37" s="16" t="s">
        <v>1321</v>
      </c>
      <c r="G37" s="16" t="s">
        <v>71</v>
      </c>
      <c r="H37" s="16" t="s">
        <v>31</v>
      </c>
      <c r="I37" s="16" t="s">
        <v>63</v>
      </c>
      <c r="J37" s="16" t="s">
        <v>27</v>
      </c>
      <c r="K37" s="16" t="s">
        <v>372</v>
      </c>
      <c r="L37" s="16" t="s">
        <v>75</v>
      </c>
      <c r="M37" s="17">
        <v>200</v>
      </c>
      <c r="N37" s="23">
        <v>1.3</v>
      </c>
      <c r="O37" s="16" t="s">
        <v>67</v>
      </c>
      <c r="P37" s="16" t="s">
        <v>29</v>
      </c>
      <c r="Q37" s="16" t="s">
        <v>29</v>
      </c>
      <c r="R37" s="16" t="s">
        <v>1317</v>
      </c>
      <c r="S37" s="12" t="s">
        <v>1272</v>
      </c>
      <c r="T37" s="16" t="s">
        <v>29</v>
      </c>
      <c r="U37" s="19"/>
      <c r="V37" s="53">
        <f>M37-U37-Y37-AA37</f>
        <v>-4.4000000000000057</v>
      </c>
      <c r="W37" s="22" t="s">
        <v>1318</v>
      </c>
      <c r="X37" s="16" t="s">
        <v>1319</v>
      </c>
      <c r="Y37" s="19">
        <v>204.4</v>
      </c>
      <c r="Z37" s="219">
        <v>45821</v>
      </c>
    </row>
    <row r="38" spans="1:58" s="28" customFormat="1" ht="20.25" hidden="1" customHeight="1">
      <c r="A38" s="11">
        <v>45768</v>
      </c>
      <c r="B38" s="16" t="s">
        <v>648</v>
      </c>
      <c r="C38" s="16" t="s">
        <v>267</v>
      </c>
      <c r="D38" s="16" t="s">
        <v>212</v>
      </c>
      <c r="E38" s="16" t="s">
        <v>47</v>
      </c>
      <c r="F38" s="16" t="s">
        <v>649</v>
      </c>
      <c r="G38" s="16" t="s">
        <v>71</v>
      </c>
      <c r="H38" s="16" t="s">
        <v>26</v>
      </c>
      <c r="I38" s="16" t="s">
        <v>63</v>
      </c>
      <c r="J38" s="16" t="s">
        <v>27</v>
      </c>
      <c r="K38" s="16" t="s">
        <v>214</v>
      </c>
      <c r="L38" s="16" t="s">
        <v>75</v>
      </c>
      <c r="M38" s="17">
        <v>100</v>
      </c>
      <c r="N38" s="23">
        <v>0</v>
      </c>
      <c r="O38" s="16" t="s">
        <v>67</v>
      </c>
      <c r="P38" s="16"/>
      <c r="Q38" s="16" t="s">
        <v>650</v>
      </c>
      <c r="R38" s="16"/>
      <c r="S38" s="13" t="s">
        <v>294</v>
      </c>
      <c r="T38" s="13">
        <v>45782</v>
      </c>
      <c r="U38" s="16"/>
      <c r="V38" s="53">
        <f>M38-U38-Y38</f>
        <v>-1</v>
      </c>
      <c r="W38" s="22" t="s">
        <v>651</v>
      </c>
      <c r="X38" s="16" t="s">
        <v>652</v>
      </c>
      <c r="Y38" s="21">
        <v>101</v>
      </c>
      <c r="Z38" s="85">
        <v>45779</v>
      </c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s="101" customFormat="1" ht="20.25" hidden="1" customHeight="1">
      <c r="A39" s="11">
        <v>45769</v>
      </c>
      <c r="B39" s="16" t="s">
        <v>653</v>
      </c>
      <c r="C39" s="16" t="s">
        <v>267</v>
      </c>
      <c r="D39" s="16" t="s">
        <v>212</v>
      </c>
      <c r="E39" s="16" t="s">
        <v>47</v>
      </c>
      <c r="F39" s="16" t="s">
        <v>654</v>
      </c>
      <c r="G39" s="16" t="s">
        <v>71</v>
      </c>
      <c r="H39" s="16" t="s">
        <v>26</v>
      </c>
      <c r="I39" s="16" t="s">
        <v>63</v>
      </c>
      <c r="J39" s="16" t="s">
        <v>27</v>
      </c>
      <c r="K39" s="16" t="s">
        <v>214</v>
      </c>
      <c r="L39" s="16" t="s">
        <v>75</v>
      </c>
      <c r="M39" s="17">
        <v>50</v>
      </c>
      <c r="N39" s="23">
        <v>0.66</v>
      </c>
      <c r="O39" s="16" t="s">
        <v>67</v>
      </c>
      <c r="P39" s="16"/>
      <c r="Q39" s="16" t="s">
        <v>655</v>
      </c>
      <c r="R39" s="16"/>
      <c r="S39" s="13" t="s">
        <v>264</v>
      </c>
      <c r="T39" s="13">
        <v>45783</v>
      </c>
      <c r="U39" s="16"/>
      <c r="V39" s="53">
        <f>M39-U39-Y39</f>
        <v>-0.89999999999999858</v>
      </c>
      <c r="W39" s="22" t="s">
        <v>656</v>
      </c>
      <c r="X39" s="16" t="s">
        <v>652</v>
      </c>
      <c r="Y39" s="79">
        <v>50.9</v>
      </c>
      <c r="Z39" s="85">
        <v>45779</v>
      </c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</row>
    <row r="40" spans="1:58" s="211" customFormat="1" ht="20.25" hidden="1" customHeight="1">
      <c r="A40" s="11">
        <v>45828</v>
      </c>
      <c r="B40" s="16" t="s">
        <v>1412</v>
      </c>
      <c r="C40" s="16" t="s">
        <v>267</v>
      </c>
      <c r="D40" s="16" t="s">
        <v>212</v>
      </c>
      <c r="E40" s="16" t="s">
        <v>47</v>
      </c>
      <c r="F40" s="16" t="s">
        <v>1413</v>
      </c>
      <c r="G40" s="16" t="s">
        <v>71</v>
      </c>
      <c r="H40" s="16" t="s">
        <v>26</v>
      </c>
      <c r="I40" s="16" t="s">
        <v>63</v>
      </c>
      <c r="J40" s="16" t="s">
        <v>27</v>
      </c>
      <c r="K40" s="16" t="s">
        <v>1414</v>
      </c>
      <c r="L40" s="16" t="s">
        <v>75</v>
      </c>
      <c r="M40" s="17">
        <v>50</v>
      </c>
      <c r="N40" s="23">
        <v>1.29</v>
      </c>
      <c r="O40" s="16" t="s">
        <v>67</v>
      </c>
      <c r="P40" s="16" t="s">
        <v>29</v>
      </c>
      <c r="Q40" s="16" t="s">
        <v>29</v>
      </c>
      <c r="R40" s="16" t="s">
        <v>641</v>
      </c>
      <c r="S40" s="12" t="s">
        <v>1411</v>
      </c>
      <c r="T40" s="13">
        <v>45853</v>
      </c>
      <c r="U40" s="19"/>
      <c r="V40" s="53">
        <f>M40-U40-Y40-AA40</f>
        <v>-1.1000000000000014</v>
      </c>
      <c r="W40" s="22" t="s">
        <v>1415</v>
      </c>
      <c r="X40" s="16" t="s">
        <v>1670</v>
      </c>
      <c r="Y40" s="19">
        <v>51.1</v>
      </c>
      <c r="Z40" s="14">
        <v>45854</v>
      </c>
    </row>
    <row r="41" spans="1:58" s="28" customFormat="1" ht="20.25" hidden="1" customHeight="1">
      <c r="A41" s="11">
        <v>45828</v>
      </c>
      <c r="B41" s="16" t="s">
        <v>1438</v>
      </c>
      <c r="C41" s="16" t="s">
        <v>290</v>
      </c>
      <c r="D41" s="16" t="s">
        <v>212</v>
      </c>
      <c r="E41" s="16" t="s">
        <v>47</v>
      </c>
      <c r="F41" s="16" t="s">
        <v>1439</v>
      </c>
      <c r="G41" s="16" t="s">
        <v>71</v>
      </c>
      <c r="H41" s="16" t="s">
        <v>31</v>
      </c>
      <c r="I41" s="16" t="s">
        <v>29</v>
      </c>
      <c r="J41" s="16" t="s">
        <v>110</v>
      </c>
      <c r="K41" s="16" t="s">
        <v>214</v>
      </c>
      <c r="L41" s="16" t="s">
        <v>659</v>
      </c>
      <c r="M41" s="17">
        <v>200</v>
      </c>
      <c r="N41" s="23">
        <v>1.31</v>
      </c>
      <c r="O41" s="16" t="s">
        <v>1063</v>
      </c>
      <c r="P41" s="16" t="s">
        <v>29</v>
      </c>
      <c r="Q41" s="16" t="s">
        <v>29</v>
      </c>
      <c r="R41" s="16" t="s">
        <v>1441</v>
      </c>
      <c r="S41" s="12" t="s">
        <v>1440</v>
      </c>
      <c r="T41" s="13">
        <v>45842</v>
      </c>
      <c r="U41" s="19"/>
      <c r="V41" s="53">
        <f>M41-U41-Y41-AA41</f>
        <v>-6.4000000000000057</v>
      </c>
      <c r="W41" s="22" t="s">
        <v>1442</v>
      </c>
      <c r="X41" s="16" t="s">
        <v>29</v>
      </c>
      <c r="Y41" s="19">
        <v>206.4</v>
      </c>
      <c r="Z41" s="256">
        <v>45848</v>
      </c>
    </row>
    <row r="42" spans="1:58" s="28" customFormat="1" ht="20.25" hidden="1" customHeight="1">
      <c r="A42" s="11">
        <v>45832</v>
      </c>
      <c r="B42" s="16" t="s">
        <v>1461</v>
      </c>
      <c r="C42" s="16" t="s">
        <v>267</v>
      </c>
      <c r="D42" s="16" t="s">
        <v>212</v>
      </c>
      <c r="E42" s="16" t="s">
        <v>47</v>
      </c>
      <c r="F42" s="16" t="s">
        <v>1462</v>
      </c>
      <c r="G42" s="16" t="s">
        <v>71</v>
      </c>
      <c r="H42" s="16" t="s">
        <v>26</v>
      </c>
      <c r="I42" s="16" t="s">
        <v>63</v>
      </c>
      <c r="J42" s="16" t="s">
        <v>27</v>
      </c>
      <c r="K42" s="16" t="s">
        <v>1465</v>
      </c>
      <c r="L42" s="16" t="s">
        <v>75</v>
      </c>
      <c r="M42" s="17">
        <v>15</v>
      </c>
      <c r="N42" s="23">
        <v>1.31</v>
      </c>
      <c r="O42" s="16" t="s">
        <v>67</v>
      </c>
      <c r="P42" s="16" t="s">
        <v>29</v>
      </c>
      <c r="Q42" s="16" t="s">
        <v>29</v>
      </c>
      <c r="R42" s="16" t="s">
        <v>29</v>
      </c>
      <c r="S42" s="12" t="s">
        <v>1411</v>
      </c>
      <c r="T42" s="13">
        <v>45846</v>
      </c>
      <c r="U42" s="19"/>
      <c r="V42" s="53">
        <f>M42-U42-Y42-AA42</f>
        <v>0</v>
      </c>
      <c r="W42" s="22" t="s">
        <v>1466</v>
      </c>
      <c r="X42" s="16" t="s">
        <v>644</v>
      </c>
      <c r="Y42" s="19">
        <v>15</v>
      </c>
      <c r="Z42" s="14">
        <v>45854</v>
      </c>
    </row>
    <row r="43" spans="1:58" s="28" customFormat="1" ht="20.25" hidden="1" customHeight="1">
      <c r="A43" s="11">
        <v>45833</v>
      </c>
      <c r="B43" s="16" t="s">
        <v>1487</v>
      </c>
      <c r="C43" s="16" t="s">
        <v>267</v>
      </c>
      <c r="D43" s="16" t="s">
        <v>212</v>
      </c>
      <c r="E43" s="16" t="s">
        <v>47</v>
      </c>
      <c r="F43" s="16" t="s">
        <v>1488</v>
      </c>
      <c r="G43" s="16" t="s">
        <v>71</v>
      </c>
      <c r="H43" s="16" t="s">
        <v>31</v>
      </c>
      <c r="I43" s="16" t="s">
        <v>63</v>
      </c>
      <c r="J43" s="16" t="s">
        <v>27</v>
      </c>
      <c r="K43" s="16" t="s">
        <v>1470</v>
      </c>
      <c r="L43" s="16" t="s">
        <v>75</v>
      </c>
      <c r="M43" s="17">
        <v>60</v>
      </c>
      <c r="N43" s="23">
        <v>0.66</v>
      </c>
      <c r="O43" s="16" t="s">
        <v>67</v>
      </c>
      <c r="P43" s="16" t="s">
        <v>29</v>
      </c>
      <c r="Q43" s="16" t="s">
        <v>29</v>
      </c>
      <c r="R43" s="16" t="s">
        <v>29</v>
      </c>
      <c r="S43" s="12" t="s">
        <v>1467</v>
      </c>
      <c r="T43" s="13">
        <v>45847</v>
      </c>
      <c r="U43" s="19"/>
      <c r="V43" s="53">
        <f>M43-U43-Y43-AA43</f>
        <v>-0.70000000000000284</v>
      </c>
      <c r="W43" s="22" t="s">
        <v>1489</v>
      </c>
      <c r="X43" s="16" t="s">
        <v>1671</v>
      </c>
      <c r="Y43" s="19">
        <f>45.7+15</f>
        <v>60.7</v>
      </c>
      <c r="Z43" s="14">
        <v>45854</v>
      </c>
    </row>
    <row r="44" spans="1:58" s="28" customFormat="1" ht="20.25" hidden="1" customHeight="1">
      <c r="A44" s="11">
        <v>45854</v>
      </c>
      <c r="B44" s="16" t="s">
        <v>1768</v>
      </c>
      <c r="C44" s="16" t="s">
        <v>1568</v>
      </c>
      <c r="D44" s="16" t="s">
        <v>212</v>
      </c>
      <c r="E44" s="16" t="s">
        <v>47</v>
      </c>
      <c r="F44" s="16" t="s">
        <v>1769</v>
      </c>
      <c r="G44" s="16" t="s">
        <v>71</v>
      </c>
      <c r="H44" s="16" t="s">
        <v>31</v>
      </c>
      <c r="I44" s="16"/>
      <c r="J44" s="16" t="s">
        <v>27</v>
      </c>
      <c r="K44" s="16" t="s">
        <v>1729</v>
      </c>
      <c r="L44" s="16" t="s">
        <v>75</v>
      </c>
      <c r="M44" s="17">
        <v>55</v>
      </c>
      <c r="N44" s="23">
        <v>1.31</v>
      </c>
      <c r="O44" s="16" t="s">
        <v>67</v>
      </c>
      <c r="P44" s="16"/>
      <c r="Q44" s="16" t="s">
        <v>1770</v>
      </c>
      <c r="R44" s="16"/>
      <c r="S44" s="13" t="s">
        <v>1698</v>
      </c>
      <c r="T44" s="13">
        <v>45868</v>
      </c>
      <c r="U44" s="19"/>
      <c r="V44" s="53">
        <f>M44-U44-Y44-AA44</f>
        <v>0</v>
      </c>
      <c r="W44" s="22" t="s">
        <v>1771</v>
      </c>
      <c r="X44" s="16"/>
      <c r="Y44" s="19">
        <v>55</v>
      </c>
      <c r="Z44" s="252">
        <v>45868</v>
      </c>
    </row>
    <row r="45" spans="1:58" s="28" customFormat="1" ht="20.25" hidden="1" customHeight="1">
      <c r="A45" s="11">
        <v>45863</v>
      </c>
      <c r="B45" s="16" t="s">
        <v>1909</v>
      </c>
      <c r="C45" s="16" t="s">
        <v>290</v>
      </c>
      <c r="D45" s="16" t="s">
        <v>212</v>
      </c>
      <c r="E45" s="16" t="s">
        <v>47</v>
      </c>
      <c r="F45" s="16" t="s">
        <v>1910</v>
      </c>
      <c r="G45" s="16" t="s">
        <v>71</v>
      </c>
      <c r="H45" s="16" t="s">
        <v>31</v>
      </c>
      <c r="I45" s="16"/>
      <c r="J45" s="16" t="s">
        <v>27</v>
      </c>
      <c r="K45" s="16" t="s">
        <v>487</v>
      </c>
      <c r="L45" s="16" t="s">
        <v>35</v>
      </c>
      <c r="M45" s="17">
        <v>20</v>
      </c>
      <c r="N45" s="23">
        <v>1.31</v>
      </c>
      <c r="O45" s="16" t="s">
        <v>67</v>
      </c>
      <c r="P45" s="16"/>
      <c r="Q45" s="16"/>
      <c r="R45" s="16"/>
      <c r="S45" s="13" t="s">
        <v>1776</v>
      </c>
      <c r="T45" s="13">
        <v>45877</v>
      </c>
      <c r="U45" s="19"/>
      <c r="V45" s="53">
        <f>M45-U45-Y45-AA45</f>
        <v>0</v>
      </c>
      <c r="W45" s="22" t="s">
        <v>1911</v>
      </c>
      <c r="X45" s="16"/>
      <c r="Y45" s="19">
        <v>20</v>
      </c>
      <c r="Z45" s="252">
        <v>45881</v>
      </c>
    </row>
    <row r="46" spans="1:58" s="28" customFormat="1" ht="20.25" hidden="1" customHeight="1">
      <c r="A46" s="11">
        <v>45870</v>
      </c>
      <c r="B46" s="16" t="s">
        <v>2011</v>
      </c>
      <c r="C46" s="16" t="s">
        <v>290</v>
      </c>
      <c r="D46" s="16" t="s">
        <v>212</v>
      </c>
      <c r="E46" s="16" t="s">
        <v>47</v>
      </c>
      <c r="F46" s="16" t="s">
        <v>2012</v>
      </c>
      <c r="G46" s="16" t="s">
        <v>71</v>
      </c>
      <c r="H46" s="16" t="s">
        <v>31</v>
      </c>
      <c r="I46" s="16" t="s">
        <v>63</v>
      </c>
      <c r="J46" s="16" t="s">
        <v>27</v>
      </c>
      <c r="K46" s="16" t="s">
        <v>913</v>
      </c>
      <c r="L46" s="16" t="s">
        <v>35</v>
      </c>
      <c r="M46" s="17">
        <v>50</v>
      </c>
      <c r="N46" s="23">
        <v>1.31</v>
      </c>
      <c r="O46" s="16" t="s">
        <v>1063</v>
      </c>
      <c r="P46" s="16" t="s">
        <v>63</v>
      </c>
      <c r="Q46" s="16" t="s">
        <v>29</v>
      </c>
      <c r="R46" s="16" t="s">
        <v>1100</v>
      </c>
      <c r="S46" s="13" t="s">
        <v>1901</v>
      </c>
      <c r="T46" s="13">
        <v>45884</v>
      </c>
      <c r="U46" s="19"/>
      <c r="V46" s="53">
        <f>M46-U46-Y46-AA46</f>
        <v>-6.7999999999999972</v>
      </c>
      <c r="W46" s="22" t="s">
        <v>2013</v>
      </c>
      <c r="X46" s="16"/>
      <c r="Y46" s="19">
        <v>56.8</v>
      </c>
      <c r="Z46" s="252">
        <v>45881</v>
      </c>
    </row>
    <row r="47" spans="1:58" s="28" customFormat="1" ht="20.25" hidden="1" customHeight="1">
      <c r="A47" s="11">
        <v>45889</v>
      </c>
      <c r="B47" s="16" t="s">
        <v>2297</v>
      </c>
      <c r="C47" s="16" t="s">
        <v>290</v>
      </c>
      <c r="D47" s="16" t="s">
        <v>212</v>
      </c>
      <c r="E47" s="16" t="s">
        <v>47</v>
      </c>
      <c r="F47" s="16" t="s">
        <v>2298</v>
      </c>
      <c r="G47" s="16" t="s">
        <v>71</v>
      </c>
      <c r="H47" s="16" t="s">
        <v>31</v>
      </c>
      <c r="I47" s="16" t="s">
        <v>63</v>
      </c>
      <c r="J47" s="16" t="s">
        <v>27</v>
      </c>
      <c r="K47" s="16" t="s">
        <v>487</v>
      </c>
      <c r="L47" s="16" t="s">
        <v>75</v>
      </c>
      <c r="M47" s="17">
        <v>20</v>
      </c>
      <c r="N47" s="23">
        <v>1.31</v>
      </c>
      <c r="O47" s="16" t="s">
        <v>67</v>
      </c>
      <c r="P47" s="16" t="s">
        <v>63</v>
      </c>
      <c r="Q47" s="16" t="s">
        <v>633</v>
      </c>
      <c r="R47" s="16" t="s">
        <v>29</v>
      </c>
      <c r="S47" s="13" t="s">
        <v>2268</v>
      </c>
      <c r="T47" s="13">
        <v>45909</v>
      </c>
      <c r="U47" s="19"/>
      <c r="V47" s="53">
        <f>M47-U47-Y47-AA47</f>
        <v>0</v>
      </c>
      <c r="W47" s="22" t="s">
        <v>2299</v>
      </c>
      <c r="X47" s="16"/>
      <c r="Y47" s="28">
        <v>20</v>
      </c>
      <c r="Z47" s="252">
        <v>45896</v>
      </c>
    </row>
    <row r="48" spans="1:58" s="28" customFormat="1" ht="20.25" hidden="1" customHeight="1">
      <c r="A48" s="11">
        <v>45902</v>
      </c>
      <c r="B48" s="16" t="s">
        <v>2535</v>
      </c>
      <c r="C48" s="16" t="s">
        <v>290</v>
      </c>
      <c r="D48" s="16" t="s">
        <v>212</v>
      </c>
      <c r="E48" s="16" t="s">
        <v>47</v>
      </c>
      <c r="F48" s="16" t="s">
        <v>2536</v>
      </c>
      <c r="G48" s="16" t="s">
        <v>71</v>
      </c>
      <c r="H48" s="16" t="s">
        <v>31</v>
      </c>
      <c r="I48" s="1"/>
      <c r="J48" s="1" t="s">
        <v>27</v>
      </c>
      <c r="K48" s="16" t="s">
        <v>567</v>
      </c>
      <c r="L48" s="1" t="s">
        <v>75</v>
      </c>
      <c r="M48" s="17">
        <v>60</v>
      </c>
      <c r="N48" s="23">
        <v>1.3</v>
      </c>
      <c r="O48" s="16" t="s">
        <v>67</v>
      </c>
      <c r="P48" s="16" t="s">
        <v>63</v>
      </c>
      <c r="Q48" s="16" t="s">
        <v>2537</v>
      </c>
      <c r="R48" s="16" t="s">
        <v>29</v>
      </c>
      <c r="S48" s="13" t="s">
        <v>2400</v>
      </c>
      <c r="T48" s="13">
        <v>45916</v>
      </c>
      <c r="U48" s="315"/>
      <c r="V48" s="53">
        <f>M48-U48-Y48-AA48</f>
        <v>0</v>
      </c>
      <c r="W48" s="22" t="s">
        <v>2538</v>
      </c>
      <c r="X48" s="16"/>
      <c r="Y48" s="19">
        <v>60</v>
      </c>
      <c r="Z48" s="252">
        <v>45909</v>
      </c>
    </row>
    <row r="49" spans="1:27" s="28" customFormat="1" ht="20.25" hidden="1" customHeight="1">
      <c r="A49" s="11">
        <v>45909</v>
      </c>
      <c r="B49" s="16" t="s">
        <v>2597</v>
      </c>
      <c r="C49" s="16" t="s">
        <v>1568</v>
      </c>
      <c r="D49" s="16" t="s">
        <v>212</v>
      </c>
      <c r="E49" s="16" t="s">
        <v>47</v>
      </c>
      <c r="F49" s="16" t="s">
        <v>2599</v>
      </c>
      <c r="G49" s="16" t="s">
        <v>71</v>
      </c>
      <c r="H49" s="16" t="s">
        <v>31</v>
      </c>
      <c r="I49" s="16"/>
      <c r="J49" s="16" t="s">
        <v>27</v>
      </c>
      <c r="K49" s="16" t="s">
        <v>250</v>
      </c>
      <c r="L49" s="16" t="s">
        <v>35</v>
      </c>
      <c r="M49" s="17">
        <v>240</v>
      </c>
      <c r="N49" s="23">
        <v>1.31</v>
      </c>
      <c r="O49" s="16" t="s">
        <v>67</v>
      </c>
      <c r="P49" s="16" t="s">
        <v>63</v>
      </c>
      <c r="Q49" s="16" t="s">
        <v>29</v>
      </c>
      <c r="R49" s="16" t="s">
        <v>2601</v>
      </c>
      <c r="S49" s="13" t="s">
        <v>2234</v>
      </c>
      <c r="T49" s="13">
        <v>45923</v>
      </c>
      <c r="U49" s="19"/>
      <c r="V49" s="53">
        <f>M49-U49-Y49-AA49</f>
        <v>-1.1999999999999886</v>
      </c>
      <c r="W49" s="22" t="s">
        <v>2602</v>
      </c>
      <c r="X49" s="16"/>
      <c r="Y49" s="19">
        <v>241.2</v>
      </c>
      <c r="Z49" s="252">
        <v>45910</v>
      </c>
    </row>
    <row r="50" spans="1:27" s="28" customFormat="1" ht="20.25" hidden="1" customHeight="1">
      <c r="A50" s="11">
        <v>45909</v>
      </c>
      <c r="B50" s="16" t="s">
        <v>2598</v>
      </c>
      <c r="C50" s="16" t="s">
        <v>1568</v>
      </c>
      <c r="D50" s="16" t="s">
        <v>212</v>
      </c>
      <c r="E50" s="16" t="s">
        <v>47</v>
      </c>
      <c r="F50" s="16" t="s">
        <v>2600</v>
      </c>
      <c r="G50" s="16" t="s">
        <v>71</v>
      </c>
      <c r="H50" s="16" t="s">
        <v>31</v>
      </c>
      <c r="I50" s="16"/>
      <c r="J50" s="16" t="s">
        <v>27</v>
      </c>
      <c r="K50" s="16" t="s">
        <v>465</v>
      </c>
      <c r="L50" s="16" t="s">
        <v>35</v>
      </c>
      <c r="M50" s="17">
        <v>99</v>
      </c>
      <c r="N50" s="23">
        <v>1.31</v>
      </c>
      <c r="O50" s="16" t="s">
        <v>1063</v>
      </c>
      <c r="P50" s="16" t="s">
        <v>63</v>
      </c>
      <c r="Q50" s="16" t="s">
        <v>29</v>
      </c>
      <c r="R50" s="16" t="s">
        <v>29</v>
      </c>
      <c r="S50" s="13" t="s">
        <v>2234</v>
      </c>
      <c r="T50" s="13">
        <v>45923</v>
      </c>
      <c r="U50" s="19"/>
      <c r="V50" s="53">
        <f>M50-U50-Y50-AA50</f>
        <v>-2.2000000000000028</v>
      </c>
      <c r="W50" s="22" t="s">
        <v>2603</v>
      </c>
      <c r="X50" s="16"/>
      <c r="Y50" s="19">
        <v>101.2</v>
      </c>
      <c r="Z50" s="252">
        <v>45910</v>
      </c>
    </row>
    <row r="51" spans="1:27" s="28" customFormat="1" ht="20.25" hidden="1" customHeight="1">
      <c r="A51" s="11">
        <v>45915</v>
      </c>
      <c r="B51" s="16" t="s">
        <v>2662</v>
      </c>
      <c r="C51" s="16" t="s">
        <v>290</v>
      </c>
      <c r="D51" s="16" t="s">
        <v>212</v>
      </c>
      <c r="E51" s="16" t="s">
        <v>47</v>
      </c>
      <c r="F51" s="16" t="s">
        <v>2664</v>
      </c>
      <c r="G51" s="16" t="s">
        <v>71</v>
      </c>
      <c r="H51" s="16" t="s">
        <v>31</v>
      </c>
      <c r="I51" s="16"/>
      <c r="J51" s="16" t="s">
        <v>27</v>
      </c>
      <c r="K51" s="16" t="s">
        <v>1458</v>
      </c>
      <c r="L51" s="16" t="s">
        <v>35</v>
      </c>
      <c r="M51" s="17">
        <v>40</v>
      </c>
      <c r="N51" s="23">
        <v>1.3</v>
      </c>
      <c r="O51" s="16" t="s">
        <v>67</v>
      </c>
      <c r="P51" s="16" t="s">
        <v>63</v>
      </c>
      <c r="Q51" s="16" t="s">
        <v>2537</v>
      </c>
      <c r="R51" s="16" t="s">
        <v>2666</v>
      </c>
      <c r="S51" s="13" t="s">
        <v>1797</v>
      </c>
      <c r="T51" s="13">
        <v>45929</v>
      </c>
      <c r="U51" s="19"/>
      <c r="V51" s="53">
        <f>M51-U51-Y51-AA51</f>
        <v>-1.5</v>
      </c>
      <c r="W51" s="22" t="s">
        <v>2668</v>
      </c>
      <c r="X51" s="16"/>
      <c r="Y51" s="19">
        <v>41.5</v>
      </c>
      <c r="Z51" s="252">
        <v>45922</v>
      </c>
    </row>
    <row r="52" spans="1:27" s="28" customFormat="1" ht="20.25" hidden="1" customHeight="1">
      <c r="A52" s="11">
        <v>45915</v>
      </c>
      <c r="B52" s="16" t="s">
        <v>2663</v>
      </c>
      <c r="C52" s="16" t="s">
        <v>290</v>
      </c>
      <c r="D52" s="16" t="s">
        <v>212</v>
      </c>
      <c r="E52" s="16" t="s">
        <v>47</v>
      </c>
      <c r="F52" s="16" t="s">
        <v>2665</v>
      </c>
      <c r="G52" s="16" t="s">
        <v>71</v>
      </c>
      <c r="H52" s="16" t="s">
        <v>31</v>
      </c>
      <c r="I52" s="16"/>
      <c r="J52" s="16" t="s">
        <v>27</v>
      </c>
      <c r="K52" s="16" t="s">
        <v>2123</v>
      </c>
      <c r="L52" s="16" t="s">
        <v>35</v>
      </c>
      <c r="M52" s="17">
        <v>40</v>
      </c>
      <c r="N52" s="23">
        <v>1.3</v>
      </c>
      <c r="O52" s="16" t="s">
        <v>67</v>
      </c>
      <c r="P52" s="16" t="s">
        <v>63</v>
      </c>
      <c r="Q52" s="16" t="s">
        <v>2537</v>
      </c>
      <c r="R52" s="16" t="s">
        <v>2667</v>
      </c>
      <c r="S52" s="13" t="s">
        <v>1797</v>
      </c>
      <c r="T52" s="13">
        <v>45929</v>
      </c>
      <c r="U52" s="315"/>
      <c r="V52" s="53">
        <f>M52-U52-Y52-AA52</f>
        <v>-2.2000000000000028</v>
      </c>
      <c r="W52" s="22" t="s">
        <v>2669</v>
      </c>
      <c r="X52" s="16"/>
      <c r="Y52" s="28">
        <v>42.2</v>
      </c>
      <c r="Z52" s="252">
        <v>45922</v>
      </c>
    </row>
    <row r="53" spans="1:27" s="28" customFormat="1" ht="20.25" hidden="1" customHeight="1">
      <c r="A53" s="11">
        <v>45925</v>
      </c>
      <c r="B53" s="16" t="s">
        <v>2940</v>
      </c>
      <c r="C53" s="16" t="s">
        <v>290</v>
      </c>
      <c r="D53" s="16" t="s">
        <v>212</v>
      </c>
      <c r="E53" s="16" t="s">
        <v>47</v>
      </c>
      <c r="F53" s="16" t="s">
        <v>2941</v>
      </c>
      <c r="G53" s="16" t="s">
        <v>71</v>
      </c>
      <c r="H53" s="16" t="s">
        <v>31</v>
      </c>
      <c r="I53" s="16"/>
      <c r="J53" s="16" t="s">
        <v>27</v>
      </c>
      <c r="K53" s="16" t="s">
        <v>214</v>
      </c>
      <c r="L53" s="16" t="s">
        <v>35</v>
      </c>
      <c r="M53" s="17">
        <v>20</v>
      </c>
      <c r="N53" s="23">
        <v>1.3</v>
      </c>
      <c r="O53" s="16" t="s">
        <v>1063</v>
      </c>
      <c r="P53" s="16" t="s">
        <v>63</v>
      </c>
      <c r="Q53" s="16" t="s">
        <v>29</v>
      </c>
      <c r="R53" s="16" t="s">
        <v>2942</v>
      </c>
      <c r="S53" s="13" t="s">
        <v>2770</v>
      </c>
      <c r="T53" s="13">
        <v>45939</v>
      </c>
      <c r="U53" s="19"/>
      <c r="V53" s="53">
        <f>M53-U53-Y53-AA53</f>
        <v>-1.8999999999999986</v>
      </c>
      <c r="W53" s="22" t="s">
        <v>2943</v>
      </c>
      <c r="X53" s="16"/>
      <c r="Y53" s="19">
        <v>21.9</v>
      </c>
      <c r="Z53" s="252">
        <v>45945</v>
      </c>
    </row>
    <row r="54" spans="1:27" s="28" customFormat="1" ht="20.25" hidden="1" customHeight="1">
      <c r="A54" s="11">
        <v>45932</v>
      </c>
      <c r="B54" s="16" t="s">
        <v>3132</v>
      </c>
      <c r="C54" s="16" t="s">
        <v>1568</v>
      </c>
      <c r="D54" s="16" t="s">
        <v>212</v>
      </c>
      <c r="E54" s="16" t="s">
        <v>47</v>
      </c>
      <c r="F54" s="16" t="s">
        <v>3135</v>
      </c>
      <c r="G54" s="16" t="s">
        <v>71</v>
      </c>
      <c r="H54" s="16" t="s">
        <v>31</v>
      </c>
      <c r="I54" s="16"/>
      <c r="J54" s="16" t="s">
        <v>27</v>
      </c>
      <c r="K54" s="16" t="s">
        <v>218</v>
      </c>
      <c r="L54" s="16" t="s">
        <v>35</v>
      </c>
      <c r="M54" s="17">
        <v>30</v>
      </c>
      <c r="N54" s="23">
        <v>1.29</v>
      </c>
      <c r="O54" s="16" t="s">
        <v>1063</v>
      </c>
      <c r="P54" s="16" t="s">
        <v>63</v>
      </c>
      <c r="Q54" s="16" t="s">
        <v>29</v>
      </c>
      <c r="R54" s="16" t="s">
        <v>3138</v>
      </c>
      <c r="S54" s="12" t="s">
        <v>2926</v>
      </c>
      <c r="T54" s="13">
        <v>45946</v>
      </c>
      <c r="U54" s="19"/>
      <c r="V54" s="53">
        <f>M54-Y54-U54-AA54-AC54-AE54-AG54-AI54-AK54-AM54-AO54-AQ54-AS54-AU54-AW54-AY54-BA54-BC54-BE54-BG54-BI54-U54</f>
        <v>-1.8000000000000007</v>
      </c>
      <c r="W54" s="22" t="s">
        <v>3147</v>
      </c>
      <c r="X54" s="13"/>
      <c r="Y54" s="19">
        <v>31.8</v>
      </c>
      <c r="Z54" s="14">
        <v>45940</v>
      </c>
      <c r="AA54" s="9"/>
    </row>
    <row r="55" spans="1:27" s="28" customFormat="1" ht="20.25" hidden="1" customHeight="1">
      <c r="A55" s="11">
        <v>45932</v>
      </c>
      <c r="B55" s="16" t="s">
        <v>3132</v>
      </c>
      <c r="C55" s="16" t="s">
        <v>1568</v>
      </c>
      <c r="D55" s="16" t="s">
        <v>212</v>
      </c>
      <c r="E55" s="16" t="s">
        <v>47</v>
      </c>
      <c r="F55" s="16" t="s">
        <v>3135</v>
      </c>
      <c r="G55" s="16" t="s">
        <v>71</v>
      </c>
      <c r="H55" s="16" t="s">
        <v>31</v>
      </c>
      <c r="I55" s="16"/>
      <c r="J55" s="16" t="s">
        <v>27</v>
      </c>
      <c r="K55" s="16" t="s">
        <v>2620</v>
      </c>
      <c r="L55" s="16" t="s">
        <v>35</v>
      </c>
      <c r="M55" s="17">
        <v>30</v>
      </c>
      <c r="N55" s="23">
        <v>1.29</v>
      </c>
      <c r="O55" s="16" t="s">
        <v>67</v>
      </c>
      <c r="P55" s="16" t="s">
        <v>63</v>
      </c>
      <c r="Q55" s="16" t="s">
        <v>29</v>
      </c>
      <c r="R55" s="16" t="s">
        <v>3139</v>
      </c>
      <c r="S55" s="12" t="s">
        <v>2926</v>
      </c>
      <c r="T55" s="13">
        <v>45946</v>
      </c>
      <c r="U55" s="19"/>
      <c r="V55" s="53">
        <f>M55-Y55-U55-AA55-AC55-AE55-AG55-AI55-AK55-AM55-AO55-AQ55-AS55-AU55-AW55-AY55-BA55-BC55-BE55-BG55-BI55-U55</f>
        <v>-1.8000000000000007</v>
      </c>
      <c r="W55" s="22" t="s">
        <v>3148</v>
      </c>
      <c r="X55" s="13"/>
      <c r="Y55" s="19">
        <v>31.8</v>
      </c>
      <c r="Z55" s="14">
        <v>45940</v>
      </c>
      <c r="AA55" s="9"/>
    </row>
    <row r="56" spans="1:27" s="28" customFormat="1" ht="20.25" hidden="1" customHeight="1">
      <c r="A56" s="11">
        <v>45932</v>
      </c>
      <c r="B56" s="16" t="s">
        <v>3133</v>
      </c>
      <c r="C56" s="16" t="s">
        <v>1568</v>
      </c>
      <c r="D56" s="16" t="s">
        <v>212</v>
      </c>
      <c r="E56" s="16" t="s">
        <v>47</v>
      </c>
      <c r="F56" s="16" t="s">
        <v>3136</v>
      </c>
      <c r="G56" s="16" t="s">
        <v>71</v>
      </c>
      <c r="H56" s="16" t="s">
        <v>31</v>
      </c>
      <c r="I56" s="16"/>
      <c r="J56" s="16" t="s">
        <v>27</v>
      </c>
      <c r="K56" s="16" t="s">
        <v>250</v>
      </c>
      <c r="L56" s="16" t="s">
        <v>35</v>
      </c>
      <c r="M56" s="17">
        <v>36</v>
      </c>
      <c r="N56" s="23">
        <v>1.29</v>
      </c>
      <c r="O56" s="16" t="s">
        <v>67</v>
      </c>
      <c r="P56" s="16" t="s">
        <v>63</v>
      </c>
      <c r="Q56" s="16" t="s">
        <v>29</v>
      </c>
      <c r="R56" s="16" t="s">
        <v>3140</v>
      </c>
      <c r="S56" s="12" t="s">
        <v>2926</v>
      </c>
      <c r="T56" s="13">
        <v>45946</v>
      </c>
      <c r="U56" s="19"/>
      <c r="V56" s="53">
        <f>M56-U56-Y56-AA56</f>
        <v>0</v>
      </c>
      <c r="W56" s="22" t="s">
        <v>3149</v>
      </c>
      <c r="X56" s="13"/>
      <c r="Y56" s="19">
        <v>36</v>
      </c>
      <c r="Z56" s="14">
        <v>45944</v>
      </c>
      <c r="AA56" s="9"/>
    </row>
    <row r="57" spans="1:27" s="28" customFormat="1" ht="20.25" hidden="1" customHeight="1">
      <c r="A57" s="11">
        <v>45932</v>
      </c>
      <c r="B57" s="16" t="s">
        <v>3133</v>
      </c>
      <c r="C57" s="16" t="s">
        <v>1568</v>
      </c>
      <c r="D57" s="16" t="s">
        <v>212</v>
      </c>
      <c r="E57" s="16" t="s">
        <v>47</v>
      </c>
      <c r="F57" s="16" t="s">
        <v>3136</v>
      </c>
      <c r="G57" s="16" t="s">
        <v>71</v>
      </c>
      <c r="H57" s="16" t="s">
        <v>31</v>
      </c>
      <c r="I57" s="16"/>
      <c r="J57" s="16" t="s">
        <v>27</v>
      </c>
      <c r="K57" s="16" t="s">
        <v>214</v>
      </c>
      <c r="L57" s="16" t="s">
        <v>35</v>
      </c>
      <c r="M57" s="17">
        <v>234</v>
      </c>
      <c r="N57" s="23">
        <v>1.29</v>
      </c>
      <c r="O57" s="16" t="s">
        <v>1063</v>
      </c>
      <c r="P57" s="16" t="s">
        <v>63</v>
      </c>
      <c r="Q57" s="16" t="s">
        <v>29</v>
      </c>
      <c r="R57" s="16" t="s">
        <v>3138</v>
      </c>
      <c r="S57" s="12" t="s">
        <v>2926</v>
      </c>
      <c r="T57" s="13">
        <v>45946</v>
      </c>
      <c r="U57" s="19"/>
      <c r="V57" s="53">
        <f>M57-U57-Y57-AA57</f>
        <v>-0.30000000000001137</v>
      </c>
      <c r="W57" s="22" t="s">
        <v>3150</v>
      </c>
      <c r="X57" s="13"/>
      <c r="Y57" s="19">
        <v>234.3</v>
      </c>
      <c r="Z57" s="14">
        <v>45944</v>
      </c>
      <c r="AA57" s="9"/>
    </row>
    <row r="58" spans="1:27" s="28" customFormat="1" ht="20.25" hidden="1" customHeight="1">
      <c r="A58" s="11">
        <v>45932</v>
      </c>
      <c r="B58" s="16" t="s">
        <v>3133</v>
      </c>
      <c r="C58" s="16" t="s">
        <v>1568</v>
      </c>
      <c r="D58" s="16" t="s">
        <v>212</v>
      </c>
      <c r="E58" s="16" t="s">
        <v>47</v>
      </c>
      <c r="F58" s="16" t="s">
        <v>3136</v>
      </c>
      <c r="G58" s="16" t="s">
        <v>71</v>
      </c>
      <c r="H58" s="16" t="s">
        <v>31</v>
      </c>
      <c r="I58" s="16"/>
      <c r="J58" s="16" t="s">
        <v>27</v>
      </c>
      <c r="K58" s="16" t="s">
        <v>2620</v>
      </c>
      <c r="L58" s="16" t="s">
        <v>35</v>
      </c>
      <c r="M58" s="17">
        <v>159</v>
      </c>
      <c r="N58" s="23">
        <v>1.29</v>
      </c>
      <c r="O58" s="16" t="s">
        <v>67</v>
      </c>
      <c r="P58" s="16" t="s">
        <v>63</v>
      </c>
      <c r="Q58" s="16" t="s">
        <v>29</v>
      </c>
      <c r="R58" s="16" t="s">
        <v>3139</v>
      </c>
      <c r="S58" s="12" t="s">
        <v>2926</v>
      </c>
      <c r="T58" s="13">
        <v>45946</v>
      </c>
      <c r="U58" s="19"/>
      <c r="V58" s="53">
        <f>M58-Y58-U58-AA58-AC58-AE58-AG58-AI58-AK58-AM58-AO58-AQ58-AS58-AU58-AW58-AY58-BA58-BC58-BE58-BG58-BI58-U58</f>
        <v>-0.59999999999999432</v>
      </c>
      <c r="W58" s="22" t="s">
        <v>3151</v>
      </c>
      <c r="X58" s="13"/>
      <c r="Y58" s="19">
        <v>159.6</v>
      </c>
      <c r="Z58" s="14">
        <v>45940</v>
      </c>
      <c r="AA58" s="9"/>
    </row>
    <row r="59" spans="1:27" s="28" customFormat="1" ht="20.25" hidden="1" customHeight="1">
      <c r="A59" s="11">
        <v>45932</v>
      </c>
      <c r="B59" s="16" t="s">
        <v>3134</v>
      </c>
      <c r="C59" s="16" t="s">
        <v>1568</v>
      </c>
      <c r="D59" s="16" t="s">
        <v>212</v>
      </c>
      <c r="E59" s="16" t="s">
        <v>47</v>
      </c>
      <c r="F59" s="16" t="s">
        <v>3137</v>
      </c>
      <c r="G59" s="16" t="s">
        <v>71</v>
      </c>
      <c r="H59" s="16" t="s">
        <v>31</v>
      </c>
      <c r="I59" s="16"/>
      <c r="J59" s="16" t="s">
        <v>27</v>
      </c>
      <c r="K59" s="16" t="s">
        <v>1458</v>
      </c>
      <c r="L59" s="16" t="s">
        <v>35</v>
      </c>
      <c r="M59" s="17">
        <v>30</v>
      </c>
      <c r="N59" s="23">
        <v>1.29</v>
      </c>
      <c r="O59" s="16" t="s">
        <v>67</v>
      </c>
      <c r="P59" s="16" t="s">
        <v>63</v>
      </c>
      <c r="Q59" s="16" t="s">
        <v>29</v>
      </c>
      <c r="R59" s="16" t="s">
        <v>3141</v>
      </c>
      <c r="S59" s="12" t="s">
        <v>2926</v>
      </c>
      <c r="T59" s="13">
        <v>45946</v>
      </c>
      <c r="U59" s="19"/>
      <c r="V59" s="53">
        <f>M59-U59-Y59-AA59</f>
        <v>-0.60000000000000142</v>
      </c>
      <c r="W59" s="22" t="s">
        <v>3152</v>
      </c>
      <c r="X59" s="13"/>
      <c r="Y59" s="19">
        <v>30.6</v>
      </c>
      <c r="Z59" s="14">
        <v>45947</v>
      </c>
      <c r="AA59" s="9"/>
    </row>
    <row r="60" spans="1:27" s="28" customFormat="1" ht="20.25" hidden="1" customHeight="1">
      <c r="A60" s="11">
        <v>45932</v>
      </c>
      <c r="B60" s="16" t="s">
        <v>3134</v>
      </c>
      <c r="C60" s="16" t="s">
        <v>1568</v>
      </c>
      <c r="D60" s="16" t="s">
        <v>212</v>
      </c>
      <c r="E60" s="16" t="s">
        <v>47</v>
      </c>
      <c r="F60" s="16" t="s">
        <v>3137</v>
      </c>
      <c r="G60" s="16" t="s">
        <v>71</v>
      </c>
      <c r="H60" s="16" t="s">
        <v>31</v>
      </c>
      <c r="I60" s="16"/>
      <c r="J60" s="16" t="s">
        <v>27</v>
      </c>
      <c r="K60" s="16" t="s">
        <v>214</v>
      </c>
      <c r="L60" s="16" t="s">
        <v>35</v>
      </c>
      <c r="M60" s="17">
        <v>40</v>
      </c>
      <c r="N60" s="23">
        <v>1.29</v>
      </c>
      <c r="O60" s="16" t="s">
        <v>1063</v>
      </c>
      <c r="P60" s="16" t="s">
        <v>63</v>
      </c>
      <c r="Q60" s="16" t="s">
        <v>29</v>
      </c>
      <c r="R60" s="16" t="s">
        <v>3142</v>
      </c>
      <c r="S60" s="12" t="s">
        <v>2926</v>
      </c>
      <c r="T60" s="13">
        <v>45946</v>
      </c>
      <c r="U60" s="19"/>
      <c r="V60" s="53">
        <f>M60-U60-Y60-AA60</f>
        <v>-1.7999999999999972</v>
      </c>
      <c r="W60" s="22" t="s">
        <v>3153</v>
      </c>
      <c r="X60" s="13"/>
      <c r="Y60" s="19">
        <v>41.8</v>
      </c>
      <c r="Z60" s="14">
        <v>45944</v>
      </c>
      <c r="AA60" s="9"/>
    </row>
    <row r="61" spans="1:27" s="28" customFormat="1" ht="20.25" hidden="1" customHeight="1">
      <c r="A61" s="11">
        <v>45932</v>
      </c>
      <c r="B61" s="16" t="s">
        <v>3134</v>
      </c>
      <c r="C61" s="16" t="s">
        <v>1568</v>
      </c>
      <c r="D61" s="16" t="s">
        <v>212</v>
      </c>
      <c r="E61" s="16" t="s">
        <v>47</v>
      </c>
      <c r="F61" s="16" t="s">
        <v>3137</v>
      </c>
      <c r="G61" s="16" t="s">
        <v>71</v>
      </c>
      <c r="H61" s="16" t="s">
        <v>31</v>
      </c>
      <c r="I61" s="16"/>
      <c r="J61" s="16" t="s">
        <v>27</v>
      </c>
      <c r="K61" s="16" t="s">
        <v>1070</v>
      </c>
      <c r="L61" s="16" t="s">
        <v>35</v>
      </c>
      <c r="M61" s="17">
        <v>40</v>
      </c>
      <c r="N61" s="23">
        <v>1.29</v>
      </c>
      <c r="O61" s="16" t="s">
        <v>67</v>
      </c>
      <c r="P61" s="16" t="s">
        <v>63</v>
      </c>
      <c r="Q61" s="16" t="s">
        <v>29</v>
      </c>
      <c r="R61" s="16" t="s">
        <v>3143</v>
      </c>
      <c r="S61" s="12" t="s">
        <v>2926</v>
      </c>
      <c r="T61" s="13">
        <v>45946</v>
      </c>
      <c r="U61" s="19"/>
      <c r="V61" s="53">
        <f>M61-Y61-U61-AA61-AC61-AE61-AG61-AI61-AK61-AM61-AO61-AQ61-AS61-AU61-AW61-AY61-BA61-BC61-BE61-BG61-BI61-U61</f>
        <v>-5.1000000000000014</v>
      </c>
      <c r="W61" s="22" t="s">
        <v>3154</v>
      </c>
      <c r="X61" s="13"/>
      <c r="Y61" s="19">
        <v>45.1</v>
      </c>
      <c r="Z61" s="14">
        <v>45940</v>
      </c>
      <c r="AA61" s="9"/>
    </row>
    <row r="62" spans="1:27" s="28" customFormat="1" ht="20.25" hidden="1" customHeight="1">
      <c r="A62" s="11">
        <v>45932</v>
      </c>
      <c r="B62" s="16" t="s">
        <v>3134</v>
      </c>
      <c r="C62" s="16" t="s">
        <v>1568</v>
      </c>
      <c r="D62" s="16" t="s">
        <v>212</v>
      </c>
      <c r="E62" s="16" t="s">
        <v>47</v>
      </c>
      <c r="F62" s="16" t="s">
        <v>3137</v>
      </c>
      <c r="G62" s="16" t="s">
        <v>71</v>
      </c>
      <c r="H62" s="16" t="s">
        <v>31</v>
      </c>
      <c r="I62" s="16"/>
      <c r="J62" s="16" t="s">
        <v>27</v>
      </c>
      <c r="K62" s="16" t="s">
        <v>2973</v>
      </c>
      <c r="L62" s="16" t="s">
        <v>35</v>
      </c>
      <c r="M62" s="17">
        <v>40</v>
      </c>
      <c r="N62" s="23">
        <v>1.29</v>
      </c>
      <c r="O62" s="16" t="s">
        <v>67</v>
      </c>
      <c r="P62" s="16" t="s">
        <v>63</v>
      </c>
      <c r="Q62" s="16" t="s">
        <v>29</v>
      </c>
      <c r="R62" s="16" t="s">
        <v>3144</v>
      </c>
      <c r="S62" s="12" t="s">
        <v>2926</v>
      </c>
      <c r="T62" s="13">
        <v>45946</v>
      </c>
      <c r="U62" s="19"/>
      <c r="V62" s="53">
        <f>M62-U62-Y62-AA62</f>
        <v>-3.5</v>
      </c>
      <c r="W62" s="22" t="s">
        <v>3155</v>
      </c>
      <c r="X62" s="13"/>
      <c r="Y62" s="19">
        <v>43.5</v>
      </c>
      <c r="Z62" s="14">
        <v>45944</v>
      </c>
      <c r="AA62" s="9"/>
    </row>
    <row r="63" spans="1:27" s="28" customFormat="1" ht="20.25" hidden="1" customHeight="1">
      <c r="A63" s="11">
        <v>45932</v>
      </c>
      <c r="B63" s="16" t="s">
        <v>3134</v>
      </c>
      <c r="C63" s="16" t="s">
        <v>1568</v>
      </c>
      <c r="D63" s="16" t="s">
        <v>212</v>
      </c>
      <c r="E63" s="16" t="s">
        <v>47</v>
      </c>
      <c r="F63" s="16" t="s">
        <v>3137</v>
      </c>
      <c r="G63" s="16" t="s">
        <v>71</v>
      </c>
      <c r="H63" s="16" t="s">
        <v>31</v>
      </c>
      <c r="I63" s="16"/>
      <c r="J63" s="16" t="s">
        <v>27</v>
      </c>
      <c r="K63" s="16" t="s">
        <v>223</v>
      </c>
      <c r="L63" s="16" t="s">
        <v>35</v>
      </c>
      <c r="M63" s="17">
        <v>30</v>
      </c>
      <c r="N63" s="23">
        <v>1.29</v>
      </c>
      <c r="O63" s="16" t="s">
        <v>67</v>
      </c>
      <c r="P63" s="16" t="s">
        <v>63</v>
      </c>
      <c r="Q63" s="16" t="s">
        <v>29</v>
      </c>
      <c r="R63" s="16" t="s">
        <v>3145</v>
      </c>
      <c r="S63" s="12" t="s">
        <v>2926</v>
      </c>
      <c r="T63" s="13">
        <v>45946</v>
      </c>
      <c r="U63" s="19"/>
      <c r="V63" s="53">
        <f>M63-Y63-U63-AA63-AC63-AE63-AG63-AI63-AK63-AM63-AO63-AQ63-AS63-AU63-AW63-AY63-BA63-BC63-BE63-BG63-BI63-U63</f>
        <v>-1</v>
      </c>
      <c r="W63" s="22" t="s">
        <v>3156</v>
      </c>
      <c r="X63" s="13"/>
      <c r="Y63" s="19">
        <v>31</v>
      </c>
      <c r="Z63" s="14">
        <v>45940</v>
      </c>
      <c r="AA63" s="9"/>
    </row>
    <row r="64" spans="1:27" s="28" customFormat="1" ht="20.25" hidden="1" customHeight="1">
      <c r="A64" s="11">
        <v>45932</v>
      </c>
      <c r="B64" s="16" t="s">
        <v>3134</v>
      </c>
      <c r="C64" s="16" t="s">
        <v>1568</v>
      </c>
      <c r="D64" s="16" t="s">
        <v>212</v>
      </c>
      <c r="E64" s="16" t="s">
        <v>47</v>
      </c>
      <c r="F64" s="16" t="s">
        <v>3137</v>
      </c>
      <c r="G64" s="16" t="s">
        <v>71</v>
      </c>
      <c r="H64" s="16" t="s">
        <v>31</v>
      </c>
      <c r="I64" s="16"/>
      <c r="J64" s="16" t="s">
        <v>27</v>
      </c>
      <c r="K64" s="16" t="s">
        <v>2975</v>
      </c>
      <c r="L64" s="16" t="s">
        <v>35</v>
      </c>
      <c r="M64" s="17">
        <v>40</v>
      </c>
      <c r="N64" s="23">
        <v>1.29</v>
      </c>
      <c r="O64" s="16" t="s">
        <v>67</v>
      </c>
      <c r="P64" s="16" t="s">
        <v>63</v>
      </c>
      <c r="Q64" s="16" t="s">
        <v>29</v>
      </c>
      <c r="R64" s="16" t="s">
        <v>3146</v>
      </c>
      <c r="S64" s="12" t="s">
        <v>2926</v>
      </c>
      <c r="T64" s="13">
        <v>45946</v>
      </c>
      <c r="U64" s="19"/>
      <c r="V64" s="53">
        <f>M64-Y64-U64-AA64-AC64-AE64-AG64-AI64-AK64-AM64-AO64-AQ64-AS64-AU64-AW64-AY64-BA64-BC64-BE64-BG64-BI64-U64</f>
        <v>-1.2000000000000028</v>
      </c>
      <c r="W64" s="22" t="s">
        <v>3157</v>
      </c>
      <c r="X64" s="13"/>
      <c r="Y64" s="19">
        <v>41.2</v>
      </c>
      <c r="Z64" s="14">
        <v>45940</v>
      </c>
      <c r="AA64" s="9"/>
    </row>
    <row r="65" spans="1:27" s="28" customFormat="1" ht="20.25" hidden="1" customHeight="1">
      <c r="A65" s="11">
        <v>45960</v>
      </c>
      <c r="B65" s="16" t="s">
        <v>3601</v>
      </c>
      <c r="C65" s="16" t="s">
        <v>1568</v>
      </c>
      <c r="D65" s="16" t="s">
        <v>212</v>
      </c>
      <c r="E65" s="16" t="s">
        <v>47</v>
      </c>
      <c r="F65" s="16" t="s">
        <v>3603</v>
      </c>
      <c r="G65" s="16" t="s">
        <v>71</v>
      </c>
      <c r="H65" s="16" t="s">
        <v>31</v>
      </c>
      <c r="I65" s="1"/>
      <c r="J65" s="1" t="s">
        <v>27</v>
      </c>
      <c r="K65" s="16" t="s">
        <v>2050</v>
      </c>
      <c r="L65" s="1" t="s">
        <v>35</v>
      </c>
      <c r="M65" s="17">
        <v>30</v>
      </c>
      <c r="N65" s="23">
        <v>1.29</v>
      </c>
      <c r="O65" s="16" t="s">
        <v>67</v>
      </c>
      <c r="P65" s="16" t="s">
        <v>63</v>
      </c>
      <c r="Q65" s="16" t="s">
        <v>29</v>
      </c>
      <c r="R65" s="16" t="s">
        <v>3604</v>
      </c>
      <c r="S65" s="12" t="s">
        <v>3489</v>
      </c>
      <c r="T65" s="13">
        <v>45974</v>
      </c>
      <c r="U65" s="19"/>
      <c r="V65" s="53">
        <f>M65-U65-Y65-AA65</f>
        <v>-1.6999999999999993</v>
      </c>
      <c r="W65" s="22" t="s">
        <v>3607</v>
      </c>
      <c r="X65" s="13"/>
      <c r="Y65" s="19">
        <v>31.7</v>
      </c>
      <c r="Z65" s="14">
        <v>45961</v>
      </c>
      <c r="AA65" s="9"/>
    </row>
    <row r="66" spans="1:27" s="28" customFormat="1" ht="20.25" hidden="1" customHeight="1">
      <c r="A66" s="11">
        <v>45960</v>
      </c>
      <c r="B66" s="16" t="s">
        <v>3601</v>
      </c>
      <c r="C66" s="16" t="s">
        <v>1568</v>
      </c>
      <c r="D66" s="16" t="s">
        <v>212</v>
      </c>
      <c r="E66" s="16" t="s">
        <v>47</v>
      </c>
      <c r="F66" s="16" t="s">
        <v>3603</v>
      </c>
      <c r="G66" s="16" t="s">
        <v>71</v>
      </c>
      <c r="H66" s="16" t="s">
        <v>31</v>
      </c>
      <c r="I66" s="1"/>
      <c r="J66" s="1" t="s">
        <v>27</v>
      </c>
      <c r="K66" s="16" t="s">
        <v>250</v>
      </c>
      <c r="L66" s="1" t="s">
        <v>35</v>
      </c>
      <c r="M66" s="17">
        <v>40</v>
      </c>
      <c r="N66" s="23">
        <v>1.29</v>
      </c>
      <c r="O66" s="16" t="s">
        <v>67</v>
      </c>
      <c r="P66" s="16" t="s">
        <v>63</v>
      </c>
      <c r="Q66" s="16" t="s">
        <v>29</v>
      </c>
      <c r="R66" s="16" t="s">
        <v>3604</v>
      </c>
      <c r="S66" s="12" t="s">
        <v>3489</v>
      </c>
      <c r="T66" s="13">
        <v>45974</v>
      </c>
      <c r="U66" s="19"/>
      <c r="V66" s="53">
        <f>M66-U66-Y66-AA66</f>
        <v>-0.39999999999999858</v>
      </c>
      <c r="W66" s="22" t="s">
        <v>3608</v>
      </c>
      <c r="X66" s="13"/>
      <c r="Y66" s="19">
        <v>40.4</v>
      </c>
      <c r="Z66" s="14">
        <v>45961</v>
      </c>
      <c r="AA66" s="9"/>
    </row>
    <row r="67" spans="1:27" s="28" customFormat="1" ht="20.25" hidden="1" customHeight="1">
      <c r="A67" s="11">
        <v>45960</v>
      </c>
      <c r="B67" s="16" t="s">
        <v>3601</v>
      </c>
      <c r="C67" s="16" t="s">
        <v>1568</v>
      </c>
      <c r="D67" s="16" t="s">
        <v>212</v>
      </c>
      <c r="E67" s="16" t="s">
        <v>47</v>
      </c>
      <c r="F67" s="16" t="s">
        <v>3603</v>
      </c>
      <c r="G67" s="16" t="s">
        <v>71</v>
      </c>
      <c r="H67" s="16" t="s">
        <v>31</v>
      </c>
      <c r="I67" s="16"/>
      <c r="J67" s="16" t="s">
        <v>27</v>
      </c>
      <c r="K67" s="16" t="s">
        <v>2355</v>
      </c>
      <c r="L67" s="16" t="s">
        <v>35</v>
      </c>
      <c r="M67" s="17">
        <v>30</v>
      </c>
      <c r="N67" s="23">
        <v>1.29</v>
      </c>
      <c r="O67" s="16" t="s">
        <v>67</v>
      </c>
      <c r="P67" s="16" t="s">
        <v>63</v>
      </c>
      <c r="Q67" s="16" t="s">
        <v>29</v>
      </c>
      <c r="R67" s="16" t="s">
        <v>3605</v>
      </c>
      <c r="S67" s="12" t="s">
        <v>3489</v>
      </c>
      <c r="T67" s="13">
        <v>45974</v>
      </c>
      <c r="U67" s="19"/>
      <c r="V67" s="53">
        <f>M67-U67-Y67-AA67</f>
        <v>-1.1999999999999993</v>
      </c>
      <c r="W67" s="22" t="s">
        <v>3609</v>
      </c>
      <c r="X67" s="13"/>
      <c r="Y67" s="19">
        <v>31.2</v>
      </c>
      <c r="Z67" s="14">
        <v>45961</v>
      </c>
      <c r="AA67" s="9"/>
    </row>
    <row r="68" spans="1:27" s="28" customFormat="1" ht="20.25" hidden="1" customHeight="1">
      <c r="A68" s="11">
        <v>45960</v>
      </c>
      <c r="B68" s="16" t="s">
        <v>3601</v>
      </c>
      <c r="C68" s="16" t="s">
        <v>1568</v>
      </c>
      <c r="D68" s="16" t="s">
        <v>212</v>
      </c>
      <c r="E68" s="16" t="s">
        <v>47</v>
      </c>
      <c r="F68" s="16" t="s">
        <v>3603</v>
      </c>
      <c r="G68" s="16" t="s">
        <v>71</v>
      </c>
      <c r="H68" s="16" t="s">
        <v>31</v>
      </c>
      <c r="I68" s="1"/>
      <c r="J68" s="1" t="s">
        <v>27</v>
      </c>
      <c r="K68" s="16" t="s">
        <v>2766</v>
      </c>
      <c r="L68" s="1" t="s">
        <v>35</v>
      </c>
      <c r="M68" s="17">
        <v>30</v>
      </c>
      <c r="N68" s="23">
        <v>1.29</v>
      </c>
      <c r="O68" s="16" t="s">
        <v>67</v>
      </c>
      <c r="P68" s="16" t="s">
        <v>63</v>
      </c>
      <c r="Q68" s="16" t="s">
        <v>29</v>
      </c>
      <c r="R68" s="16" t="s">
        <v>3606</v>
      </c>
      <c r="S68" s="12" t="s">
        <v>3489</v>
      </c>
      <c r="T68" s="13">
        <v>45974</v>
      </c>
      <c r="U68" s="19"/>
      <c r="V68" s="53">
        <f>M68-U68-Y68-AA68</f>
        <v>-5.2000000000000028</v>
      </c>
      <c r="W68" s="22" t="s">
        <v>3610</v>
      </c>
      <c r="X68" s="13"/>
      <c r="Y68" s="19">
        <v>35.200000000000003</v>
      </c>
      <c r="Z68" s="14">
        <v>45961</v>
      </c>
      <c r="AA68" s="9"/>
    </row>
    <row r="69" spans="1:27" s="28" customFormat="1" ht="20.25" hidden="1" customHeight="1">
      <c r="A69" s="11">
        <v>45960</v>
      </c>
      <c r="B69" s="16" t="s">
        <v>3602</v>
      </c>
      <c r="C69" s="16" t="s">
        <v>1568</v>
      </c>
      <c r="D69" s="16" t="s">
        <v>212</v>
      </c>
      <c r="E69" s="16" t="s">
        <v>47</v>
      </c>
      <c r="F69" s="16" t="s">
        <v>3136</v>
      </c>
      <c r="G69" s="16" t="s">
        <v>71</v>
      </c>
      <c r="H69" s="16" t="s">
        <v>31</v>
      </c>
      <c r="I69" s="1"/>
      <c r="J69" s="1" t="s">
        <v>27</v>
      </c>
      <c r="K69" s="16" t="s">
        <v>966</v>
      </c>
      <c r="L69" s="1" t="s">
        <v>35</v>
      </c>
      <c r="M69" s="17">
        <v>36</v>
      </c>
      <c r="N69" s="23">
        <v>1.29</v>
      </c>
      <c r="O69" s="16" t="s">
        <v>67</v>
      </c>
      <c r="P69" s="16" t="s">
        <v>63</v>
      </c>
      <c r="Q69" s="16" t="s">
        <v>29</v>
      </c>
      <c r="R69" s="16" t="s">
        <v>3140</v>
      </c>
      <c r="S69" s="12" t="s">
        <v>2563</v>
      </c>
      <c r="T69" s="13">
        <v>45961</v>
      </c>
      <c r="U69" s="19"/>
      <c r="V69" s="53">
        <f>M69-U69-Y69-AA69</f>
        <v>-2.5</v>
      </c>
      <c r="W69" s="22" t="s">
        <v>3611</v>
      </c>
      <c r="X69" s="13"/>
      <c r="Y69" s="19">
        <v>38.5</v>
      </c>
      <c r="Z69" s="14">
        <v>45961</v>
      </c>
      <c r="AA69" s="9"/>
    </row>
    <row r="70" spans="1:27" s="28" customFormat="1" ht="20.25" hidden="1" customHeight="1">
      <c r="A70" s="11">
        <v>45960</v>
      </c>
      <c r="B70" s="16" t="s">
        <v>3602</v>
      </c>
      <c r="C70" s="16" t="s">
        <v>1568</v>
      </c>
      <c r="D70" s="16" t="s">
        <v>212</v>
      </c>
      <c r="E70" s="16" t="s">
        <v>47</v>
      </c>
      <c r="F70" s="16" t="s">
        <v>3136</v>
      </c>
      <c r="G70" s="16" t="s">
        <v>71</v>
      </c>
      <c r="H70" s="16" t="s">
        <v>31</v>
      </c>
      <c r="I70" s="1"/>
      <c r="J70" s="1" t="s">
        <v>27</v>
      </c>
      <c r="K70" s="16" t="s">
        <v>239</v>
      </c>
      <c r="L70" s="1" t="s">
        <v>35</v>
      </c>
      <c r="M70" s="17">
        <v>234</v>
      </c>
      <c r="N70" s="23">
        <v>1.29</v>
      </c>
      <c r="O70" s="16" t="s">
        <v>1063</v>
      </c>
      <c r="P70" s="16" t="s">
        <v>63</v>
      </c>
      <c r="Q70" s="16" t="s">
        <v>29</v>
      </c>
      <c r="R70" s="16" t="s">
        <v>3138</v>
      </c>
      <c r="S70" s="12" t="s">
        <v>2563</v>
      </c>
      <c r="T70" s="13">
        <v>45961</v>
      </c>
      <c r="U70" s="19"/>
      <c r="V70" s="53">
        <f>M70-U70-Y70-AA70</f>
        <v>-0.5</v>
      </c>
      <c r="W70" s="22" t="s">
        <v>3612</v>
      </c>
      <c r="X70" s="13"/>
      <c r="Y70" s="19">
        <v>234.5</v>
      </c>
      <c r="Z70" s="14">
        <v>45961</v>
      </c>
      <c r="AA70" s="9"/>
    </row>
    <row r="71" spans="1:27" s="28" customFormat="1" ht="20.25" hidden="1" customHeight="1">
      <c r="A71" s="11">
        <v>45960</v>
      </c>
      <c r="B71" s="16" t="s">
        <v>3602</v>
      </c>
      <c r="C71" s="16" t="s">
        <v>1568</v>
      </c>
      <c r="D71" s="16" t="s">
        <v>212</v>
      </c>
      <c r="E71" s="16" t="s">
        <v>47</v>
      </c>
      <c r="F71" s="16" t="s">
        <v>3136</v>
      </c>
      <c r="G71" s="16" t="s">
        <v>71</v>
      </c>
      <c r="H71" s="16" t="s">
        <v>31</v>
      </c>
      <c r="I71" s="1"/>
      <c r="J71" s="1" t="s">
        <v>27</v>
      </c>
      <c r="K71" s="16" t="s">
        <v>1717</v>
      </c>
      <c r="L71" s="1" t="s">
        <v>35</v>
      </c>
      <c r="M71" s="17">
        <v>159</v>
      </c>
      <c r="N71" s="23">
        <v>1.29</v>
      </c>
      <c r="O71" s="16" t="s">
        <v>67</v>
      </c>
      <c r="P71" s="16" t="s">
        <v>63</v>
      </c>
      <c r="Q71" s="16" t="s">
        <v>29</v>
      </c>
      <c r="R71" s="16" t="s">
        <v>29</v>
      </c>
      <c r="S71" s="12" t="s">
        <v>2563</v>
      </c>
      <c r="T71" s="13">
        <v>45961</v>
      </c>
      <c r="U71" s="19"/>
      <c r="V71" s="53">
        <f>M71-U71-Y71-AA71</f>
        <v>-0.69999999999998863</v>
      </c>
      <c r="W71" s="22" t="s">
        <v>3613</v>
      </c>
      <c r="X71" s="13"/>
      <c r="Y71" s="19">
        <v>159.69999999999999</v>
      </c>
      <c r="Z71" s="14">
        <v>45961</v>
      </c>
      <c r="AA71" s="9"/>
    </row>
    <row r="72" spans="1:27" s="28" customFormat="1" ht="20.25" hidden="1" customHeight="1">
      <c r="A72" s="11">
        <v>45993</v>
      </c>
      <c r="B72" s="16" t="s">
        <v>4106</v>
      </c>
      <c r="C72" s="16" t="s">
        <v>400</v>
      </c>
      <c r="D72" s="16" t="s">
        <v>212</v>
      </c>
      <c r="E72" s="16" t="s">
        <v>47</v>
      </c>
      <c r="F72" s="16" t="s">
        <v>4107</v>
      </c>
      <c r="G72" s="16" t="s">
        <v>71</v>
      </c>
      <c r="H72" s="16" t="s">
        <v>31</v>
      </c>
      <c r="I72" s="16"/>
      <c r="J72" s="16" t="s">
        <v>27</v>
      </c>
      <c r="K72" s="16" t="s">
        <v>3482</v>
      </c>
      <c r="L72" s="16" t="s">
        <v>35</v>
      </c>
      <c r="M72" s="17">
        <v>65</v>
      </c>
      <c r="N72" s="23">
        <v>1.29</v>
      </c>
      <c r="O72" s="16" t="s">
        <v>67</v>
      </c>
      <c r="P72" s="16" t="s">
        <v>63</v>
      </c>
      <c r="Q72" s="16" t="s">
        <v>29</v>
      </c>
      <c r="R72" s="16" t="s">
        <v>4109</v>
      </c>
      <c r="S72" s="12" t="s">
        <v>1802</v>
      </c>
      <c r="T72" s="13">
        <v>46007</v>
      </c>
      <c r="U72" s="19"/>
      <c r="V72" s="53">
        <f>M72-U72-Y72-AA72</f>
        <v>-3.4000000000000057</v>
      </c>
      <c r="W72" s="22" t="s">
        <v>4115</v>
      </c>
      <c r="X72" s="13"/>
      <c r="Y72" s="19">
        <v>68.400000000000006</v>
      </c>
      <c r="Z72" s="14">
        <v>46002</v>
      </c>
      <c r="AA72" s="9"/>
    </row>
    <row r="73" spans="1:27" s="28" customFormat="1" ht="20.25" hidden="1" customHeight="1">
      <c r="A73" s="11">
        <v>45993</v>
      </c>
      <c r="B73" s="16" t="s">
        <v>4106</v>
      </c>
      <c r="C73" s="16" t="s">
        <v>400</v>
      </c>
      <c r="D73" s="16" t="s">
        <v>212</v>
      </c>
      <c r="E73" s="16" t="s">
        <v>47</v>
      </c>
      <c r="F73" s="16" t="s">
        <v>4107</v>
      </c>
      <c r="G73" s="16" t="s">
        <v>71</v>
      </c>
      <c r="H73" s="16" t="s">
        <v>31</v>
      </c>
      <c r="I73" s="16"/>
      <c r="J73" s="16" t="s">
        <v>27</v>
      </c>
      <c r="K73" s="16" t="s">
        <v>3882</v>
      </c>
      <c r="L73" s="16" t="s">
        <v>35</v>
      </c>
      <c r="M73" s="17">
        <v>40</v>
      </c>
      <c r="N73" s="23">
        <v>1.29</v>
      </c>
      <c r="O73" s="16" t="s">
        <v>67</v>
      </c>
      <c r="P73" s="16" t="s">
        <v>63</v>
      </c>
      <c r="Q73" s="16" t="s">
        <v>4110</v>
      </c>
      <c r="R73" s="16" t="s">
        <v>4109</v>
      </c>
      <c r="S73" s="12" t="s">
        <v>1802</v>
      </c>
      <c r="T73" s="13">
        <v>46007</v>
      </c>
      <c r="U73" s="19"/>
      <c r="V73" s="53">
        <f>M73-U73-Y73-AA73</f>
        <v>-2.5</v>
      </c>
      <c r="W73" s="22" t="s">
        <v>4116</v>
      </c>
      <c r="X73" s="13"/>
      <c r="Y73" s="19">
        <v>42.5</v>
      </c>
      <c r="Z73" s="14">
        <v>46002</v>
      </c>
      <c r="AA73" s="9"/>
    </row>
    <row r="74" spans="1:27" s="28" customFormat="1" ht="20.25" hidden="1" customHeight="1">
      <c r="A74" s="11">
        <v>45993</v>
      </c>
      <c r="B74" s="16" t="s">
        <v>4106</v>
      </c>
      <c r="C74" s="16" t="s">
        <v>400</v>
      </c>
      <c r="D74" s="16" t="s">
        <v>212</v>
      </c>
      <c r="E74" s="16" t="s">
        <v>47</v>
      </c>
      <c r="F74" s="16" t="s">
        <v>4107</v>
      </c>
      <c r="G74" s="16" t="s">
        <v>71</v>
      </c>
      <c r="H74" s="16" t="s">
        <v>31</v>
      </c>
      <c r="I74" s="16"/>
      <c r="J74" s="16" t="s">
        <v>27</v>
      </c>
      <c r="K74" s="16" t="s">
        <v>975</v>
      </c>
      <c r="L74" s="16" t="s">
        <v>35</v>
      </c>
      <c r="M74" s="17">
        <v>65</v>
      </c>
      <c r="N74" s="23">
        <v>1.29</v>
      </c>
      <c r="O74" s="16" t="s">
        <v>67</v>
      </c>
      <c r="P74" s="16" t="s">
        <v>63</v>
      </c>
      <c r="Q74" s="16" t="s">
        <v>4110</v>
      </c>
      <c r="R74" s="16" t="s">
        <v>4111</v>
      </c>
      <c r="S74" s="12" t="s">
        <v>1802</v>
      </c>
      <c r="T74" s="13">
        <v>46007</v>
      </c>
      <c r="U74" s="19"/>
      <c r="V74" s="53">
        <f>M74-U74-Y74-AA74</f>
        <v>-3.0999999999999943</v>
      </c>
      <c r="W74" s="22" t="s">
        <v>4117</v>
      </c>
      <c r="X74" s="13"/>
      <c r="Y74" s="19">
        <v>68.099999999999994</v>
      </c>
      <c r="Z74" s="14">
        <v>46002</v>
      </c>
      <c r="AA74" s="9"/>
    </row>
    <row r="75" spans="1:27" s="28" customFormat="1" ht="20.25" hidden="1" customHeight="1">
      <c r="A75" s="11">
        <v>45993</v>
      </c>
      <c r="B75" s="16" t="s">
        <v>4106</v>
      </c>
      <c r="C75" s="16" t="s">
        <v>400</v>
      </c>
      <c r="D75" s="16" t="s">
        <v>212</v>
      </c>
      <c r="E75" s="16" t="s">
        <v>47</v>
      </c>
      <c r="F75" s="16" t="s">
        <v>4107</v>
      </c>
      <c r="G75" s="16" t="s">
        <v>71</v>
      </c>
      <c r="H75" s="16" t="s">
        <v>31</v>
      </c>
      <c r="I75" s="16"/>
      <c r="J75" s="16" t="s">
        <v>27</v>
      </c>
      <c r="K75" s="16" t="s">
        <v>4108</v>
      </c>
      <c r="L75" s="16" t="s">
        <v>35</v>
      </c>
      <c r="M75" s="17">
        <v>330</v>
      </c>
      <c r="N75" s="23">
        <v>1.29</v>
      </c>
      <c r="O75" s="16" t="s">
        <v>67</v>
      </c>
      <c r="P75" s="16" t="s">
        <v>63</v>
      </c>
      <c r="Q75" s="16" t="s">
        <v>4110</v>
      </c>
      <c r="R75" s="16" t="s">
        <v>4112</v>
      </c>
      <c r="S75" s="12" t="s">
        <v>1802</v>
      </c>
      <c r="T75" s="13">
        <v>46007</v>
      </c>
      <c r="U75" s="19"/>
      <c r="V75" s="53">
        <f>M75-U75-Y75-AA75</f>
        <v>-1</v>
      </c>
      <c r="W75" s="22" t="s">
        <v>4118</v>
      </c>
      <c r="X75" s="13"/>
      <c r="Y75" s="19">
        <f>213.9+117.1</f>
        <v>331</v>
      </c>
      <c r="Z75" s="14">
        <v>46002</v>
      </c>
      <c r="AA75" s="9"/>
    </row>
    <row r="76" spans="1:27" s="28" customFormat="1" ht="20.25" hidden="1" customHeight="1">
      <c r="A76" s="11">
        <v>45993</v>
      </c>
      <c r="B76" s="16" t="s">
        <v>4106</v>
      </c>
      <c r="C76" s="16" t="s">
        <v>400</v>
      </c>
      <c r="D76" s="16" t="s">
        <v>212</v>
      </c>
      <c r="E76" s="16" t="s">
        <v>47</v>
      </c>
      <c r="F76" s="16" t="s">
        <v>4107</v>
      </c>
      <c r="G76" s="16" t="s">
        <v>71</v>
      </c>
      <c r="H76" s="16" t="s">
        <v>31</v>
      </c>
      <c r="I76" s="16"/>
      <c r="J76" s="16" t="s">
        <v>27</v>
      </c>
      <c r="K76" s="16" t="s">
        <v>2355</v>
      </c>
      <c r="L76" s="16" t="s">
        <v>35</v>
      </c>
      <c r="M76" s="17">
        <v>60</v>
      </c>
      <c r="N76" s="23">
        <v>1.29</v>
      </c>
      <c r="O76" s="16" t="s">
        <v>67</v>
      </c>
      <c r="P76" s="16" t="s">
        <v>63</v>
      </c>
      <c r="Q76" s="16" t="s">
        <v>4110</v>
      </c>
      <c r="R76" s="16" t="s">
        <v>4113</v>
      </c>
      <c r="S76" s="12" t="s">
        <v>1802</v>
      </c>
      <c r="T76" s="13">
        <v>46007</v>
      </c>
      <c r="U76" s="19"/>
      <c r="V76" s="53">
        <f>M76-U76-Y76-AA76</f>
        <v>-2.2000000000000028</v>
      </c>
      <c r="W76" s="22" t="s">
        <v>4119</v>
      </c>
      <c r="X76" s="13"/>
      <c r="Y76" s="19">
        <v>62.2</v>
      </c>
      <c r="Z76" s="14">
        <v>46002</v>
      </c>
      <c r="AA76" s="9"/>
    </row>
    <row r="77" spans="1:27" s="28" customFormat="1" ht="20.25" hidden="1" customHeight="1">
      <c r="A77" s="11">
        <v>45993</v>
      </c>
      <c r="B77" s="16" t="s">
        <v>4106</v>
      </c>
      <c r="C77" s="16" t="s">
        <v>400</v>
      </c>
      <c r="D77" s="16" t="s">
        <v>212</v>
      </c>
      <c r="E77" s="16" t="s">
        <v>47</v>
      </c>
      <c r="F77" s="16" t="s">
        <v>4107</v>
      </c>
      <c r="G77" s="16" t="s">
        <v>71</v>
      </c>
      <c r="H77" s="16" t="s">
        <v>31</v>
      </c>
      <c r="I77" s="1"/>
      <c r="J77" s="1" t="s">
        <v>27</v>
      </c>
      <c r="K77" s="16" t="s">
        <v>1470</v>
      </c>
      <c r="L77" s="1" t="s">
        <v>35</v>
      </c>
      <c r="M77" s="17">
        <v>90</v>
      </c>
      <c r="N77" s="23">
        <v>1.29</v>
      </c>
      <c r="O77" s="16" t="s">
        <v>67</v>
      </c>
      <c r="P77" s="16" t="s">
        <v>63</v>
      </c>
      <c r="Q77" s="16" t="s">
        <v>4110</v>
      </c>
      <c r="R77" s="16" t="s">
        <v>4114</v>
      </c>
      <c r="S77" s="12" t="s">
        <v>1802</v>
      </c>
      <c r="T77" s="13">
        <v>46007</v>
      </c>
      <c r="U77" s="19"/>
      <c r="V77" s="53">
        <f>M77-U77-Y77-AA77</f>
        <v>0</v>
      </c>
      <c r="W77" s="22" t="s">
        <v>4120</v>
      </c>
      <c r="X77" s="13"/>
      <c r="Y77" s="19">
        <v>90</v>
      </c>
      <c r="Z77" s="14">
        <v>46013</v>
      </c>
      <c r="AA77" s="9"/>
    </row>
    <row r="78" spans="1:27" s="28" customFormat="1" ht="20.25" hidden="1" customHeight="1">
      <c r="A78" s="11">
        <v>45993</v>
      </c>
      <c r="B78" s="16" t="s">
        <v>4106</v>
      </c>
      <c r="C78" s="16" t="s">
        <v>400</v>
      </c>
      <c r="D78" s="16" t="s">
        <v>212</v>
      </c>
      <c r="E78" s="16" t="s">
        <v>47</v>
      </c>
      <c r="F78" s="16" t="s">
        <v>4107</v>
      </c>
      <c r="G78" s="16" t="s">
        <v>71</v>
      </c>
      <c r="H78" s="16" t="s">
        <v>31</v>
      </c>
      <c r="I78" s="16"/>
      <c r="J78" s="16" t="s">
        <v>27</v>
      </c>
      <c r="K78" s="16" t="s">
        <v>1328</v>
      </c>
      <c r="L78" s="16" t="s">
        <v>35</v>
      </c>
      <c r="M78" s="17">
        <v>310</v>
      </c>
      <c r="N78" s="23">
        <v>1.29</v>
      </c>
      <c r="O78" s="16" t="s">
        <v>67</v>
      </c>
      <c r="P78" s="16" t="s">
        <v>63</v>
      </c>
      <c r="Q78" s="16" t="s">
        <v>4110</v>
      </c>
      <c r="R78" s="16" t="s">
        <v>4114</v>
      </c>
      <c r="S78" s="12" t="s">
        <v>1802</v>
      </c>
      <c r="T78" s="13">
        <v>46007</v>
      </c>
      <c r="U78" s="19"/>
      <c r="V78" s="53">
        <f>M78-U78-Y78-AA78</f>
        <v>-3.1000000000000227</v>
      </c>
      <c r="W78" s="22" t="s">
        <v>4121</v>
      </c>
      <c r="X78" s="13"/>
      <c r="Y78" s="19">
        <v>313.10000000000002</v>
      </c>
      <c r="Z78" s="14">
        <v>46002</v>
      </c>
      <c r="AA78" s="9"/>
    </row>
    <row r="79" spans="1:27" s="28" customFormat="1" ht="20.25" hidden="1" customHeight="1">
      <c r="A79" s="11">
        <v>46003</v>
      </c>
      <c r="B79" s="16" t="s">
        <v>4224</v>
      </c>
      <c r="C79" s="16" t="s">
        <v>290</v>
      </c>
      <c r="D79" s="16" t="s">
        <v>212</v>
      </c>
      <c r="E79" s="16" t="s">
        <v>47</v>
      </c>
      <c r="F79" s="16" t="s">
        <v>4225</v>
      </c>
      <c r="G79" s="16" t="s">
        <v>71</v>
      </c>
      <c r="H79" s="16" t="s">
        <v>31</v>
      </c>
      <c r="I79" s="1"/>
      <c r="J79" s="1" t="s">
        <v>27</v>
      </c>
      <c r="K79" s="16" t="s">
        <v>214</v>
      </c>
      <c r="L79" s="1" t="s">
        <v>35</v>
      </c>
      <c r="M79" s="17">
        <v>100</v>
      </c>
      <c r="N79" s="23">
        <v>1.29</v>
      </c>
      <c r="O79" s="16" t="s">
        <v>67</v>
      </c>
      <c r="P79" s="16" t="s">
        <v>63</v>
      </c>
      <c r="Q79" s="16" t="s">
        <v>633</v>
      </c>
      <c r="R79" s="16" t="s">
        <v>4226</v>
      </c>
      <c r="S79" s="12" t="s">
        <v>4212</v>
      </c>
      <c r="T79" s="13">
        <v>46031</v>
      </c>
      <c r="U79" s="383"/>
      <c r="V79" s="53">
        <f>M79-U79-Y79-AA79</f>
        <v>-5.4000000000000057</v>
      </c>
      <c r="W79" s="22" t="s">
        <v>4228</v>
      </c>
      <c r="X79" s="13"/>
      <c r="Y79" s="383">
        <v>105.4</v>
      </c>
      <c r="Z79" s="14">
        <v>46027</v>
      </c>
      <c r="AA79" s="9"/>
    </row>
    <row r="80" spans="1:27" s="28" customFormat="1" ht="20.25" hidden="1" customHeight="1">
      <c r="A80" s="11">
        <v>46003</v>
      </c>
      <c r="B80" s="16" t="s">
        <v>4224</v>
      </c>
      <c r="C80" s="16" t="s">
        <v>290</v>
      </c>
      <c r="D80" s="16" t="s">
        <v>212</v>
      </c>
      <c r="E80" s="16" t="s">
        <v>47</v>
      </c>
      <c r="F80" s="16" t="s">
        <v>4225</v>
      </c>
      <c r="G80" s="16" t="s">
        <v>71</v>
      </c>
      <c r="H80" s="16" t="s">
        <v>31</v>
      </c>
      <c r="I80" s="1"/>
      <c r="J80" s="1" t="s">
        <v>27</v>
      </c>
      <c r="K80" s="16" t="s">
        <v>1378</v>
      </c>
      <c r="L80" s="1" t="s">
        <v>35</v>
      </c>
      <c r="M80" s="17">
        <v>40</v>
      </c>
      <c r="N80" s="23">
        <v>1.29</v>
      </c>
      <c r="O80" s="16" t="s">
        <v>67</v>
      </c>
      <c r="P80" s="16" t="s">
        <v>63</v>
      </c>
      <c r="Q80" s="16" t="s">
        <v>633</v>
      </c>
      <c r="R80" s="16" t="s">
        <v>4227</v>
      </c>
      <c r="S80" s="12" t="s">
        <v>4212</v>
      </c>
      <c r="T80" s="13">
        <v>46031</v>
      </c>
      <c r="U80" s="332"/>
      <c r="V80" s="53">
        <f>M80-U80-Y80-AA80</f>
        <v>-0.29999999999999716</v>
      </c>
      <c r="W80" s="22" t="s">
        <v>4229</v>
      </c>
      <c r="X80" s="13"/>
      <c r="Y80" s="332">
        <v>40.299999999999997</v>
      </c>
      <c r="Z80" s="14">
        <v>46027</v>
      </c>
      <c r="AA80" s="9"/>
    </row>
    <row r="81" spans="1:28" s="28" customFormat="1" ht="20.25" hidden="1" customHeight="1">
      <c r="A81" s="11">
        <v>46008</v>
      </c>
      <c r="B81" s="16" t="s">
        <v>4251</v>
      </c>
      <c r="C81" s="16" t="s">
        <v>267</v>
      </c>
      <c r="D81" s="16" t="s">
        <v>212</v>
      </c>
      <c r="E81" s="16" t="s">
        <v>47</v>
      </c>
      <c r="F81" s="16" t="s">
        <v>4254</v>
      </c>
      <c r="G81" s="16" t="s">
        <v>71</v>
      </c>
      <c r="H81" s="16" t="s">
        <v>31</v>
      </c>
      <c r="I81" s="1"/>
      <c r="J81" s="1" t="s">
        <v>27</v>
      </c>
      <c r="K81" s="16" t="s">
        <v>218</v>
      </c>
      <c r="L81" s="1" t="s">
        <v>35</v>
      </c>
      <c r="M81" s="17">
        <v>60</v>
      </c>
      <c r="N81" s="23">
        <v>1.29</v>
      </c>
      <c r="O81" s="16" t="s">
        <v>67</v>
      </c>
      <c r="P81" s="16" t="s">
        <v>29</v>
      </c>
      <c r="Q81" s="16" t="s">
        <v>29</v>
      </c>
      <c r="R81" s="16" t="s">
        <v>29</v>
      </c>
      <c r="S81" s="12" t="s">
        <v>4212</v>
      </c>
      <c r="T81" s="13">
        <v>46031</v>
      </c>
      <c r="U81" s="19"/>
      <c r="V81" s="53">
        <f>M81-U81-Y81-AA81</f>
        <v>-0.5</v>
      </c>
      <c r="W81" s="22" t="s">
        <v>4260</v>
      </c>
      <c r="X81" s="16" t="s">
        <v>29</v>
      </c>
      <c r="Y81" s="19">
        <v>60.5</v>
      </c>
      <c r="Z81" s="14">
        <v>46010</v>
      </c>
    </row>
    <row r="82" spans="1:28" s="28" customFormat="1" ht="20.25" hidden="1" customHeight="1">
      <c r="A82" s="11">
        <v>46009</v>
      </c>
      <c r="B82" s="16" t="s">
        <v>4297</v>
      </c>
      <c r="C82" s="16" t="s">
        <v>400</v>
      </c>
      <c r="D82" s="16" t="s">
        <v>212</v>
      </c>
      <c r="E82" s="16" t="s">
        <v>47</v>
      </c>
      <c r="F82" s="16" t="s">
        <v>4300</v>
      </c>
      <c r="G82" s="16" t="s">
        <v>71</v>
      </c>
      <c r="H82" s="16" t="s">
        <v>31</v>
      </c>
      <c r="I82" s="16"/>
      <c r="J82" s="16" t="s">
        <v>27</v>
      </c>
      <c r="K82" s="16" t="s">
        <v>4108</v>
      </c>
      <c r="L82" s="16" t="s">
        <v>35</v>
      </c>
      <c r="M82" s="17">
        <v>90</v>
      </c>
      <c r="N82" s="23">
        <v>1.29</v>
      </c>
      <c r="O82" s="16" t="s">
        <v>67</v>
      </c>
      <c r="P82" s="16" t="s">
        <v>63</v>
      </c>
      <c r="Q82" s="16" t="s">
        <v>4110</v>
      </c>
      <c r="R82" s="16" t="s">
        <v>4304</v>
      </c>
      <c r="S82" s="12" t="s">
        <v>4198</v>
      </c>
      <c r="T82" s="13">
        <v>46030</v>
      </c>
      <c r="U82" s="19"/>
      <c r="V82" s="53">
        <f>M82-U82-Y82-AA82</f>
        <v>-1.9000000000000057</v>
      </c>
      <c r="W82" s="22" t="s">
        <v>4308</v>
      </c>
      <c r="X82" s="16"/>
      <c r="Y82" s="19">
        <v>91.9</v>
      </c>
      <c r="Z82" s="14">
        <v>46029</v>
      </c>
    </row>
    <row r="83" spans="1:28" s="28" customFormat="1" ht="20.25" hidden="1" customHeight="1">
      <c r="A83" s="11">
        <v>46009</v>
      </c>
      <c r="B83" s="16" t="s">
        <v>4299</v>
      </c>
      <c r="C83" s="16" t="s">
        <v>400</v>
      </c>
      <c r="D83" s="16" t="s">
        <v>212</v>
      </c>
      <c r="E83" s="16" t="s">
        <v>47</v>
      </c>
      <c r="F83" s="16" t="s">
        <v>4302</v>
      </c>
      <c r="G83" s="16" t="s">
        <v>71</v>
      </c>
      <c r="H83" s="16" t="s">
        <v>31</v>
      </c>
      <c r="I83" s="16"/>
      <c r="J83" s="16" t="s">
        <v>27</v>
      </c>
      <c r="K83" s="16" t="s">
        <v>4108</v>
      </c>
      <c r="L83" s="16" t="s">
        <v>35</v>
      </c>
      <c r="M83" s="17">
        <v>160</v>
      </c>
      <c r="N83" s="23">
        <v>1.29</v>
      </c>
      <c r="O83" s="16" t="s">
        <v>67</v>
      </c>
      <c r="P83" s="16" t="s">
        <v>63</v>
      </c>
      <c r="Q83" s="16" t="s">
        <v>4110</v>
      </c>
      <c r="R83" s="16" t="s">
        <v>4306</v>
      </c>
      <c r="S83" s="12" t="s">
        <v>4198</v>
      </c>
      <c r="T83" s="13">
        <v>46030</v>
      </c>
      <c r="U83" s="19"/>
      <c r="V83" s="53">
        <f>M83-U83-Y83-AA83</f>
        <v>-6.3000000000000114</v>
      </c>
      <c r="W83" s="22" t="s">
        <v>4310</v>
      </c>
      <c r="X83" s="16"/>
      <c r="Y83" s="19">
        <v>166.3</v>
      </c>
      <c r="Z83" s="14">
        <v>46031</v>
      </c>
    </row>
    <row r="84" spans="1:28" s="28" customFormat="1" ht="20.25" hidden="1" customHeight="1">
      <c r="A84" s="11">
        <v>46009</v>
      </c>
      <c r="B84" s="16" t="s">
        <v>4299</v>
      </c>
      <c r="C84" s="16" t="s">
        <v>400</v>
      </c>
      <c r="D84" s="16" t="s">
        <v>212</v>
      </c>
      <c r="E84" s="16" t="s">
        <v>47</v>
      </c>
      <c r="F84" s="16" t="s">
        <v>4302</v>
      </c>
      <c r="G84" s="16" t="s">
        <v>71</v>
      </c>
      <c r="H84" s="16" t="s">
        <v>31</v>
      </c>
      <c r="I84" s="1"/>
      <c r="J84" s="1" t="s">
        <v>27</v>
      </c>
      <c r="K84" s="16" t="s">
        <v>1070</v>
      </c>
      <c r="L84" s="1" t="s">
        <v>35</v>
      </c>
      <c r="M84" s="17">
        <v>160</v>
      </c>
      <c r="N84" s="23">
        <v>1.29</v>
      </c>
      <c r="O84" s="16" t="s">
        <v>67</v>
      </c>
      <c r="P84" s="16" t="s">
        <v>63</v>
      </c>
      <c r="Q84" s="16" t="s">
        <v>4110</v>
      </c>
      <c r="R84" s="16" t="s">
        <v>4307</v>
      </c>
      <c r="S84" s="12" t="s">
        <v>4198</v>
      </c>
      <c r="T84" s="13">
        <v>46030</v>
      </c>
      <c r="U84" s="19"/>
      <c r="V84" s="53">
        <f>M84-U84-Y84-AA84</f>
        <v>-0.90000000000000568</v>
      </c>
      <c r="W84" s="22" t="s">
        <v>4311</v>
      </c>
      <c r="X84" s="16"/>
      <c r="Y84" s="19">
        <v>88.2</v>
      </c>
      <c r="Z84" s="14">
        <v>46029</v>
      </c>
      <c r="AA84" s="19">
        <f>31.6+41.1</f>
        <v>72.7</v>
      </c>
      <c r="AB84" s="252">
        <v>46041</v>
      </c>
    </row>
    <row r="85" spans="1:28" s="28" customFormat="1" ht="20.25" hidden="1" customHeight="1">
      <c r="A85" s="11">
        <v>46009</v>
      </c>
      <c r="B85" s="16" t="s">
        <v>4299</v>
      </c>
      <c r="C85" s="16" t="s">
        <v>400</v>
      </c>
      <c r="D85" s="16" t="s">
        <v>212</v>
      </c>
      <c r="E85" s="16" t="s">
        <v>47</v>
      </c>
      <c r="F85" s="16" t="s">
        <v>4302</v>
      </c>
      <c r="G85" s="16" t="s">
        <v>71</v>
      </c>
      <c r="H85" s="16" t="s">
        <v>31</v>
      </c>
      <c r="I85" s="16"/>
      <c r="J85" s="16" t="s">
        <v>27</v>
      </c>
      <c r="K85" s="16" t="s">
        <v>4108</v>
      </c>
      <c r="L85" s="16" t="s">
        <v>35</v>
      </c>
      <c r="M85" s="17">
        <v>110</v>
      </c>
      <c r="N85" s="23">
        <v>1.29</v>
      </c>
      <c r="O85" s="16" t="s">
        <v>67</v>
      </c>
      <c r="P85" s="16" t="s">
        <v>63</v>
      </c>
      <c r="Q85" s="16" t="s">
        <v>4110</v>
      </c>
      <c r="R85" s="16" t="s">
        <v>4304</v>
      </c>
      <c r="S85" s="12" t="s">
        <v>4198</v>
      </c>
      <c r="T85" s="13">
        <v>46030</v>
      </c>
      <c r="U85" s="19"/>
      <c r="V85" s="53">
        <f>M85-U85-Y85-AA85</f>
        <v>-5.4000000000000057</v>
      </c>
      <c r="W85" s="22" t="s">
        <v>4312</v>
      </c>
      <c r="X85" s="16"/>
      <c r="Y85" s="19">
        <v>115.4</v>
      </c>
      <c r="Z85" s="14">
        <v>46031</v>
      </c>
    </row>
    <row r="86" spans="1:28" s="28" customFormat="1" ht="20.25" hidden="1" customHeight="1">
      <c r="A86" s="11">
        <v>46009</v>
      </c>
      <c r="B86" s="16" t="s">
        <v>4299</v>
      </c>
      <c r="C86" s="16" t="s">
        <v>400</v>
      </c>
      <c r="D86" s="16" t="s">
        <v>212</v>
      </c>
      <c r="E86" s="16" t="s">
        <v>47</v>
      </c>
      <c r="F86" s="16" t="s">
        <v>4302</v>
      </c>
      <c r="G86" s="16" t="s">
        <v>71</v>
      </c>
      <c r="H86" s="16" t="s">
        <v>31</v>
      </c>
      <c r="I86" s="16"/>
      <c r="J86" s="16" t="s">
        <v>27</v>
      </c>
      <c r="K86" s="16" t="s">
        <v>4303</v>
      </c>
      <c r="L86" s="16" t="s">
        <v>35</v>
      </c>
      <c r="M86" s="17">
        <v>30</v>
      </c>
      <c r="N86" s="23">
        <v>1.29</v>
      </c>
      <c r="O86" s="16" t="s">
        <v>67</v>
      </c>
      <c r="P86" s="16" t="s">
        <v>63</v>
      </c>
      <c r="Q86" s="16" t="s">
        <v>4110</v>
      </c>
      <c r="R86" s="16" t="s">
        <v>4304</v>
      </c>
      <c r="S86" s="12" t="s">
        <v>4198</v>
      </c>
      <c r="T86" s="13">
        <v>46030</v>
      </c>
      <c r="U86" s="19"/>
      <c r="V86" s="53">
        <f>M86-U86-Y86-AA86</f>
        <v>-1.8000000000000007</v>
      </c>
      <c r="W86" s="22" t="s">
        <v>4313</v>
      </c>
      <c r="X86" s="16"/>
      <c r="Y86" s="19">
        <v>31.8</v>
      </c>
      <c r="Z86" s="14">
        <v>46029</v>
      </c>
    </row>
    <row r="87" spans="1:28" s="28" customFormat="1" ht="20.25" hidden="1" customHeight="1">
      <c r="A87" s="11">
        <v>46009</v>
      </c>
      <c r="B87" s="16" t="s">
        <v>4299</v>
      </c>
      <c r="C87" s="16" t="s">
        <v>400</v>
      </c>
      <c r="D87" s="16" t="s">
        <v>212</v>
      </c>
      <c r="E87" s="16" t="s">
        <v>47</v>
      </c>
      <c r="F87" s="16" t="s">
        <v>4302</v>
      </c>
      <c r="G87" s="16" t="s">
        <v>71</v>
      </c>
      <c r="H87" s="16" t="s">
        <v>31</v>
      </c>
      <c r="I87" s="16"/>
      <c r="J87" s="16" t="s">
        <v>27</v>
      </c>
      <c r="K87" s="16" t="s">
        <v>632</v>
      </c>
      <c r="L87" s="16" t="s">
        <v>35</v>
      </c>
      <c r="M87" s="17">
        <v>30</v>
      </c>
      <c r="N87" s="23">
        <v>1.29</v>
      </c>
      <c r="O87" s="16" t="s">
        <v>67</v>
      </c>
      <c r="P87" s="16" t="s">
        <v>63</v>
      </c>
      <c r="Q87" s="16" t="s">
        <v>4110</v>
      </c>
      <c r="R87" s="16" t="s">
        <v>4304</v>
      </c>
      <c r="S87" s="12" t="s">
        <v>4198</v>
      </c>
      <c r="T87" s="13">
        <v>46030</v>
      </c>
      <c r="U87" s="19"/>
      <c r="V87" s="53">
        <f>M87-U87-Y87-AA87</f>
        <v>-6.2999999999999972</v>
      </c>
      <c r="W87" s="22" t="s">
        <v>4314</v>
      </c>
      <c r="X87" s="16"/>
      <c r="Y87" s="19">
        <v>36.299999999999997</v>
      </c>
      <c r="Z87" s="14">
        <v>46029</v>
      </c>
    </row>
    <row r="88" spans="1:28" s="36" customFormat="1" ht="20.25" hidden="1" customHeight="1">
      <c r="A88" s="7">
        <v>46010</v>
      </c>
      <c r="B88" s="19" t="s">
        <v>4344</v>
      </c>
      <c r="C88" s="19" t="s">
        <v>290</v>
      </c>
      <c r="D88" s="19" t="s">
        <v>212</v>
      </c>
      <c r="E88" s="19" t="s">
        <v>47</v>
      </c>
      <c r="F88" s="19" t="s">
        <v>4345</v>
      </c>
      <c r="G88" s="19" t="s">
        <v>71</v>
      </c>
      <c r="H88" s="19" t="s">
        <v>31</v>
      </c>
      <c r="I88" s="63"/>
      <c r="J88" s="63" t="s">
        <v>27</v>
      </c>
      <c r="K88" s="19" t="s">
        <v>598</v>
      </c>
      <c r="L88" s="63" t="s">
        <v>35</v>
      </c>
      <c r="M88" s="20">
        <v>200</v>
      </c>
      <c r="N88" s="25">
        <v>1.29</v>
      </c>
      <c r="O88" s="19" t="s">
        <v>67</v>
      </c>
      <c r="P88" s="19"/>
      <c r="Q88" s="19"/>
      <c r="R88" s="19" t="s">
        <v>4346</v>
      </c>
      <c r="S88" s="45" t="s">
        <v>4198</v>
      </c>
      <c r="T88" s="8">
        <v>46030</v>
      </c>
      <c r="U88" s="332"/>
      <c r="V88" s="53">
        <f>M88-U88-Y88-AA88</f>
        <v>-0.59999999999999432</v>
      </c>
      <c r="W88" s="15" t="s">
        <v>4347</v>
      </c>
      <c r="X88" s="19"/>
      <c r="Y88" s="332">
        <v>200.6</v>
      </c>
      <c r="Z88" s="18">
        <v>46027</v>
      </c>
    </row>
    <row r="89" spans="1:28" s="36" customFormat="1" ht="20.25" hidden="1" customHeight="1">
      <c r="A89" s="7">
        <v>46010</v>
      </c>
      <c r="B89" s="19" t="s">
        <v>4348</v>
      </c>
      <c r="C89" s="19" t="s">
        <v>290</v>
      </c>
      <c r="D89" s="19" t="s">
        <v>212</v>
      </c>
      <c r="E89" s="19" t="s">
        <v>47</v>
      </c>
      <c r="F89" s="19" t="s">
        <v>4349</v>
      </c>
      <c r="G89" s="19" t="s">
        <v>71</v>
      </c>
      <c r="H89" s="19" t="s">
        <v>31</v>
      </c>
      <c r="I89" s="63"/>
      <c r="J89" s="63" t="s">
        <v>27</v>
      </c>
      <c r="K89" s="19" t="s">
        <v>218</v>
      </c>
      <c r="L89" s="63" t="s">
        <v>35</v>
      </c>
      <c r="M89" s="20">
        <v>200</v>
      </c>
      <c r="N89" s="25">
        <v>1.29</v>
      </c>
      <c r="O89" s="19" t="s">
        <v>67</v>
      </c>
      <c r="P89" s="19"/>
      <c r="Q89" s="19"/>
      <c r="R89" s="19" t="s">
        <v>4350</v>
      </c>
      <c r="S89" s="45" t="s">
        <v>4198</v>
      </c>
      <c r="T89" s="8">
        <v>46030</v>
      </c>
      <c r="U89" s="19"/>
      <c r="V89" s="53">
        <f>M89-U89-Y89-AA89</f>
        <v>-0.19999999999998863</v>
      </c>
      <c r="W89" s="15" t="s">
        <v>4351</v>
      </c>
      <c r="X89" s="19" t="s">
        <v>29</v>
      </c>
      <c r="Y89" s="19">
        <v>200.2</v>
      </c>
      <c r="Z89" s="18">
        <v>46027</v>
      </c>
    </row>
    <row r="90" spans="1:28" s="28" customFormat="1" ht="20.25" hidden="1" customHeight="1">
      <c r="A90" s="11">
        <v>46021</v>
      </c>
      <c r="B90" s="16" t="s">
        <v>4585</v>
      </c>
      <c r="C90" s="16" t="s">
        <v>290</v>
      </c>
      <c r="D90" s="16" t="s">
        <v>212</v>
      </c>
      <c r="E90" s="16" t="s">
        <v>47</v>
      </c>
      <c r="F90" s="16" t="s">
        <v>4586</v>
      </c>
      <c r="G90" s="16" t="s">
        <v>71</v>
      </c>
      <c r="H90" s="16" t="s">
        <v>31</v>
      </c>
      <c r="I90" s="16"/>
      <c r="J90" s="16" t="s">
        <v>27</v>
      </c>
      <c r="K90" s="16" t="s">
        <v>3598</v>
      </c>
      <c r="L90" s="16" t="s">
        <v>35</v>
      </c>
      <c r="M90" s="17">
        <v>100</v>
      </c>
      <c r="N90" s="23">
        <v>1.29</v>
      </c>
      <c r="O90" s="16" t="s">
        <v>67</v>
      </c>
      <c r="P90" s="16" t="s">
        <v>63</v>
      </c>
      <c r="Q90" s="16" t="s">
        <v>633</v>
      </c>
      <c r="R90" s="16" t="s">
        <v>4587</v>
      </c>
      <c r="S90" s="12" t="s">
        <v>4257</v>
      </c>
      <c r="T90" s="13">
        <v>46036</v>
      </c>
      <c r="U90" s="19"/>
      <c r="V90" s="53">
        <f>M90-U90-Y90-AA90</f>
        <v>-0.39999999999999858</v>
      </c>
      <c r="W90" s="22" t="s">
        <v>4588</v>
      </c>
      <c r="X90" s="16"/>
      <c r="Y90" s="19">
        <v>78.5</v>
      </c>
      <c r="Z90" s="14">
        <v>46044</v>
      </c>
      <c r="AA90" s="28">
        <v>21.9</v>
      </c>
      <c r="AB90" s="252">
        <v>46051</v>
      </c>
    </row>
    <row r="91" spans="1:28" s="28" customFormat="1" ht="20.25" hidden="1" customHeight="1">
      <c r="A91" s="11">
        <v>46021</v>
      </c>
      <c r="B91" s="16" t="s">
        <v>4585</v>
      </c>
      <c r="C91" s="16" t="s">
        <v>290</v>
      </c>
      <c r="D91" s="16" t="s">
        <v>212</v>
      </c>
      <c r="E91" s="16" t="s">
        <v>47</v>
      </c>
      <c r="F91" s="16" t="s">
        <v>4586</v>
      </c>
      <c r="G91" s="16" t="s">
        <v>71</v>
      </c>
      <c r="H91" s="16" t="s">
        <v>31</v>
      </c>
      <c r="I91" s="1"/>
      <c r="J91" s="1" t="s">
        <v>27</v>
      </c>
      <c r="K91" s="16" t="s">
        <v>683</v>
      </c>
      <c r="L91" s="1" t="s">
        <v>35</v>
      </c>
      <c r="M91" s="17">
        <v>100</v>
      </c>
      <c r="N91" s="23">
        <v>1.29</v>
      </c>
      <c r="O91" s="16" t="s">
        <v>4094</v>
      </c>
      <c r="P91" s="16" t="s">
        <v>63</v>
      </c>
      <c r="Q91" s="16" t="s">
        <v>633</v>
      </c>
      <c r="R91" s="16" t="s">
        <v>29</v>
      </c>
      <c r="S91" s="12" t="s">
        <v>4257</v>
      </c>
      <c r="T91" s="13">
        <v>46036</v>
      </c>
      <c r="U91" s="301"/>
      <c r="V91" s="53">
        <f>M91-U91-Y91-AA91</f>
        <v>0</v>
      </c>
      <c r="W91" s="22" t="s">
        <v>4589</v>
      </c>
      <c r="X91" s="16"/>
      <c r="Y91" s="301">
        <v>100</v>
      </c>
      <c r="Z91" s="14">
        <v>46027</v>
      </c>
    </row>
    <row r="92" spans="1:28" s="282" customFormat="1" ht="20.25" hidden="1" customHeight="1">
      <c r="A92" s="272">
        <v>46028</v>
      </c>
      <c r="B92" s="273" t="s">
        <v>4649</v>
      </c>
      <c r="C92" s="273" t="s">
        <v>290</v>
      </c>
      <c r="D92" s="273" t="s">
        <v>212</v>
      </c>
      <c r="E92" s="273" t="s">
        <v>47</v>
      </c>
      <c r="F92" s="273" t="s">
        <v>4650</v>
      </c>
      <c r="G92" s="273" t="s">
        <v>71</v>
      </c>
      <c r="H92" s="273" t="s">
        <v>31</v>
      </c>
      <c r="I92" s="273"/>
      <c r="J92" s="273" t="s">
        <v>27</v>
      </c>
      <c r="K92" s="273" t="s">
        <v>218</v>
      </c>
      <c r="L92" s="273" t="s">
        <v>35</v>
      </c>
      <c r="M92" s="274">
        <v>40</v>
      </c>
      <c r="N92" s="275">
        <v>1.29</v>
      </c>
      <c r="O92" s="273" t="s">
        <v>67</v>
      </c>
      <c r="P92" s="273" t="s">
        <v>63</v>
      </c>
      <c r="Q92" s="273" t="s">
        <v>29</v>
      </c>
      <c r="R92" s="273" t="s">
        <v>29</v>
      </c>
      <c r="S92" s="276" t="s">
        <v>4198</v>
      </c>
      <c r="T92" s="277">
        <v>46030</v>
      </c>
      <c r="U92" s="278">
        <v>41.1</v>
      </c>
      <c r="V92" s="279">
        <f>M92-U92-Y92-AA92</f>
        <v>-1.1000000000000014</v>
      </c>
      <c r="W92" s="280" t="s">
        <v>4651</v>
      </c>
      <c r="X92" s="273"/>
      <c r="Y92" s="322"/>
      <c r="Z92" s="322"/>
    </row>
    <row r="93" spans="1:28" s="122" customFormat="1" ht="20.25" hidden="1" customHeight="1">
      <c r="A93" s="300">
        <v>46029</v>
      </c>
      <c r="B93" s="301" t="s">
        <v>4665</v>
      </c>
      <c r="C93" s="301" t="s">
        <v>400</v>
      </c>
      <c r="D93" s="301" t="s">
        <v>212</v>
      </c>
      <c r="E93" s="301" t="s">
        <v>47</v>
      </c>
      <c r="F93" s="301" t="s">
        <v>4666</v>
      </c>
      <c r="G93" s="301" t="s">
        <v>71</v>
      </c>
      <c r="H93" s="301" t="s">
        <v>31</v>
      </c>
      <c r="I93" s="301"/>
      <c r="J93" s="301" t="s">
        <v>27</v>
      </c>
      <c r="K93" s="301" t="s">
        <v>245</v>
      </c>
      <c r="L93" s="301" t="s">
        <v>35</v>
      </c>
      <c r="M93" s="302">
        <v>50</v>
      </c>
      <c r="N93" s="303">
        <v>1.29</v>
      </c>
      <c r="O93" s="301" t="s">
        <v>67</v>
      </c>
      <c r="P93" s="301" t="s">
        <v>63</v>
      </c>
      <c r="Q93" s="301" t="s">
        <v>4667</v>
      </c>
      <c r="R93" s="301" t="s">
        <v>4668</v>
      </c>
      <c r="S93" s="304" t="s">
        <v>4663</v>
      </c>
      <c r="T93" s="305">
        <v>46043</v>
      </c>
      <c r="U93" s="301"/>
      <c r="V93" s="306">
        <f>M93-U93-Y93-AA93</f>
        <v>0</v>
      </c>
      <c r="W93" s="307" t="s">
        <v>4669</v>
      </c>
      <c r="X93" s="301"/>
      <c r="Y93" s="301">
        <v>50</v>
      </c>
      <c r="Z93" s="386">
        <v>46031</v>
      </c>
    </row>
    <row r="94" spans="1:28" s="28" customFormat="1" ht="20.25" hidden="1" customHeight="1">
      <c r="A94" s="11">
        <v>46020</v>
      </c>
      <c r="B94" s="16" t="s">
        <v>4670</v>
      </c>
      <c r="C94" s="16" t="s">
        <v>290</v>
      </c>
      <c r="D94" s="16" t="s">
        <v>212</v>
      </c>
      <c r="E94" s="16" t="s">
        <v>47</v>
      </c>
      <c r="F94" s="16" t="s">
        <v>4671</v>
      </c>
      <c r="G94" s="16" t="s">
        <v>71</v>
      </c>
      <c r="H94" s="16" t="s">
        <v>31</v>
      </c>
      <c r="I94" s="16"/>
      <c r="J94" s="16" t="s">
        <v>27</v>
      </c>
      <c r="K94" s="16" t="s">
        <v>218</v>
      </c>
      <c r="L94" s="16" t="s">
        <v>35</v>
      </c>
      <c r="M94" s="17">
        <v>40</v>
      </c>
      <c r="N94" s="23">
        <v>1.29</v>
      </c>
      <c r="O94" s="16" t="s">
        <v>67</v>
      </c>
      <c r="P94" s="16" t="s">
        <v>63</v>
      </c>
      <c r="Q94" s="16" t="s">
        <v>633</v>
      </c>
      <c r="R94" s="16" t="s">
        <v>4226</v>
      </c>
      <c r="S94" s="12" t="s">
        <v>4237</v>
      </c>
      <c r="T94" s="13">
        <v>46030</v>
      </c>
      <c r="U94" s="19"/>
      <c r="V94" s="53">
        <f>M94-U94-Y94-AA94</f>
        <v>-1.2000000000000028</v>
      </c>
      <c r="W94" s="22" t="s">
        <v>4672</v>
      </c>
      <c r="X94" s="16" t="s">
        <v>29</v>
      </c>
      <c r="Y94" s="19">
        <v>41.2</v>
      </c>
      <c r="Z94" s="14">
        <v>46034</v>
      </c>
    </row>
    <row r="95" spans="1:28" s="28" customFormat="1" ht="20.25" hidden="1" customHeight="1">
      <c r="A95" s="11">
        <v>46035</v>
      </c>
      <c r="B95" s="16" t="s">
        <v>4773</v>
      </c>
      <c r="C95" s="16" t="s">
        <v>267</v>
      </c>
      <c r="D95" s="16" t="s">
        <v>212</v>
      </c>
      <c r="E95" s="16" t="s">
        <v>47</v>
      </c>
      <c r="F95" s="16" t="s">
        <v>4774</v>
      </c>
      <c r="G95" s="16" t="s">
        <v>71</v>
      </c>
      <c r="H95" s="16" t="s">
        <v>31</v>
      </c>
      <c r="I95" s="16"/>
      <c r="J95" s="16" t="s">
        <v>27</v>
      </c>
      <c r="K95" s="16" t="s">
        <v>3598</v>
      </c>
      <c r="L95" s="16" t="s">
        <v>35</v>
      </c>
      <c r="M95" s="17">
        <v>215</v>
      </c>
      <c r="N95" s="23">
        <v>1.29</v>
      </c>
      <c r="O95" s="16" t="s">
        <v>67</v>
      </c>
      <c r="P95" s="16"/>
      <c r="Q95" s="16"/>
      <c r="R95" s="16"/>
      <c r="S95" s="12" t="s">
        <v>4646</v>
      </c>
      <c r="T95" s="13">
        <v>46049</v>
      </c>
      <c r="U95" s="19"/>
      <c r="V95" s="53">
        <f>M95-U95-Y95-AA95</f>
        <v>-9.9999999999994316E-2</v>
      </c>
      <c r="W95" s="22" t="s">
        <v>4775</v>
      </c>
      <c r="X95" s="16" t="s">
        <v>29</v>
      </c>
      <c r="Y95" s="19">
        <v>215.1</v>
      </c>
      <c r="Z95" s="14">
        <v>46056</v>
      </c>
    </row>
    <row r="96" spans="1:28" s="28" customFormat="1" ht="20.25" hidden="1" customHeight="1">
      <c r="A96" s="11">
        <v>46035</v>
      </c>
      <c r="B96" s="16" t="s">
        <v>4776</v>
      </c>
      <c r="C96" s="16" t="s">
        <v>267</v>
      </c>
      <c r="D96" s="16" t="s">
        <v>212</v>
      </c>
      <c r="E96" s="16" t="s">
        <v>47</v>
      </c>
      <c r="F96" s="16" t="s">
        <v>4777</v>
      </c>
      <c r="G96" s="16" t="s">
        <v>71</v>
      </c>
      <c r="H96" s="16" t="s">
        <v>31</v>
      </c>
      <c r="I96" s="16"/>
      <c r="J96" s="16" t="s">
        <v>27</v>
      </c>
      <c r="K96" s="16" t="s">
        <v>4778</v>
      </c>
      <c r="L96" s="16" t="s">
        <v>35</v>
      </c>
      <c r="M96" s="17">
        <v>150</v>
      </c>
      <c r="N96" s="23">
        <v>1.29</v>
      </c>
      <c r="O96" s="16" t="s">
        <v>67</v>
      </c>
      <c r="P96" s="16"/>
      <c r="Q96" s="16"/>
      <c r="R96" s="16"/>
      <c r="S96" s="12" t="s">
        <v>4646</v>
      </c>
      <c r="T96" s="13">
        <v>46049</v>
      </c>
      <c r="U96" s="19"/>
      <c r="V96" s="53">
        <f>M96-U96-Y96-AA96</f>
        <v>-3.0999999999999943</v>
      </c>
      <c r="W96" s="22" t="s">
        <v>4779</v>
      </c>
      <c r="X96" s="16" t="s">
        <v>29</v>
      </c>
      <c r="Y96" s="19">
        <v>153.1</v>
      </c>
      <c r="Z96" s="14">
        <v>46044</v>
      </c>
    </row>
    <row r="97" spans="1:28" s="28" customFormat="1" ht="20.25" hidden="1" customHeight="1">
      <c r="A97" s="11">
        <v>46035</v>
      </c>
      <c r="B97" s="16" t="s">
        <v>4780</v>
      </c>
      <c r="C97" s="16" t="s">
        <v>267</v>
      </c>
      <c r="D97" s="16" t="s">
        <v>212</v>
      </c>
      <c r="E97" s="16" t="s">
        <v>47</v>
      </c>
      <c r="F97" s="16" t="s">
        <v>4781</v>
      </c>
      <c r="G97" s="16" t="s">
        <v>71</v>
      </c>
      <c r="H97" s="16" t="s">
        <v>26</v>
      </c>
      <c r="I97" s="16"/>
      <c r="J97" s="16" t="s">
        <v>27</v>
      </c>
      <c r="K97" s="16" t="s">
        <v>3598</v>
      </c>
      <c r="L97" s="16" t="s">
        <v>35</v>
      </c>
      <c r="M97" s="17">
        <v>195</v>
      </c>
      <c r="N97" s="23">
        <v>1.29</v>
      </c>
      <c r="O97" s="16" t="s">
        <v>67</v>
      </c>
      <c r="P97" s="16"/>
      <c r="Q97" s="16"/>
      <c r="R97" s="16"/>
      <c r="S97" s="12" t="s">
        <v>4646</v>
      </c>
      <c r="T97" s="13">
        <v>46049</v>
      </c>
      <c r="U97" s="19"/>
      <c r="V97" s="53">
        <f>M97-U97-Y97-AA97</f>
        <v>-1</v>
      </c>
      <c r="W97" s="22" t="s">
        <v>4782</v>
      </c>
      <c r="X97" s="16" t="s">
        <v>29</v>
      </c>
      <c r="Y97" s="19">
        <v>196</v>
      </c>
      <c r="Z97" s="14">
        <v>46056</v>
      </c>
    </row>
    <row r="98" spans="1:28" s="28" customFormat="1" ht="20.25" hidden="1" customHeight="1">
      <c r="A98" s="11">
        <v>46035</v>
      </c>
      <c r="B98" s="16" t="s">
        <v>4783</v>
      </c>
      <c r="C98" s="16" t="s">
        <v>267</v>
      </c>
      <c r="D98" s="16" t="s">
        <v>212</v>
      </c>
      <c r="E98" s="16" t="s">
        <v>47</v>
      </c>
      <c r="F98" s="16" t="s">
        <v>4784</v>
      </c>
      <c r="G98" s="16" t="s">
        <v>71</v>
      </c>
      <c r="H98" s="16" t="s">
        <v>26</v>
      </c>
      <c r="I98" s="16"/>
      <c r="J98" s="16" t="s">
        <v>27</v>
      </c>
      <c r="K98" s="16" t="s">
        <v>239</v>
      </c>
      <c r="L98" s="16" t="s">
        <v>35</v>
      </c>
      <c r="M98" s="17">
        <v>120</v>
      </c>
      <c r="N98" s="23">
        <v>1.29</v>
      </c>
      <c r="O98" s="16" t="s">
        <v>67</v>
      </c>
      <c r="P98" s="16"/>
      <c r="Q98" s="16"/>
      <c r="R98" s="16"/>
      <c r="S98" s="12" t="s">
        <v>4646</v>
      </c>
      <c r="T98" s="13">
        <v>46049</v>
      </c>
      <c r="U98" s="19"/>
      <c r="V98" s="53">
        <f>M98-U98-Y98-AA98</f>
        <v>-0.29999999999999716</v>
      </c>
      <c r="W98" s="22" t="s">
        <v>4785</v>
      </c>
      <c r="X98" s="16" t="s">
        <v>29</v>
      </c>
      <c r="Y98" s="19">
        <v>120.3</v>
      </c>
      <c r="Z98" s="14">
        <v>46049</v>
      </c>
    </row>
    <row r="99" spans="1:28" s="28" customFormat="1" ht="20.25" hidden="1" customHeight="1">
      <c r="A99" s="11">
        <v>46035</v>
      </c>
      <c r="B99" s="16" t="s">
        <v>4786</v>
      </c>
      <c r="C99" s="16" t="s">
        <v>267</v>
      </c>
      <c r="D99" s="16" t="s">
        <v>212</v>
      </c>
      <c r="E99" s="16" t="s">
        <v>47</v>
      </c>
      <c r="F99" s="16" t="s">
        <v>4787</v>
      </c>
      <c r="G99" s="16" t="s">
        <v>71</v>
      </c>
      <c r="H99" s="16" t="s">
        <v>26</v>
      </c>
      <c r="I99" s="16"/>
      <c r="J99" s="16" t="s">
        <v>27</v>
      </c>
      <c r="K99" s="16" t="s">
        <v>1342</v>
      </c>
      <c r="L99" s="16" t="s">
        <v>35</v>
      </c>
      <c r="M99" s="17">
        <v>80</v>
      </c>
      <c r="N99" s="23">
        <v>1.29</v>
      </c>
      <c r="O99" s="16" t="s">
        <v>67</v>
      </c>
      <c r="P99" s="16"/>
      <c r="Q99" s="16"/>
      <c r="R99" s="16"/>
      <c r="S99" s="12" t="s">
        <v>4646</v>
      </c>
      <c r="T99" s="13">
        <v>46049</v>
      </c>
      <c r="U99" s="19"/>
      <c r="V99" s="53">
        <f>M99-U99-Y99-AA99</f>
        <v>-1.4000000000000057</v>
      </c>
      <c r="W99" s="22" t="s">
        <v>4788</v>
      </c>
      <c r="X99" s="16" t="s">
        <v>29</v>
      </c>
      <c r="Y99" s="19">
        <v>81.400000000000006</v>
      </c>
      <c r="Z99" s="14">
        <v>46051</v>
      </c>
    </row>
    <row r="100" spans="1:28" s="28" customFormat="1" ht="20.25" hidden="1" customHeight="1">
      <c r="A100" s="11">
        <v>46035</v>
      </c>
      <c r="B100" s="16" t="s">
        <v>4789</v>
      </c>
      <c r="C100" s="16" t="s">
        <v>267</v>
      </c>
      <c r="D100" s="16" t="s">
        <v>212</v>
      </c>
      <c r="E100" s="16" t="s">
        <v>47</v>
      </c>
      <c r="F100" s="16" t="s">
        <v>4790</v>
      </c>
      <c r="G100" s="16" t="s">
        <v>71</v>
      </c>
      <c r="H100" s="16" t="s">
        <v>31</v>
      </c>
      <c r="I100" s="16"/>
      <c r="J100" s="16" t="s">
        <v>27</v>
      </c>
      <c r="K100" s="16" t="s">
        <v>3598</v>
      </c>
      <c r="L100" s="16" t="s">
        <v>35</v>
      </c>
      <c r="M100" s="17">
        <v>320</v>
      </c>
      <c r="N100" s="23">
        <v>1.29</v>
      </c>
      <c r="O100" s="16" t="s">
        <v>67</v>
      </c>
      <c r="P100" s="16"/>
      <c r="Q100" s="16"/>
      <c r="R100" s="16"/>
      <c r="S100" s="12" t="s">
        <v>4646</v>
      </c>
      <c r="T100" s="13">
        <v>46049</v>
      </c>
      <c r="U100" s="19"/>
      <c r="V100" s="53">
        <f>M100-U100-Y100-AA100</f>
        <v>-2.9000000000000057</v>
      </c>
      <c r="W100" s="22" t="s">
        <v>4791</v>
      </c>
      <c r="X100" s="16" t="s">
        <v>29</v>
      </c>
      <c r="Y100" s="19">
        <v>184.5</v>
      </c>
      <c r="Z100" s="14">
        <v>46044</v>
      </c>
      <c r="AA100" s="19">
        <v>138.4</v>
      </c>
      <c r="AB100" s="252">
        <v>46056</v>
      </c>
    </row>
    <row r="101" spans="1:28" s="28" customFormat="1" ht="20.25" hidden="1" customHeight="1">
      <c r="A101" s="11">
        <v>46035</v>
      </c>
      <c r="B101" s="16" t="s">
        <v>4792</v>
      </c>
      <c r="C101" s="16" t="s">
        <v>267</v>
      </c>
      <c r="D101" s="16" t="s">
        <v>212</v>
      </c>
      <c r="E101" s="16" t="s">
        <v>47</v>
      </c>
      <c r="F101" s="16" t="s">
        <v>4793</v>
      </c>
      <c r="G101" s="16" t="s">
        <v>71</v>
      </c>
      <c r="H101" s="16" t="s">
        <v>31</v>
      </c>
      <c r="I101" s="16"/>
      <c r="J101" s="16" t="s">
        <v>27</v>
      </c>
      <c r="K101" s="16" t="s">
        <v>239</v>
      </c>
      <c r="L101" s="16" t="s">
        <v>35</v>
      </c>
      <c r="M101" s="17">
        <v>280</v>
      </c>
      <c r="N101" s="23">
        <v>1.29</v>
      </c>
      <c r="O101" s="16" t="s">
        <v>1063</v>
      </c>
      <c r="P101" s="16"/>
      <c r="Q101" s="16"/>
      <c r="R101" s="16"/>
      <c r="S101" s="12" t="s">
        <v>4646</v>
      </c>
      <c r="T101" s="13">
        <v>46049</v>
      </c>
      <c r="U101" s="19"/>
      <c r="V101" s="53">
        <f>M101-U101-Y101-AA101</f>
        <v>-0.89999999999997726</v>
      </c>
      <c r="W101" s="22" t="s">
        <v>4794</v>
      </c>
      <c r="X101" s="16" t="s">
        <v>29</v>
      </c>
      <c r="Y101" s="19">
        <v>280.89999999999998</v>
      </c>
      <c r="Z101" s="14">
        <v>46044</v>
      </c>
    </row>
    <row r="102" spans="1:28" s="28" customFormat="1" ht="20.25" hidden="1" customHeight="1">
      <c r="A102" s="11">
        <v>46035</v>
      </c>
      <c r="B102" s="16" t="s">
        <v>4795</v>
      </c>
      <c r="C102" s="16" t="s">
        <v>267</v>
      </c>
      <c r="D102" s="16" t="s">
        <v>212</v>
      </c>
      <c r="E102" s="16" t="s">
        <v>47</v>
      </c>
      <c r="F102" s="16" t="s">
        <v>4796</v>
      </c>
      <c r="G102" s="16" t="s">
        <v>71</v>
      </c>
      <c r="H102" s="16" t="s">
        <v>31</v>
      </c>
      <c r="I102" s="16"/>
      <c r="J102" s="16" t="s">
        <v>27</v>
      </c>
      <c r="K102" s="16" t="s">
        <v>1048</v>
      </c>
      <c r="L102" s="16" t="s">
        <v>35</v>
      </c>
      <c r="M102" s="17">
        <v>90</v>
      </c>
      <c r="N102" s="23">
        <v>1.29</v>
      </c>
      <c r="O102" s="16" t="s">
        <v>67</v>
      </c>
      <c r="P102" s="16"/>
      <c r="Q102" s="16"/>
      <c r="R102" s="16"/>
      <c r="S102" s="12" t="s">
        <v>4646</v>
      </c>
      <c r="T102" s="13">
        <v>46049</v>
      </c>
      <c r="U102" s="19"/>
      <c r="V102" s="53">
        <f>M102-U102-Y102-AA102</f>
        <v>-2.9000000000000004</v>
      </c>
      <c r="W102" s="22" t="s">
        <v>4797</v>
      </c>
      <c r="X102" s="16" t="s">
        <v>29</v>
      </c>
      <c r="Y102" s="19">
        <v>83.5</v>
      </c>
      <c r="Z102" s="14">
        <v>46051</v>
      </c>
      <c r="AA102" s="19">
        <v>9.4</v>
      </c>
      <c r="AB102" s="252">
        <v>46056</v>
      </c>
    </row>
    <row r="103" spans="1:28" s="122" customFormat="1" ht="20.25" hidden="1" customHeight="1">
      <c r="A103" s="300">
        <v>46052</v>
      </c>
      <c r="B103" s="301" t="s">
        <v>5064</v>
      </c>
      <c r="C103" s="301" t="s">
        <v>267</v>
      </c>
      <c r="D103" s="301" t="s">
        <v>212</v>
      </c>
      <c r="E103" s="301" t="s">
        <v>47</v>
      </c>
      <c r="F103" s="301" t="s">
        <v>5065</v>
      </c>
      <c r="G103" s="301" t="s">
        <v>71</v>
      </c>
      <c r="H103" s="301" t="s">
        <v>31</v>
      </c>
      <c r="I103" s="301"/>
      <c r="J103" s="301" t="s">
        <v>27</v>
      </c>
      <c r="K103" s="301" t="s">
        <v>683</v>
      </c>
      <c r="L103" s="301" t="s">
        <v>75</v>
      </c>
      <c r="M103" s="302">
        <v>80</v>
      </c>
      <c r="N103" s="303">
        <f>1.29/2</f>
        <v>0.64500000000000002</v>
      </c>
      <c r="O103" s="301" t="s">
        <v>67</v>
      </c>
      <c r="P103" s="301" t="s">
        <v>63</v>
      </c>
      <c r="Q103" s="301"/>
      <c r="R103" s="301"/>
      <c r="S103" s="304" t="s">
        <v>5037</v>
      </c>
      <c r="T103" s="305">
        <v>46066</v>
      </c>
      <c r="U103" s="301"/>
      <c r="V103" s="306">
        <f>M103-U103-Y103-AA103</f>
        <v>-1.2000000000000028</v>
      </c>
      <c r="W103" s="307" t="s">
        <v>5066</v>
      </c>
      <c r="X103" s="301"/>
      <c r="Y103" s="301">
        <v>81.2</v>
      </c>
      <c r="Z103" s="386">
        <v>46072</v>
      </c>
    </row>
    <row r="104" spans="1:28" s="36" customFormat="1" ht="20.25" hidden="1" customHeight="1">
      <c r="A104" s="7">
        <v>46055</v>
      </c>
      <c r="B104" s="19" t="s">
        <v>5085</v>
      </c>
      <c r="C104" s="19" t="s">
        <v>400</v>
      </c>
      <c r="D104" s="19" t="s">
        <v>212</v>
      </c>
      <c r="E104" s="19" t="s">
        <v>62</v>
      </c>
      <c r="F104" s="19" t="s">
        <v>5087</v>
      </c>
      <c r="G104" s="19" t="s">
        <v>71</v>
      </c>
      <c r="H104" s="19" t="s">
        <v>31</v>
      </c>
      <c r="I104" s="19"/>
      <c r="J104" s="19" t="s">
        <v>27</v>
      </c>
      <c r="K104" s="19" t="s">
        <v>1458</v>
      </c>
      <c r="L104" s="19" t="s">
        <v>35</v>
      </c>
      <c r="M104" s="20">
        <v>20</v>
      </c>
      <c r="N104" s="25">
        <v>1.29</v>
      </c>
      <c r="O104" s="19" t="s">
        <v>67</v>
      </c>
      <c r="P104" s="19" t="s">
        <v>63</v>
      </c>
      <c r="Q104" s="19" t="s">
        <v>5091</v>
      </c>
      <c r="R104" s="19" t="s">
        <v>4109</v>
      </c>
      <c r="S104" s="45" t="s">
        <v>5090</v>
      </c>
      <c r="T104" s="8">
        <v>46069</v>
      </c>
      <c r="U104" s="19"/>
      <c r="V104" s="55">
        <f>M104-U104-Y104-AA104-AC104-AE104-AG104</f>
        <v>-2.3000000000000007</v>
      </c>
      <c r="W104" s="15" t="s">
        <v>5093</v>
      </c>
      <c r="X104" s="19"/>
      <c r="Y104" s="19">
        <v>22.3</v>
      </c>
      <c r="Z104" s="18">
        <v>46064</v>
      </c>
    </row>
    <row r="105" spans="1:28" s="36" customFormat="1" ht="20.25" hidden="1" customHeight="1">
      <c r="A105" s="7">
        <v>46055</v>
      </c>
      <c r="B105" s="19" t="s">
        <v>5085</v>
      </c>
      <c r="C105" s="19" t="s">
        <v>400</v>
      </c>
      <c r="D105" s="19" t="s">
        <v>212</v>
      </c>
      <c r="E105" s="19" t="s">
        <v>62</v>
      </c>
      <c r="F105" s="19" t="s">
        <v>5087</v>
      </c>
      <c r="G105" s="19" t="s">
        <v>71</v>
      </c>
      <c r="H105" s="19" t="s">
        <v>31</v>
      </c>
      <c r="I105" s="19"/>
      <c r="J105" s="19" t="s">
        <v>27</v>
      </c>
      <c r="K105" s="19" t="s">
        <v>1470</v>
      </c>
      <c r="L105" s="19" t="s">
        <v>35</v>
      </c>
      <c r="M105" s="20">
        <v>20</v>
      </c>
      <c r="N105" s="25">
        <v>1.29</v>
      </c>
      <c r="O105" s="19" t="s">
        <v>67</v>
      </c>
      <c r="P105" s="19" t="s">
        <v>63</v>
      </c>
      <c r="Q105" s="19" t="s">
        <v>5091</v>
      </c>
      <c r="R105" s="19" t="s">
        <v>4109</v>
      </c>
      <c r="S105" s="45" t="s">
        <v>5090</v>
      </c>
      <c r="T105" s="8">
        <v>46069</v>
      </c>
      <c r="U105" s="19"/>
      <c r="V105" s="55">
        <f>M105-U105-Y105-AA105-AC105-AE105-AG105</f>
        <v>-0.5</v>
      </c>
      <c r="W105" s="15" t="s">
        <v>5094</v>
      </c>
      <c r="X105" s="19"/>
      <c r="Y105" s="19">
        <v>20.5</v>
      </c>
      <c r="Z105" s="18">
        <v>46064</v>
      </c>
    </row>
    <row r="106" spans="1:28" s="36" customFormat="1" ht="20.25" hidden="1" customHeight="1">
      <c r="A106" s="7">
        <v>46055</v>
      </c>
      <c r="B106" s="19" t="s">
        <v>5086</v>
      </c>
      <c r="C106" s="19" t="s">
        <v>400</v>
      </c>
      <c r="D106" s="19" t="s">
        <v>212</v>
      </c>
      <c r="E106" s="19" t="s">
        <v>62</v>
      </c>
      <c r="F106" s="19" t="s">
        <v>5088</v>
      </c>
      <c r="G106" s="19" t="s">
        <v>71</v>
      </c>
      <c r="H106" s="19" t="s">
        <v>31</v>
      </c>
      <c r="I106" s="19"/>
      <c r="J106" s="19" t="s">
        <v>27</v>
      </c>
      <c r="K106" s="19" t="s">
        <v>3482</v>
      </c>
      <c r="L106" s="19" t="s">
        <v>35</v>
      </c>
      <c r="M106" s="20">
        <v>55</v>
      </c>
      <c r="N106" s="25">
        <v>1.29</v>
      </c>
      <c r="O106" s="19" t="s">
        <v>67</v>
      </c>
      <c r="P106" s="19" t="s">
        <v>63</v>
      </c>
      <c r="Q106" s="19" t="s">
        <v>5091</v>
      </c>
      <c r="R106" s="19" t="s">
        <v>4109</v>
      </c>
      <c r="S106" s="45" t="s">
        <v>5090</v>
      </c>
      <c r="T106" s="8">
        <v>46069</v>
      </c>
      <c r="U106" s="19"/>
      <c r="V106" s="55">
        <f>M106-U106-Y106-AA106-AC106-AE106-AG106</f>
        <v>-0.5</v>
      </c>
      <c r="W106" s="15" t="s">
        <v>5095</v>
      </c>
      <c r="X106" s="19"/>
      <c r="Y106" s="19">
        <v>55.5</v>
      </c>
      <c r="Z106" s="18">
        <v>46064</v>
      </c>
    </row>
    <row r="107" spans="1:28" s="36" customFormat="1" ht="20.25" hidden="1" customHeight="1">
      <c r="A107" s="7">
        <v>46055</v>
      </c>
      <c r="B107" s="19" t="s">
        <v>5086</v>
      </c>
      <c r="C107" s="19" t="s">
        <v>400</v>
      </c>
      <c r="D107" s="19" t="s">
        <v>212</v>
      </c>
      <c r="E107" s="19" t="s">
        <v>62</v>
      </c>
      <c r="F107" s="19" t="s">
        <v>5088</v>
      </c>
      <c r="G107" s="19" t="s">
        <v>71</v>
      </c>
      <c r="H107" s="19" t="s">
        <v>31</v>
      </c>
      <c r="I107" s="19"/>
      <c r="J107" s="19" t="s">
        <v>27</v>
      </c>
      <c r="K107" s="19" t="s">
        <v>1470</v>
      </c>
      <c r="L107" s="19" t="s">
        <v>35</v>
      </c>
      <c r="M107" s="20">
        <v>25</v>
      </c>
      <c r="N107" s="25">
        <v>1.29</v>
      </c>
      <c r="O107" s="19" t="s">
        <v>67</v>
      </c>
      <c r="P107" s="19" t="s">
        <v>63</v>
      </c>
      <c r="Q107" s="19" t="s">
        <v>5091</v>
      </c>
      <c r="R107" s="19" t="s">
        <v>4109</v>
      </c>
      <c r="S107" s="45" t="s">
        <v>5090</v>
      </c>
      <c r="T107" s="8">
        <v>46069</v>
      </c>
      <c r="U107" s="19"/>
      <c r="V107" s="55">
        <f>M107-U107-Y107-AA107-AC107-AE107-AG107</f>
        <v>-0.60000000000000142</v>
      </c>
      <c r="W107" s="15" t="s">
        <v>5096</v>
      </c>
      <c r="X107" s="19"/>
      <c r="Y107" s="19">
        <v>25.6</v>
      </c>
      <c r="Z107" s="18">
        <v>46064</v>
      </c>
    </row>
    <row r="108" spans="1:28" s="122" customFormat="1" ht="20.25" hidden="1" customHeight="1">
      <c r="A108" s="300">
        <v>46055</v>
      </c>
      <c r="B108" s="301" t="s">
        <v>5086</v>
      </c>
      <c r="C108" s="301" t="s">
        <v>400</v>
      </c>
      <c r="D108" s="301" t="s">
        <v>212</v>
      </c>
      <c r="E108" s="301" t="s">
        <v>62</v>
      </c>
      <c r="F108" s="301" t="s">
        <v>5088</v>
      </c>
      <c r="G108" s="301" t="s">
        <v>71</v>
      </c>
      <c r="H108" s="301" t="s">
        <v>31</v>
      </c>
      <c r="I108" s="301"/>
      <c r="J108" s="301" t="s">
        <v>27</v>
      </c>
      <c r="K108" s="301" t="s">
        <v>975</v>
      </c>
      <c r="L108" s="301" t="s">
        <v>35</v>
      </c>
      <c r="M108" s="302">
        <v>55</v>
      </c>
      <c r="N108" s="303">
        <v>1.29</v>
      </c>
      <c r="O108" s="301" t="s">
        <v>67</v>
      </c>
      <c r="P108" s="301" t="s">
        <v>63</v>
      </c>
      <c r="Q108" s="301" t="s">
        <v>5091</v>
      </c>
      <c r="R108" s="301" t="s">
        <v>4111</v>
      </c>
      <c r="S108" s="304" t="s">
        <v>5090</v>
      </c>
      <c r="T108" s="305">
        <v>46069</v>
      </c>
      <c r="U108" s="301"/>
      <c r="V108" s="306">
        <f>M108-U108-Y108-AA108-AC108-AE108-AG108</f>
        <v>0</v>
      </c>
      <c r="W108" s="307" t="s">
        <v>5097</v>
      </c>
      <c r="X108" s="301"/>
      <c r="Y108" s="301">
        <v>55</v>
      </c>
      <c r="Z108" s="386">
        <v>46066</v>
      </c>
    </row>
    <row r="109" spans="1:28" s="122" customFormat="1" ht="20.25" hidden="1" customHeight="1">
      <c r="A109" s="300">
        <v>46055</v>
      </c>
      <c r="B109" s="301" t="s">
        <v>5086</v>
      </c>
      <c r="C109" s="301" t="s">
        <v>400</v>
      </c>
      <c r="D109" s="301" t="s">
        <v>212</v>
      </c>
      <c r="E109" s="301" t="s">
        <v>62</v>
      </c>
      <c r="F109" s="301" t="s">
        <v>5088</v>
      </c>
      <c r="G109" s="301" t="s">
        <v>71</v>
      </c>
      <c r="H109" s="301" t="s">
        <v>31</v>
      </c>
      <c r="I109" s="301"/>
      <c r="J109" s="301" t="s">
        <v>27</v>
      </c>
      <c r="K109" s="301" t="s">
        <v>975</v>
      </c>
      <c r="L109" s="301" t="s">
        <v>35</v>
      </c>
      <c r="M109" s="302">
        <v>90</v>
      </c>
      <c r="N109" s="303">
        <v>1.29</v>
      </c>
      <c r="O109" s="301" t="s">
        <v>67</v>
      </c>
      <c r="P109" s="301" t="s">
        <v>63</v>
      </c>
      <c r="Q109" s="301" t="s">
        <v>5091</v>
      </c>
      <c r="R109" s="301" t="s">
        <v>4111</v>
      </c>
      <c r="S109" s="304" t="s">
        <v>5090</v>
      </c>
      <c r="T109" s="305">
        <v>46069</v>
      </c>
      <c r="U109" s="301"/>
      <c r="V109" s="306">
        <f>M109-U109-Y109-AA109-AC109-AE109-AG109</f>
        <v>-1.4000000000000057</v>
      </c>
      <c r="W109" s="307" t="s">
        <v>5098</v>
      </c>
      <c r="X109" s="301"/>
      <c r="Y109" s="301">
        <v>91.4</v>
      </c>
      <c r="Z109" s="386">
        <v>46066</v>
      </c>
    </row>
    <row r="110" spans="1:28" s="36" customFormat="1" ht="20.25" hidden="1" customHeight="1">
      <c r="A110" s="7">
        <v>46055</v>
      </c>
      <c r="B110" s="19" t="s">
        <v>5086</v>
      </c>
      <c r="C110" s="19" t="s">
        <v>400</v>
      </c>
      <c r="D110" s="19" t="s">
        <v>212</v>
      </c>
      <c r="E110" s="19" t="s">
        <v>62</v>
      </c>
      <c r="F110" s="19" t="s">
        <v>5088</v>
      </c>
      <c r="G110" s="19" t="s">
        <v>71</v>
      </c>
      <c r="H110" s="19" t="s">
        <v>31</v>
      </c>
      <c r="I110" s="19"/>
      <c r="J110" s="19" t="s">
        <v>27</v>
      </c>
      <c r="K110" s="19" t="s">
        <v>218</v>
      </c>
      <c r="L110" s="19" t="s">
        <v>35</v>
      </c>
      <c r="M110" s="20">
        <v>90</v>
      </c>
      <c r="N110" s="25">
        <v>1.29</v>
      </c>
      <c r="O110" s="19" t="s">
        <v>67</v>
      </c>
      <c r="P110" s="19" t="s">
        <v>63</v>
      </c>
      <c r="Q110" s="19" t="s">
        <v>5091</v>
      </c>
      <c r="R110" s="19" t="s">
        <v>5092</v>
      </c>
      <c r="S110" s="45" t="s">
        <v>5090</v>
      </c>
      <c r="T110" s="8">
        <v>46069</v>
      </c>
      <c r="U110" s="19"/>
      <c r="V110" s="55">
        <f>M110-U110-Y110-AA110-AC110-AE110-AG110</f>
        <v>-2.2000000000000028</v>
      </c>
      <c r="W110" s="15" t="s">
        <v>5099</v>
      </c>
      <c r="X110" s="19"/>
      <c r="Y110" s="19">
        <v>92.2</v>
      </c>
      <c r="Z110" s="18">
        <v>46071</v>
      </c>
    </row>
    <row r="111" spans="1:28" s="122" customFormat="1" ht="20.25" hidden="1" customHeight="1">
      <c r="A111" s="300">
        <v>46055</v>
      </c>
      <c r="B111" s="301" t="s">
        <v>5086</v>
      </c>
      <c r="C111" s="301" t="s">
        <v>400</v>
      </c>
      <c r="D111" s="301" t="s">
        <v>212</v>
      </c>
      <c r="E111" s="301" t="s">
        <v>62</v>
      </c>
      <c r="F111" s="301" t="s">
        <v>5088</v>
      </c>
      <c r="G111" s="301" t="s">
        <v>71</v>
      </c>
      <c r="H111" s="301" t="s">
        <v>31</v>
      </c>
      <c r="I111" s="301"/>
      <c r="J111" s="301" t="s">
        <v>27</v>
      </c>
      <c r="K111" s="301" t="s">
        <v>4042</v>
      </c>
      <c r="L111" s="301" t="s">
        <v>35</v>
      </c>
      <c r="M111" s="302">
        <v>40</v>
      </c>
      <c r="N111" s="303">
        <v>1.29</v>
      </c>
      <c r="O111" s="301" t="s">
        <v>67</v>
      </c>
      <c r="P111" s="301" t="s">
        <v>63</v>
      </c>
      <c r="Q111" s="301" t="s">
        <v>5091</v>
      </c>
      <c r="R111" s="301" t="s">
        <v>5092</v>
      </c>
      <c r="S111" s="304" t="s">
        <v>5090</v>
      </c>
      <c r="T111" s="305">
        <v>46069</v>
      </c>
      <c r="U111" s="301"/>
      <c r="V111" s="306">
        <f>M111-U111-Y111-AA111-AC111-AE111-AG111</f>
        <v>-2.8000000000000007</v>
      </c>
      <c r="W111" s="307" t="s">
        <v>5100</v>
      </c>
      <c r="X111" s="301"/>
      <c r="Y111" s="301">
        <v>21.3</v>
      </c>
      <c r="Z111" s="386">
        <v>46066</v>
      </c>
      <c r="AA111" s="301">
        <v>21.5</v>
      </c>
      <c r="AB111" s="312">
        <v>46079</v>
      </c>
    </row>
    <row r="112" spans="1:28" s="122" customFormat="1" ht="20.25" hidden="1" customHeight="1">
      <c r="A112" s="300">
        <v>46055</v>
      </c>
      <c r="B112" s="301" t="s">
        <v>5086</v>
      </c>
      <c r="C112" s="301" t="s">
        <v>400</v>
      </c>
      <c r="D112" s="301" t="s">
        <v>212</v>
      </c>
      <c r="E112" s="301" t="s">
        <v>62</v>
      </c>
      <c r="F112" s="301" t="s">
        <v>5088</v>
      </c>
      <c r="G112" s="301" t="s">
        <v>71</v>
      </c>
      <c r="H112" s="301" t="s">
        <v>31</v>
      </c>
      <c r="I112" s="301"/>
      <c r="J112" s="301" t="s">
        <v>27</v>
      </c>
      <c r="K112" s="301" t="s">
        <v>5089</v>
      </c>
      <c r="L112" s="301" t="s">
        <v>35</v>
      </c>
      <c r="M112" s="302">
        <v>40</v>
      </c>
      <c r="N112" s="303">
        <v>1.29</v>
      </c>
      <c r="O112" s="301" t="s">
        <v>67</v>
      </c>
      <c r="P112" s="301" t="s">
        <v>63</v>
      </c>
      <c r="Q112" s="301" t="s">
        <v>5091</v>
      </c>
      <c r="R112" s="301" t="s">
        <v>5092</v>
      </c>
      <c r="S112" s="304" t="s">
        <v>5090</v>
      </c>
      <c r="T112" s="305">
        <v>46069</v>
      </c>
      <c r="U112" s="19"/>
      <c r="V112" s="306">
        <f>M112-U112-Y112-AA112-AC112-AE112-AG112</f>
        <v>-1.2999999999999972</v>
      </c>
      <c r="W112" s="307" t="s">
        <v>5101</v>
      </c>
      <c r="X112" s="301"/>
      <c r="Y112" s="19">
        <v>41.3</v>
      </c>
      <c r="Z112" s="386">
        <v>46077</v>
      </c>
    </row>
    <row r="113" spans="1:26" s="122" customFormat="1" ht="20.25" hidden="1" customHeight="1">
      <c r="A113" s="300">
        <v>46058</v>
      </c>
      <c r="B113" s="301" t="s">
        <v>5170</v>
      </c>
      <c r="C113" s="301" t="s">
        <v>267</v>
      </c>
      <c r="D113" s="301" t="s">
        <v>212</v>
      </c>
      <c r="E113" s="301" t="s">
        <v>25</v>
      </c>
      <c r="F113" s="301" t="s">
        <v>5177</v>
      </c>
      <c r="G113" s="301" t="s">
        <v>71</v>
      </c>
      <c r="H113" s="301" t="s">
        <v>31</v>
      </c>
      <c r="I113" s="301"/>
      <c r="J113" s="301" t="s">
        <v>27</v>
      </c>
      <c r="K113" s="301" t="s">
        <v>239</v>
      </c>
      <c r="L113" s="301" t="s">
        <v>35</v>
      </c>
      <c r="M113" s="302">
        <v>30</v>
      </c>
      <c r="N113" s="303">
        <v>1.33</v>
      </c>
      <c r="O113" s="301" t="s">
        <v>67</v>
      </c>
      <c r="P113" s="301" t="s">
        <v>63</v>
      </c>
      <c r="Q113" s="301" t="s">
        <v>29</v>
      </c>
      <c r="R113" s="301" t="s">
        <v>29</v>
      </c>
      <c r="S113" s="304" t="s">
        <v>5183</v>
      </c>
      <c r="T113" s="305">
        <v>46072</v>
      </c>
      <c r="U113" s="301"/>
      <c r="V113" s="306">
        <f>M113-U113-Y113-AA113-AC113-AE113-AG113</f>
        <v>-2.2000000000000028</v>
      </c>
      <c r="W113" s="307" t="s">
        <v>5185</v>
      </c>
      <c r="X113" s="301"/>
      <c r="Y113" s="301">
        <v>32.200000000000003</v>
      </c>
      <c r="Z113" s="386">
        <v>46072</v>
      </c>
    </row>
    <row r="114" spans="1:26" s="36" customFormat="1" ht="20.25" hidden="1" customHeight="1">
      <c r="A114" s="7">
        <v>46071</v>
      </c>
      <c r="B114" s="19" t="s">
        <v>5294</v>
      </c>
      <c r="C114" s="19" t="s">
        <v>267</v>
      </c>
      <c r="D114" s="19" t="s">
        <v>212</v>
      </c>
      <c r="E114" s="19" t="s">
        <v>47</v>
      </c>
      <c r="F114" s="19" t="s">
        <v>5295</v>
      </c>
      <c r="G114" s="19" t="s">
        <v>71</v>
      </c>
      <c r="H114" s="19" t="s">
        <v>31</v>
      </c>
      <c r="I114" s="19"/>
      <c r="J114" s="19" t="s">
        <v>27</v>
      </c>
      <c r="K114" s="19" t="s">
        <v>683</v>
      </c>
      <c r="L114" s="19" t="s">
        <v>35</v>
      </c>
      <c r="M114" s="20">
        <v>30</v>
      </c>
      <c r="N114" s="25">
        <v>0.66</v>
      </c>
      <c r="O114" s="19" t="s">
        <v>67</v>
      </c>
      <c r="P114" s="19"/>
      <c r="Q114" s="19"/>
      <c r="R114" s="19"/>
      <c r="S114" s="45" t="s">
        <v>5227</v>
      </c>
      <c r="T114" s="8">
        <v>46085</v>
      </c>
      <c r="U114" s="19"/>
      <c r="V114" s="55">
        <f>M114-U114-Y114-AA114-AC114-AE114-AG114</f>
        <v>-2.8999999999999986</v>
      </c>
      <c r="W114" s="15" t="s">
        <v>5296</v>
      </c>
      <c r="X114" s="19"/>
      <c r="Y114" s="19">
        <v>32.9</v>
      </c>
      <c r="Z114" s="18">
        <v>46083</v>
      </c>
    </row>
    <row r="115" spans="1:26" s="36" customFormat="1" ht="20.25" hidden="1" customHeight="1">
      <c r="A115" s="7">
        <v>46076</v>
      </c>
      <c r="B115" s="19" t="s">
        <v>5354</v>
      </c>
      <c r="C115" s="19" t="s">
        <v>400</v>
      </c>
      <c r="D115" s="19" t="s">
        <v>212</v>
      </c>
      <c r="E115" s="19" t="s">
        <v>62</v>
      </c>
      <c r="F115" s="19" t="s">
        <v>5356</v>
      </c>
      <c r="G115" s="19" t="s">
        <v>71</v>
      </c>
      <c r="H115" s="19" t="s">
        <v>31</v>
      </c>
      <c r="I115" s="19"/>
      <c r="J115" s="19" t="s">
        <v>27</v>
      </c>
      <c r="K115" s="19" t="s">
        <v>218</v>
      </c>
      <c r="L115" s="19" t="s">
        <v>35</v>
      </c>
      <c r="M115" s="20">
        <v>60</v>
      </c>
      <c r="N115" s="25" t="s">
        <v>5270</v>
      </c>
      <c r="O115" s="19" t="s">
        <v>67</v>
      </c>
      <c r="P115" s="19" t="s">
        <v>63</v>
      </c>
      <c r="Q115" s="19" t="s">
        <v>5358</v>
      </c>
      <c r="R115" s="19" t="s">
        <v>5359</v>
      </c>
      <c r="S115" s="45" t="s">
        <v>5270</v>
      </c>
      <c r="T115" s="8">
        <v>46090</v>
      </c>
      <c r="U115" s="19"/>
      <c r="V115" s="55">
        <f>M115-U115-Y115-AA115-AC115-AE115-AG115</f>
        <v>-3.3999999999999986</v>
      </c>
      <c r="W115" s="15" t="s">
        <v>5360</v>
      </c>
      <c r="X115" s="19"/>
      <c r="Y115" s="19">
        <v>63.4</v>
      </c>
      <c r="Z115" s="18">
        <v>46079</v>
      </c>
    </row>
    <row r="116" spans="1:26" s="36" customFormat="1" ht="20.25" hidden="1" customHeight="1">
      <c r="A116" s="7">
        <v>46076</v>
      </c>
      <c r="B116" s="19" t="s">
        <v>5355</v>
      </c>
      <c r="C116" s="19" t="s">
        <v>290</v>
      </c>
      <c r="D116" s="19" t="s">
        <v>212</v>
      </c>
      <c r="E116" s="19" t="s">
        <v>47</v>
      </c>
      <c r="F116" s="19" t="s">
        <v>5357</v>
      </c>
      <c r="G116" s="19" t="s">
        <v>71</v>
      </c>
      <c r="H116" s="19" t="s">
        <v>31</v>
      </c>
      <c r="I116" s="19"/>
      <c r="J116" s="19" t="s">
        <v>27</v>
      </c>
      <c r="K116" s="19" t="s">
        <v>598</v>
      </c>
      <c r="L116" s="19" t="s">
        <v>35</v>
      </c>
      <c r="M116" s="20">
        <v>20</v>
      </c>
      <c r="N116" s="25" t="s">
        <v>5270</v>
      </c>
      <c r="O116" s="19" t="s">
        <v>67</v>
      </c>
      <c r="P116" s="19" t="s">
        <v>63</v>
      </c>
      <c r="Q116" s="19" t="s">
        <v>29</v>
      </c>
      <c r="R116" s="19" t="s">
        <v>29</v>
      </c>
      <c r="S116" s="45" t="s">
        <v>5270</v>
      </c>
      <c r="T116" s="8">
        <v>46090</v>
      </c>
      <c r="U116" s="19"/>
      <c r="V116" s="55">
        <f>M116-U116-Y116-AA116-AC116-AE116-AG116</f>
        <v>-2.8999999999999986</v>
      </c>
      <c r="W116" s="15" t="s">
        <v>5361</v>
      </c>
      <c r="X116" s="19"/>
      <c r="Y116" s="19">
        <v>22.9</v>
      </c>
      <c r="Z116" s="18">
        <v>46083</v>
      </c>
    </row>
    <row r="117" spans="1:26" s="36" customFormat="1" ht="20.25" hidden="1" customHeight="1">
      <c r="A117" s="7">
        <v>46097</v>
      </c>
      <c r="B117" s="19" t="s">
        <v>5629</v>
      </c>
      <c r="C117" s="19" t="s">
        <v>1568</v>
      </c>
      <c r="D117" s="19" t="s">
        <v>212</v>
      </c>
      <c r="E117" s="19" t="s">
        <v>47</v>
      </c>
      <c r="F117" s="19" t="s">
        <v>5630</v>
      </c>
      <c r="G117" s="19" t="s">
        <v>71</v>
      </c>
      <c r="H117" s="19" t="s">
        <v>31</v>
      </c>
      <c r="I117" s="19"/>
      <c r="J117" s="19" t="s">
        <v>27</v>
      </c>
      <c r="K117" s="19" t="s">
        <v>1822</v>
      </c>
      <c r="L117" s="19" t="s">
        <v>35</v>
      </c>
      <c r="M117" s="20">
        <v>30</v>
      </c>
      <c r="N117" s="25">
        <v>1.33</v>
      </c>
      <c r="O117" s="19" t="s">
        <v>67</v>
      </c>
      <c r="P117" s="19" t="s">
        <v>63</v>
      </c>
      <c r="Q117" s="19" t="s">
        <v>29</v>
      </c>
      <c r="R117" s="19" t="s">
        <v>5631</v>
      </c>
      <c r="S117" s="45" t="s">
        <v>5550</v>
      </c>
      <c r="T117" s="8">
        <v>46118</v>
      </c>
      <c r="U117" s="19"/>
      <c r="V117" s="55">
        <f>M117-U117-Y117-AA117-AC117-AE117-AG117</f>
        <v>-0.30000000000000071</v>
      </c>
      <c r="W117" s="15" t="s">
        <v>5632</v>
      </c>
      <c r="X117" s="19"/>
      <c r="Y117" s="19">
        <v>30.3</v>
      </c>
      <c r="Z117" s="18">
        <v>46118</v>
      </c>
    </row>
    <row r="118" spans="1:26" s="36" customFormat="1" ht="20.25" hidden="1" customHeight="1">
      <c r="A118" s="7">
        <v>46097</v>
      </c>
      <c r="B118" s="19" t="s">
        <v>5629</v>
      </c>
      <c r="C118" s="19" t="s">
        <v>1568</v>
      </c>
      <c r="D118" s="19" t="s">
        <v>212</v>
      </c>
      <c r="E118" s="19" t="s">
        <v>47</v>
      </c>
      <c r="F118" s="19" t="s">
        <v>5630</v>
      </c>
      <c r="G118" s="19" t="s">
        <v>71</v>
      </c>
      <c r="H118" s="19" t="s">
        <v>31</v>
      </c>
      <c r="I118" s="19"/>
      <c r="J118" s="19" t="s">
        <v>27</v>
      </c>
      <c r="K118" s="19" t="s">
        <v>1378</v>
      </c>
      <c r="L118" s="19" t="s">
        <v>35</v>
      </c>
      <c r="M118" s="20">
        <v>50</v>
      </c>
      <c r="N118" s="25">
        <v>1.33</v>
      </c>
      <c r="O118" s="19" t="s">
        <v>67</v>
      </c>
      <c r="P118" s="19" t="s">
        <v>63</v>
      </c>
      <c r="Q118" s="19" t="s">
        <v>29</v>
      </c>
      <c r="R118" s="19" t="s">
        <v>5633</v>
      </c>
      <c r="S118" s="45" t="s">
        <v>5550</v>
      </c>
      <c r="T118" s="8">
        <v>46118</v>
      </c>
      <c r="U118" s="19"/>
      <c r="V118" s="55">
        <f>M118-U118-Y118-AA118-AC118-AE118-AG118</f>
        <v>-1.6000000000000014</v>
      </c>
      <c r="W118" s="15" t="s">
        <v>5634</v>
      </c>
      <c r="X118" s="19"/>
      <c r="Y118" s="19">
        <v>51.6</v>
      </c>
      <c r="Z118" s="18">
        <v>46118</v>
      </c>
    </row>
    <row r="119" spans="1:26" s="36" customFormat="1" ht="20.25" hidden="1" customHeight="1">
      <c r="A119" s="7">
        <v>46097</v>
      </c>
      <c r="B119" s="19" t="s">
        <v>5629</v>
      </c>
      <c r="C119" s="19" t="s">
        <v>1568</v>
      </c>
      <c r="D119" s="19" t="s">
        <v>212</v>
      </c>
      <c r="E119" s="19" t="s">
        <v>47</v>
      </c>
      <c r="F119" s="19" t="s">
        <v>5630</v>
      </c>
      <c r="G119" s="19" t="s">
        <v>71</v>
      </c>
      <c r="H119" s="19" t="s">
        <v>31</v>
      </c>
      <c r="I119" s="19"/>
      <c r="J119" s="19" t="s">
        <v>27</v>
      </c>
      <c r="K119" s="19" t="s">
        <v>913</v>
      </c>
      <c r="L119" s="19" t="s">
        <v>35</v>
      </c>
      <c r="M119" s="20">
        <v>30</v>
      </c>
      <c r="N119" s="25">
        <v>1.33</v>
      </c>
      <c r="O119" s="19" t="s">
        <v>67</v>
      </c>
      <c r="P119" s="19" t="s">
        <v>63</v>
      </c>
      <c r="Q119" s="19" t="s">
        <v>29</v>
      </c>
      <c r="R119" s="19" t="s">
        <v>5635</v>
      </c>
      <c r="S119" s="45" t="s">
        <v>5550</v>
      </c>
      <c r="T119" s="8">
        <v>46118</v>
      </c>
      <c r="U119" s="19"/>
      <c r="V119" s="55">
        <f>M119-U119-Y119-AA119-AC119-AE119-AG119</f>
        <v>-0.5</v>
      </c>
      <c r="W119" s="15" t="s">
        <v>5636</v>
      </c>
      <c r="X119" s="19"/>
      <c r="Y119" s="19">
        <v>30.5</v>
      </c>
      <c r="Z119" s="18">
        <v>46118</v>
      </c>
    </row>
    <row r="120" spans="1:26" s="36" customFormat="1" ht="20.25" hidden="1" customHeight="1">
      <c r="A120" s="7">
        <v>46114</v>
      </c>
      <c r="B120" s="19" t="s">
        <v>5890</v>
      </c>
      <c r="C120" s="19" t="s">
        <v>1568</v>
      </c>
      <c r="D120" s="19" t="s">
        <v>212</v>
      </c>
      <c r="E120" s="19" t="s">
        <v>47</v>
      </c>
      <c r="F120" s="19" t="s">
        <v>5891</v>
      </c>
      <c r="G120" s="19" t="s">
        <v>71</v>
      </c>
      <c r="H120" s="19" t="s">
        <v>31</v>
      </c>
      <c r="I120" s="19"/>
      <c r="J120" s="19" t="s">
        <v>27</v>
      </c>
      <c r="K120" s="19" t="s">
        <v>218</v>
      </c>
      <c r="L120" s="19" t="s">
        <v>35</v>
      </c>
      <c r="M120" s="20">
        <v>60</v>
      </c>
      <c r="N120" s="25">
        <v>1.33</v>
      </c>
      <c r="O120" s="19" t="s">
        <v>67</v>
      </c>
      <c r="P120" s="19" t="s">
        <v>63</v>
      </c>
      <c r="Q120" s="19" t="s">
        <v>29</v>
      </c>
      <c r="R120" s="19" t="s">
        <v>5892</v>
      </c>
      <c r="S120" s="45" t="s">
        <v>5717</v>
      </c>
      <c r="T120" s="8">
        <v>46126</v>
      </c>
      <c r="U120" s="19"/>
      <c r="V120" s="55">
        <f>M120-U120-Y120-AA120-AC120-AE120-AG120</f>
        <v>-1.5</v>
      </c>
      <c r="W120" s="15" t="s">
        <v>5893</v>
      </c>
      <c r="X120" s="19"/>
      <c r="Y120" s="19">
        <v>61.5</v>
      </c>
      <c r="Z120" s="18">
        <v>46118</v>
      </c>
    </row>
    <row r="121" spans="1:26" s="87" customFormat="1" ht="20.25" customHeight="1">
      <c r="A121" s="398">
        <v>46135</v>
      </c>
      <c r="B121" s="63" t="s">
        <v>6126</v>
      </c>
      <c r="C121" s="63" t="s">
        <v>400</v>
      </c>
      <c r="D121" s="63" t="s">
        <v>212</v>
      </c>
      <c r="E121" s="63" t="s">
        <v>47</v>
      </c>
      <c r="F121" s="63" t="s">
        <v>6127</v>
      </c>
      <c r="G121" s="63" t="s">
        <v>71</v>
      </c>
      <c r="H121" s="63" t="s">
        <v>31</v>
      </c>
      <c r="I121" s="63"/>
      <c r="J121" s="63" t="s">
        <v>27</v>
      </c>
      <c r="K121" s="63" t="s">
        <v>1476</v>
      </c>
      <c r="L121" s="63" t="s">
        <v>35</v>
      </c>
      <c r="M121" s="330">
        <v>90</v>
      </c>
      <c r="N121" s="394">
        <v>1.33</v>
      </c>
      <c r="O121" s="63" t="s">
        <v>67</v>
      </c>
      <c r="P121" s="63" t="s">
        <v>63</v>
      </c>
      <c r="Q121" s="63" t="s">
        <v>29</v>
      </c>
      <c r="R121" s="63" t="s">
        <v>29</v>
      </c>
      <c r="S121" s="395" t="s">
        <v>5866</v>
      </c>
      <c r="T121" s="399">
        <v>46149</v>
      </c>
      <c r="U121" s="63"/>
      <c r="V121" s="400">
        <f>M121-U121-Y121-AA121-AC121-AE121-AG121</f>
        <v>90</v>
      </c>
      <c r="W121" s="401" t="s">
        <v>6128</v>
      </c>
      <c r="X121" s="63"/>
      <c r="Y121" s="63"/>
      <c r="Z121" s="402"/>
    </row>
    <row r="122" spans="1:26" s="87" customFormat="1" ht="20.25" customHeight="1">
      <c r="A122" s="398">
        <v>46139</v>
      </c>
      <c r="B122" s="63" t="s">
        <v>6176</v>
      </c>
      <c r="C122" s="63" t="s">
        <v>400</v>
      </c>
      <c r="D122" s="63" t="s">
        <v>212</v>
      </c>
      <c r="E122" s="63" t="s">
        <v>47</v>
      </c>
      <c r="F122" s="63" t="s">
        <v>6177</v>
      </c>
      <c r="G122" s="63" t="s">
        <v>71</v>
      </c>
      <c r="H122" s="63" t="s">
        <v>31</v>
      </c>
      <c r="I122" s="63"/>
      <c r="J122" s="63" t="s">
        <v>27</v>
      </c>
      <c r="K122" s="63" t="s">
        <v>613</v>
      </c>
      <c r="L122" s="63" t="s">
        <v>35</v>
      </c>
      <c r="M122" s="330">
        <v>70</v>
      </c>
      <c r="N122" s="394">
        <v>1.33</v>
      </c>
      <c r="O122" s="63" t="s">
        <v>67</v>
      </c>
      <c r="P122" s="63" t="s">
        <v>63</v>
      </c>
      <c r="Q122" s="63" t="s">
        <v>29</v>
      </c>
      <c r="R122" s="63" t="s">
        <v>6178</v>
      </c>
      <c r="S122" s="395" t="s">
        <v>6170</v>
      </c>
      <c r="T122" s="399">
        <v>46153</v>
      </c>
      <c r="U122" s="63"/>
      <c r="V122" s="400">
        <f>M122-U122-Y122-AA122-AC122-AE122-AG122</f>
        <v>70</v>
      </c>
      <c r="W122" s="401" t="s">
        <v>6179</v>
      </c>
      <c r="X122" s="63"/>
      <c r="Y122" s="63"/>
      <c r="Z122" s="402"/>
    </row>
    <row r="123" spans="1:26" s="87" customFormat="1" ht="20.25" customHeight="1">
      <c r="A123" s="398">
        <v>46139</v>
      </c>
      <c r="B123" s="63" t="s">
        <v>6176</v>
      </c>
      <c r="C123" s="63" t="s">
        <v>400</v>
      </c>
      <c r="D123" s="63" t="s">
        <v>212</v>
      </c>
      <c r="E123" s="63" t="s">
        <v>47</v>
      </c>
      <c r="F123" s="63" t="s">
        <v>6177</v>
      </c>
      <c r="G123" s="63" t="s">
        <v>71</v>
      </c>
      <c r="H123" s="63" t="s">
        <v>31</v>
      </c>
      <c r="I123" s="63"/>
      <c r="J123" s="63" t="s">
        <v>27</v>
      </c>
      <c r="K123" s="63" t="s">
        <v>1342</v>
      </c>
      <c r="L123" s="63" t="s">
        <v>35</v>
      </c>
      <c r="M123" s="330">
        <v>60</v>
      </c>
      <c r="N123" s="394">
        <v>1.33</v>
      </c>
      <c r="O123" s="63" t="s">
        <v>67</v>
      </c>
      <c r="P123" s="63" t="s">
        <v>63</v>
      </c>
      <c r="Q123" s="63" t="s">
        <v>29</v>
      </c>
      <c r="R123" s="63" t="s">
        <v>6178</v>
      </c>
      <c r="S123" s="395" t="s">
        <v>6170</v>
      </c>
      <c r="T123" s="399">
        <v>46153</v>
      </c>
      <c r="U123" s="63"/>
      <c r="V123" s="400">
        <f>M123-U123-Y123-AA123-AC123-AE123-AG123</f>
        <v>60</v>
      </c>
      <c r="W123" s="401" t="s">
        <v>6180</v>
      </c>
      <c r="X123" s="63"/>
      <c r="Y123" s="63"/>
      <c r="Z123" s="402"/>
    </row>
  </sheetData>
  <autoFilter ref="A3:BF123" xr:uid="{D74987C7-02D2-4C94-B1B3-1F27E3F94A02}">
    <filterColumn colId="1">
      <colorFilter dxfId="2"/>
    </filterColumn>
  </autoFilter>
  <mergeCells count="30">
    <mergeCell ref="AG2:AH2"/>
    <mergeCell ref="R2:R3"/>
    <mergeCell ref="S2:S3"/>
    <mergeCell ref="T2:T3"/>
    <mergeCell ref="U2:U3"/>
    <mergeCell ref="V2:V3"/>
    <mergeCell ref="W2:W3"/>
    <mergeCell ref="X2:X3"/>
    <mergeCell ref="Y2:Z2"/>
    <mergeCell ref="AA2:AB2"/>
    <mergeCell ref="AC2:AD2"/>
    <mergeCell ref="AE2:AF2"/>
    <mergeCell ref="Q2:Q3"/>
    <mergeCell ref="F2:F3"/>
    <mergeCell ref="G2:G3"/>
    <mergeCell ref="M2:M3"/>
    <mergeCell ref="N2:N3"/>
    <mergeCell ref="O2:O3"/>
    <mergeCell ref="P2:P3"/>
    <mergeCell ref="L2:L3"/>
    <mergeCell ref="E2:E3"/>
    <mergeCell ref="H2:H3"/>
    <mergeCell ref="I2:I3"/>
    <mergeCell ref="J2:J3"/>
    <mergeCell ref="K2:K3"/>
    <mergeCell ref="A1:C1"/>
    <mergeCell ref="A2:A3"/>
    <mergeCell ref="B2:B3"/>
    <mergeCell ref="C2:C3"/>
    <mergeCell ref="D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191C-4E9C-414E-B4A3-32FC832CB98D}">
  <sheetPr codeName="Sheet7" filterMode="1">
    <pageSetUpPr fitToPage="1"/>
  </sheetPr>
  <dimension ref="A1:BF379"/>
  <sheetViews>
    <sheetView zoomScale="120" zoomScaleNormal="120" workbookViewId="0">
      <pane xSplit="4" ySplit="3" topLeftCell="R359" activePane="bottomRight" state="frozen"/>
      <selection pane="topRight" activeCell="E1" sqref="E1"/>
      <selection pane="bottomLeft" activeCell="A4" sqref="A4"/>
      <selection pane="bottomRight" activeCell="R372" sqref="R372"/>
    </sheetView>
  </sheetViews>
  <sheetFormatPr defaultRowHeight="15"/>
  <cols>
    <col min="1" max="1" width="9" bestFit="1" customWidth="1"/>
    <col min="2" max="2" width="15.140625" bestFit="1" customWidth="1"/>
    <col min="3" max="3" width="23.5703125" bestFit="1" customWidth="1"/>
    <col min="4" max="4" width="8.7109375" customWidth="1"/>
    <col min="5" max="5" width="8.5703125" customWidth="1"/>
    <col min="6" max="6" width="33.5703125" bestFit="1" customWidth="1"/>
    <col min="7" max="7" width="23.85546875" customWidth="1"/>
    <col min="8" max="8" width="12.85546875" bestFit="1" customWidth="1"/>
    <col min="9" max="9" width="9.5703125" customWidth="1"/>
    <col min="10" max="10" width="18.28515625" customWidth="1"/>
    <col min="11" max="11" width="26.28515625" bestFit="1" customWidth="1"/>
    <col min="12" max="12" width="11.85546875" customWidth="1"/>
    <col min="13" max="13" width="14.85546875" customWidth="1"/>
    <col min="14" max="14" width="7.28515625" customWidth="1"/>
    <col min="15" max="15" width="18.5703125" customWidth="1"/>
    <col min="16" max="16" width="11.5703125" customWidth="1"/>
    <col min="17" max="17" width="15.7109375" customWidth="1"/>
    <col min="18" max="18" width="20" customWidth="1"/>
    <col min="19" max="19" width="6.140625" customWidth="1"/>
    <col min="20" max="20" width="12.85546875" bestFit="1" customWidth="1"/>
    <col min="21" max="21" width="15" customWidth="1"/>
    <col min="22" max="22" width="18" style="62" customWidth="1"/>
    <col min="23" max="23" width="16.5703125" bestFit="1" customWidth="1"/>
    <col min="24" max="24" width="19.28515625" bestFit="1" customWidth="1"/>
    <col min="25" max="25" width="7" bestFit="1" customWidth="1"/>
    <col min="26" max="26" width="7.140625" bestFit="1" customWidth="1"/>
    <col min="27" max="27" width="5.7109375" bestFit="1" customWidth="1"/>
    <col min="28" max="28" width="7.140625" bestFit="1" customWidth="1"/>
    <col min="29" max="29" width="5.7109375" bestFit="1" customWidth="1"/>
    <col min="30" max="30" width="7.140625" bestFit="1" customWidth="1"/>
    <col min="31" max="31" width="5.7109375" bestFit="1" customWidth="1"/>
    <col min="32" max="32" width="7.140625" bestFit="1" customWidth="1"/>
    <col min="33" max="33" width="5.7109375" bestFit="1" customWidth="1"/>
    <col min="34" max="34" width="7.140625" bestFit="1" customWidth="1"/>
  </cols>
  <sheetData>
    <row r="1" spans="1:34" ht="23.25">
      <c r="A1" s="427" t="s">
        <v>139</v>
      </c>
      <c r="B1" s="427"/>
      <c r="C1" s="427"/>
      <c r="M1" s="41">
        <f>SUBTOTAL(9,M4:M1048576)</f>
        <v>11422.230000000001</v>
      </c>
      <c r="U1" s="41">
        <f>SUBTOTAL(9,U4:U1048576)</f>
        <v>0</v>
      </c>
      <c r="V1" s="61">
        <f>SUBTOTAL(9,V4:V1048576)</f>
        <v>11422.230000000001</v>
      </c>
    </row>
    <row r="2" spans="1:34" s="66" customFormat="1" ht="20.25" customHeight="1">
      <c r="A2" s="428" t="s">
        <v>0</v>
      </c>
      <c r="B2" s="419" t="s">
        <v>1</v>
      </c>
      <c r="C2" s="419" t="s">
        <v>2</v>
      </c>
      <c r="D2" s="419" t="s">
        <v>3</v>
      </c>
      <c r="E2" s="418" t="s">
        <v>4</v>
      </c>
      <c r="F2" s="419" t="s">
        <v>5</v>
      </c>
      <c r="G2" s="419" t="s">
        <v>6</v>
      </c>
      <c r="H2" s="419" t="s">
        <v>7</v>
      </c>
      <c r="I2" s="419" t="s">
        <v>8</v>
      </c>
      <c r="J2" s="418" t="s">
        <v>9</v>
      </c>
      <c r="K2" s="432" t="s">
        <v>10</v>
      </c>
      <c r="L2" s="433" t="s">
        <v>11</v>
      </c>
      <c r="M2" s="432" t="s">
        <v>39</v>
      </c>
      <c r="N2" s="436" t="s">
        <v>12</v>
      </c>
      <c r="O2" s="432" t="s">
        <v>13</v>
      </c>
      <c r="P2" s="432" t="s">
        <v>14</v>
      </c>
      <c r="Q2" s="432" t="s">
        <v>15</v>
      </c>
      <c r="R2" s="432" t="s">
        <v>16</v>
      </c>
      <c r="S2" s="432" t="s">
        <v>40</v>
      </c>
      <c r="T2" s="433" t="s">
        <v>17</v>
      </c>
      <c r="U2" s="434" t="s">
        <v>18</v>
      </c>
      <c r="V2" s="435" t="s">
        <v>41</v>
      </c>
      <c r="W2" s="432" t="s">
        <v>19</v>
      </c>
      <c r="X2" s="432" t="s">
        <v>20</v>
      </c>
      <c r="Y2" s="432" t="s">
        <v>42</v>
      </c>
      <c r="Z2" s="432"/>
      <c r="AA2" s="432" t="s">
        <v>43</v>
      </c>
      <c r="AB2" s="432"/>
      <c r="AC2" s="432" t="s">
        <v>44</v>
      </c>
      <c r="AD2" s="432"/>
      <c r="AE2" s="432" t="s">
        <v>45</v>
      </c>
      <c r="AF2" s="432"/>
      <c r="AG2" s="432" t="s">
        <v>46</v>
      </c>
      <c r="AH2" s="432"/>
    </row>
    <row r="3" spans="1:34" s="66" customFormat="1" ht="18">
      <c r="A3" s="428"/>
      <c r="B3" s="419"/>
      <c r="C3" s="419"/>
      <c r="D3" s="419"/>
      <c r="E3" s="418"/>
      <c r="F3" s="419"/>
      <c r="G3" s="419"/>
      <c r="H3" s="419"/>
      <c r="I3" s="419"/>
      <c r="J3" s="419"/>
      <c r="K3" s="432"/>
      <c r="L3" s="433"/>
      <c r="M3" s="432"/>
      <c r="N3" s="436"/>
      <c r="O3" s="432"/>
      <c r="P3" s="432"/>
      <c r="Q3" s="432"/>
      <c r="R3" s="432"/>
      <c r="S3" s="432"/>
      <c r="T3" s="433"/>
      <c r="U3" s="434"/>
      <c r="V3" s="435"/>
      <c r="W3" s="432"/>
      <c r="X3" s="432"/>
      <c r="Y3" s="76" t="s">
        <v>21</v>
      </c>
      <c r="Z3" s="77" t="s">
        <v>22</v>
      </c>
      <c r="AA3" s="76" t="s">
        <v>21</v>
      </c>
      <c r="AB3" s="77" t="s">
        <v>22</v>
      </c>
      <c r="AC3" s="76" t="s">
        <v>21</v>
      </c>
      <c r="AD3" s="77" t="s">
        <v>22</v>
      </c>
      <c r="AE3" s="76" t="s">
        <v>21</v>
      </c>
      <c r="AF3" s="77" t="s">
        <v>22</v>
      </c>
      <c r="AG3" s="76" t="s">
        <v>21</v>
      </c>
      <c r="AH3" s="77" t="s">
        <v>22</v>
      </c>
    </row>
    <row r="4" spans="1:34" s="29" customFormat="1" ht="20.25" hidden="1" customHeight="1">
      <c r="A4" s="11">
        <v>45678</v>
      </c>
      <c r="B4" s="16" t="s">
        <v>662</v>
      </c>
      <c r="C4" s="16" t="s">
        <v>267</v>
      </c>
      <c r="D4" s="16" t="s">
        <v>212</v>
      </c>
      <c r="E4" s="16" t="s">
        <v>62</v>
      </c>
      <c r="F4" s="16" t="s">
        <v>663</v>
      </c>
      <c r="G4" s="16" t="s">
        <v>71</v>
      </c>
      <c r="H4" s="16" t="s">
        <v>26</v>
      </c>
      <c r="I4" s="16" t="s">
        <v>63</v>
      </c>
      <c r="J4" s="16" t="s">
        <v>27</v>
      </c>
      <c r="K4" s="16" t="s">
        <v>250</v>
      </c>
      <c r="L4" s="16" t="s">
        <v>75</v>
      </c>
      <c r="M4" s="17">
        <v>2065</v>
      </c>
      <c r="N4" s="23">
        <v>1.33</v>
      </c>
      <c r="O4" s="16" t="s">
        <v>67</v>
      </c>
      <c r="P4" s="16" t="s">
        <v>29</v>
      </c>
      <c r="Q4" s="16" t="s">
        <v>29</v>
      </c>
      <c r="R4" s="16" t="s">
        <v>29</v>
      </c>
      <c r="S4" s="13">
        <v>45680</v>
      </c>
      <c r="T4" s="13">
        <v>45680</v>
      </c>
      <c r="U4" s="26"/>
      <c r="V4" s="59">
        <f>M4-U4-Y4</f>
        <v>0</v>
      </c>
      <c r="W4" s="22" t="s">
        <v>664</v>
      </c>
      <c r="X4" s="16" t="s">
        <v>433</v>
      </c>
      <c r="Y4" s="16">
        <v>2065</v>
      </c>
      <c r="Z4" s="24">
        <v>45691</v>
      </c>
    </row>
    <row r="5" spans="1:34" s="29" customFormat="1" ht="20.25" hidden="1" customHeight="1">
      <c r="A5" s="11">
        <v>45688</v>
      </c>
      <c r="B5" s="16" t="s">
        <v>665</v>
      </c>
      <c r="C5" s="16" t="s">
        <v>382</v>
      </c>
      <c r="D5" s="16" t="s">
        <v>212</v>
      </c>
      <c r="E5" s="16" t="s">
        <v>62</v>
      </c>
      <c r="F5" s="16" t="s">
        <v>666</v>
      </c>
      <c r="G5" s="16" t="s">
        <v>71</v>
      </c>
      <c r="H5" s="16" t="s">
        <v>26</v>
      </c>
      <c r="I5" s="16" t="s">
        <v>63</v>
      </c>
      <c r="J5" s="16" t="s">
        <v>27</v>
      </c>
      <c r="K5" s="16" t="s">
        <v>250</v>
      </c>
      <c r="L5" s="16" t="s">
        <v>75</v>
      </c>
      <c r="M5" s="17">
        <v>512.04999999999995</v>
      </c>
      <c r="N5" s="23">
        <v>1.33</v>
      </c>
      <c r="O5" s="16" t="s">
        <v>67</v>
      </c>
      <c r="P5" s="16" t="s">
        <v>29</v>
      </c>
      <c r="Q5" s="16" t="s">
        <v>29</v>
      </c>
      <c r="R5" s="16" t="s">
        <v>29</v>
      </c>
      <c r="S5" s="12" t="s">
        <v>667</v>
      </c>
      <c r="T5" s="13">
        <v>45695</v>
      </c>
      <c r="U5" s="16"/>
      <c r="V5" s="59">
        <f>M5-U5-Y5</f>
        <v>4.9999999999954525E-2</v>
      </c>
      <c r="W5" s="22" t="s">
        <v>668</v>
      </c>
      <c r="X5" s="16" t="s">
        <v>29</v>
      </c>
      <c r="Y5" s="16">
        <v>512</v>
      </c>
      <c r="Z5" s="24">
        <v>45713</v>
      </c>
    </row>
    <row r="6" spans="1:34" s="29" customFormat="1" ht="20.25" hidden="1" customHeight="1">
      <c r="A6" s="11">
        <v>45699</v>
      </c>
      <c r="B6" s="16" t="s">
        <v>669</v>
      </c>
      <c r="C6" s="16" t="s">
        <v>211</v>
      </c>
      <c r="D6" s="16" t="s">
        <v>212</v>
      </c>
      <c r="E6" s="16" t="s">
        <v>62</v>
      </c>
      <c r="F6" s="16" t="s">
        <v>670</v>
      </c>
      <c r="G6" s="16" t="s">
        <v>71</v>
      </c>
      <c r="H6" s="16" t="s">
        <v>26</v>
      </c>
      <c r="I6" s="16" t="s">
        <v>63</v>
      </c>
      <c r="J6" s="16" t="s">
        <v>27</v>
      </c>
      <c r="K6" s="16" t="s">
        <v>671</v>
      </c>
      <c r="L6" s="16" t="s">
        <v>75</v>
      </c>
      <c r="M6" s="17">
        <v>93.49</v>
      </c>
      <c r="N6" s="23">
        <v>1.33</v>
      </c>
      <c r="O6" s="16" t="s">
        <v>67</v>
      </c>
      <c r="P6" s="16" t="s">
        <v>29</v>
      </c>
      <c r="Q6" s="16" t="s">
        <v>29</v>
      </c>
      <c r="R6" s="16" t="s">
        <v>29</v>
      </c>
      <c r="S6" s="13">
        <v>45713</v>
      </c>
      <c r="T6" s="13">
        <v>45713</v>
      </c>
      <c r="U6" s="16"/>
      <c r="V6" s="53">
        <f>M6-U6-Y6</f>
        <v>-3.6099999999999994</v>
      </c>
      <c r="W6" s="22" t="s">
        <v>672</v>
      </c>
      <c r="X6" s="16" t="s">
        <v>29</v>
      </c>
      <c r="Y6" s="16">
        <v>97.1</v>
      </c>
      <c r="Z6" s="24">
        <v>45709</v>
      </c>
      <c r="AA6" s="79"/>
      <c r="AB6" s="79"/>
    </row>
    <row r="7" spans="1:34" s="29" customFormat="1" ht="21" hidden="1" customHeight="1">
      <c r="A7" s="11">
        <v>45699</v>
      </c>
      <c r="B7" s="16" t="s">
        <v>669</v>
      </c>
      <c r="C7" s="16" t="s">
        <v>211</v>
      </c>
      <c r="D7" s="16" t="s">
        <v>212</v>
      </c>
      <c r="E7" s="16" t="s">
        <v>62</v>
      </c>
      <c r="F7" s="16" t="s">
        <v>670</v>
      </c>
      <c r="G7" s="16" t="s">
        <v>71</v>
      </c>
      <c r="H7" s="16" t="s">
        <v>26</v>
      </c>
      <c r="I7" s="16" t="s">
        <v>63</v>
      </c>
      <c r="J7" s="16" t="s">
        <v>27</v>
      </c>
      <c r="K7" s="16" t="s">
        <v>673</v>
      </c>
      <c r="L7" s="16" t="s">
        <v>75</v>
      </c>
      <c r="M7" s="17">
        <v>561</v>
      </c>
      <c r="N7" s="23">
        <v>1.33</v>
      </c>
      <c r="O7" s="16" t="s">
        <v>67</v>
      </c>
      <c r="P7" s="16" t="s">
        <v>29</v>
      </c>
      <c r="Q7" s="16" t="s">
        <v>29</v>
      </c>
      <c r="R7" s="16" t="s">
        <v>29</v>
      </c>
      <c r="S7" s="13">
        <v>45713</v>
      </c>
      <c r="T7" s="13">
        <v>45713</v>
      </c>
      <c r="U7" s="16"/>
      <c r="V7" s="53">
        <f>M7-U7-Y7</f>
        <v>-0.29999999999995453</v>
      </c>
      <c r="W7" s="22" t="s">
        <v>674</v>
      </c>
      <c r="X7" s="16" t="s">
        <v>29</v>
      </c>
      <c r="Y7" s="33">
        <v>561.29999999999995</v>
      </c>
      <c r="Z7" s="85">
        <v>45716</v>
      </c>
      <c r="AA7" s="79"/>
      <c r="AB7" s="79"/>
    </row>
    <row r="8" spans="1:34" s="29" customFormat="1" ht="20.25" hidden="1" customHeight="1">
      <c r="A8" s="11">
        <v>45712</v>
      </c>
      <c r="B8" s="16" t="s">
        <v>675</v>
      </c>
      <c r="C8" s="16" t="s">
        <v>211</v>
      </c>
      <c r="D8" s="16" t="s">
        <v>212</v>
      </c>
      <c r="E8" s="16" t="s">
        <v>62</v>
      </c>
      <c r="F8" s="16" t="s">
        <v>676</v>
      </c>
      <c r="G8" s="16" t="s">
        <v>71</v>
      </c>
      <c r="H8" s="16" t="s">
        <v>26</v>
      </c>
      <c r="I8" s="16" t="s">
        <v>63</v>
      </c>
      <c r="J8" s="16" t="s">
        <v>27</v>
      </c>
      <c r="K8" s="16" t="s">
        <v>218</v>
      </c>
      <c r="L8" s="16" t="s">
        <v>75</v>
      </c>
      <c r="M8" s="17">
        <v>427.91</v>
      </c>
      <c r="N8" s="23">
        <v>1.33</v>
      </c>
      <c r="O8" s="16" t="s">
        <v>67</v>
      </c>
      <c r="P8" s="16" t="s">
        <v>29</v>
      </c>
      <c r="Q8" s="16" t="s">
        <v>29</v>
      </c>
      <c r="R8" s="16" t="s">
        <v>29</v>
      </c>
      <c r="S8" s="13">
        <v>45726</v>
      </c>
      <c r="T8" s="13">
        <v>45727</v>
      </c>
      <c r="U8" s="16"/>
      <c r="V8" s="53">
        <f>M8-U8-Y8</f>
        <v>-1.7899999999999636</v>
      </c>
      <c r="W8" s="22" t="s">
        <v>677</v>
      </c>
      <c r="X8" s="16" t="s">
        <v>29</v>
      </c>
      <c r="Y8" s="21">
        <v>429.7</v>
      </c>
      <c r="Z8" s="24">
        <v>45740</v>
      </c>
      <c r="AA8" s="79"/>
      <c r="AB8" s="79"/>
    </row>
    <row r="9" spans="1:34" s="29" customFormat="1" ht="20.25" hidden="1" customHeight="1">
      <c r="A9" s="11">
        <v>45733</v>
      </c>
      <c r="B9" s="16" t="s">
        <v>678</v>
      </c>
      <c r="C9" s="16" t="s">
        <v>382</v>
      </c>
      <c r="D9" s="16" t="s">
        <v>212</v>
      </c>
      <c r="E9" s="16" t="s">
        <v>62</v>
      </c>
      <c r="F9" s="16" t="s">
        <v>679</v>
      </c>
      <c r="G9" s="16" t="s">
        <v>71</v>
      </c>
      <c r="H9" s="16" t="s">
        <v>31</v>
      </c>
      <c r="I9" s="16" t="s">
        <v>63</v>
      </c>
      <c r="J9" s="16" t="s">
        <v>27</v>
      </c>
      <c r="K9" s="16" t="s">
        <v>384</v>
      </c>
      <c r="L9" s="16" t="s">
        <v>35</v>
      </c>
      <c r="M9" s="17">
        <v>164</v>
      </c>
      <c r="N9" s="23">
        <v>1.33</v>
      </c>
      <c r="O9" s="16" t="s">
        <v>67</v>
      </c>
      <c r="P9" s="16" t="s">
        <v>29</v>
      </c>
      <c r="Q9" s="16" t="s">
        <v>29</v>
      </c>
      <c r="R9" s="16" t="s">
        <v>29</v>
      </c>
      <c r="S9" s="13">
        <v>45754</v>
      </c>
      <c r="T9" s="13">
        <v>45754</v>
      </c>
      <c r="U9" s="16"/>
      <c r="V9" s="53">
        <f>M9-U9-Y9</f>
        <v>-0.40000000000000568</v>
      </c>
      <c r="W9" s="22" t="s">
        <v>680</v>
      </c>
      <c r="X9" s="16" t="s">
        <v>29</v>
      </c>
      <c r="Y9" s="16">
        <v>164.4</v>
      </c>
      <c r="Z9" s="24">
        <v>45756</v>
      </c>
    </row>
    <row r="10" spans="1:34" s="29" customFormat="1" ht="20.25" hidden="1" customHeight="1">
      <c r="A10" s="11">
        <v>45733</v>
      </c>
      <c r="B10" s="16" t="s">
        <v>681</v>
      </c>
      <c r="C10" s="16" t="s">
        <v>400</v>
      </c>
      <c r="D10" s="16" t="s">
        <v>212</v>
      </c>
      <c r="E10" s="16" t="s">
        <v>62</v>
      </c>
      <c r="F10" s="16" t="s">
        <v>682</v>
      </c>
      <c r="G10" s="16" t="s">
        <v>71</v>
      </c>
      <c r="H10" s="16" t="s">
        <v>31</v>
      </c>
      <c r="I10" s="16" t="s">
        <v>63</v>
      </c>
      <c r="J10" s="16" t="s">
        <v>27</v>
      </c>
      <c r="K10" s="16" t="s">
        <v>683</v>
      </c>
      <c r="L10" s="16" t="s">
        <v>75</v>
      </c>
      <c r="M10" s="17">
        <v>914</v>
      </c>
      <c r="N10" s="23">
        <v>1.33</v>
      </c>
      <c r="O10" s="16" t="s">
        <v>67</v>
      </c>
      <c r="P10" s="16" t="s">
        <v>29</v>
      </c>
      <c r="Q10" s="16" t="s">
        <v>29</v>
      </c>
      <c r="R10" s="16" t="s">
        <v>29</v>
      </c>
      <c r="S10" s="13">
        <v>45737</v>
      </c>
      <c r="T10" s="13">
        <v>45737</v>
      </c>
      <c r="U10" s="16"/>
      <c r="V10" s="53">
        <f>M10-U10-Y10</f>
        <v>-0.5</v>
      </c>
      <c r="W10" s="22" t="s">
        <v>684</v>
      </c>
      <c r="X10" s="16" t="s">
        <v>29</v>
      </c>
      <c r="Y10" s="16">
        <v>914.5</v>
      </c>
      <c r="Z10" s="24">
        <v>45737</v>
      </c>
    </row>
    <row r="11" spans="1:34" s="29" customFormat="1" ht="20.25" hidden="1" customHeight="1">
      <c r="A11" s="11">
        <v>45756</v>
      </c>
      <c r="B11" s="16" t="s">
        <v>685</v>
      </c>
      <c r="C11" s="16" t="s">
        <v>438</v>
      </c>
      <c r="D11" s="16" t="s">
        <v>212</v>
      </c>
      <c r="E11" s="16" t="s">
        <v>62</v>
      </c>
      <c r="F11" s="16" t="s">
        <v>686</v>
      </c>
      <c r="G11" s="16" t="s">
        <v>71</v>
      </c>
      <c r="H11" s="16" t="s">
        <v>31</v>
      </c>
      <c r="I11" s="16" t="s">
        <v>63</v>
      </c>
      <c r="J11" s="16" t="s">
        <v>27</v>
      </c>
      <c r="K11" s="16" t="s">
        <v>345</v>
      </c>
      <c r="L11" s="16" t="s">
        <v>75</v>
      </c>
      <c r="M11" s="17">
        <v>110</v>
      </c>
      <c r="N11" s="23">
        <v>1.33</v>
      </c>
      <c r="O11" s="16" t="s">
        <v>67</v>
      </c>
      <c r="P11" s="16" t="s">
        <v>29</v>
      </c>
      <c r="Q11" s="16" t="s">
        <v>29</v>
      </c>
      <c r="R11" s="16" t="s">
        <v>29</v>
      </c>
      <c r="S11" s="13">
        <v>45757</v>
      </c>
      <c r="T11" s="13">
        <v>45770</v>
      </c>
      <c r="U11" s="16"/>
      <c r="V11" s="53">
        <f>M11-U11-Y11</f>
        <v>-7</v>
      </c>
      <c r="W11" s="22" t="s">
        <v>687</v>
      </c>
      <c r="X11" s="16" t="s">
        <v>688</v>
      </c>
      <c r="Y11" s="21">
        <v>117</v>
      </c>
      <c r="Z11" s="24">
        <v>45756</v>
      </c>
    </row>
    <row r="12" spans="1:34" s="29" customFormat="1" ht="20.25" hidden="1" customHeight="1">
      <c r="A12" s="11">
        <v>45757</v>
      </c>
      <c r="B12" s="16" t="s">
        <v>689</v>
      </c>
      <c r="C12" s="16" t="s">
        <v>211</v>
      </c>
      <c r="D12" s="16" t="s">
        <v>212</v>
      </c>
      <c r="E12" s="16" t="s">
        <v>62</v>
      </c>
      <c r="F12" s="16" t="s">
        <v>690</v>
      </c>
      <c r="G12" s="16" t="s">
        <v>71</v>
      </c>
      <c r="H12" s="16" t="s">
        <v>26</v>
      </c>
      <c r="I12" s="16" t="s">
        <v>63</v>
      </c>
      <c r="J12" s="16" t="s">
        <v>27</v>
      </c>
      <c r="K12" s="16" t="s">
        <v>555</v>
      </c>
      <c r="L12" s="16" t="s">
        <v>75</v>
      </c>
      <c r="M12" s="17">
        <v>1878.4</v>
      </c>
      <c r="N12" s="23">
        <v>1.33</v>
      </c>
      <c r="O12" s="16" t="s">
        <v>67</v>
      </c>
      <c r="P12" s="16" t="s">
        <v>29</v>
      </c>
      <c r="Q12" s="16" t="s">
        <v>29</v>
      </c>
      <c r="R12" s="16" t="s">
        <v>29</v>
      </c>
      <c r="S12" s="13">
        <v>45772</v>
      </c>
      <c r="T12" s="13">
        <v>45772</v>
      </c>
      <c r="U12" s="16"/>
      <c r="V12" s="53">
        <f>M12-U12-Y12-AA12</f>
        <v>-3.2999999999999545</v>
      </c>
      <c r="W12" s="22" t="s">
        <v>691</v>
      </c>
      <c r="X12" s="16" t="s">
        <v>29</v>
      </c>
      <c r="Y12" s="202">
        <v>795</v>
      </c>
      <c r="Z12" s="203">
        <v>45762</v>
      </c>
      <c r="AA12" s="106">
        <f>122.6+964.1</f>
        <v>1086.7</v>
      </c>
      <c r="AB12" s="24">
        <v>45784</v>
      </c>
    </row>
    <row r="13" spans="1:34" s="29" customFormat="1" ht="20.25" hidden="1" customHeight="1">
      <c r="A13" s="11">
        <v>45757</v>
      </c>
      <c r="B13" s="16" t="s">
        <v>689</v>
      </c>
      <c r="C13" s="16" t="s">
        <v>211</v>
      </c>
      <c r="D13" s="16" t="s">
        <v>212</v>
      </c>
      <c r="E13" s="16" t="s">
        <v>62</v>
      </c>
      <c r="F13" s="16" t="s">
        <v>690</v>
      </c>
      <c r="G13" s="16" t="s">
        <v>71</v>
      </c>
      <c r="H13" s="16" t="s">
        <v>26</v>
      </c>
      <c r="I13" s="16" t="s">
        <v>63</v>
      </c>
      <c r="J13" s="16" t="s">
        <v>27</v>
      </c>
      <c r="K13" s="16" t="s">
        <v>645</v>
      </c>
      <c r="L13" s="16" t="s">
        <v>75</v>
      </c>
      <c r="M13" s="17">
        <v>2083.1</v>
      </c>
      <c r="N13" s="23">
        <v>1.33</v>
      </c>
      <c r="O13" s="16" t="s">
        <v>67</v>
      </c>
      <c r="P13" s="16" t="s">
        <v>29</v>
      </c>
      <c r="Q13" s="16" t="s">
        <v>29</v>
      </c>
      <c r="R13" s="16" t="s">
        <v>29</v>
      </c>
      <c r="S13" s="13">
        <v>45772</v>
      </c>
      <c r="T13" s="13">
        <v>45772</v>
      </c>
      <c r="U13" s="16"/>
      <c r="V13" s="53">
        <f>M13-U13-Y13</f>
        <v>-9.9999999999909051E-2</v>
      </c>
      <c r="W13" s="22" t="s">
        <v>692</v>
      </c>
      <c r="X13" s="16" t="s">
        <v>29</v>
      </c>
      <c r="Y13" s="21">
        <f>38+2045.2</f>
        <v>2083.1999999999998</v>
      </c>
      <c r="Z13" s="24">
        <v>45768</v>
      </c>
      <c r="AA13" s="155"/>
      <c r="AB13" s="21"/>
    </row>
    <row r="14" spans="1:34" s="29" customFormat="1" ht="20.25" hidden="1" customHeight="1">
      <c r="A14" s="11">
        <v>45757</v>
      </c>
      <c r="B14" s="16" t="s">
        <v>689</v>
      </c>
      <c r="C14" s="16" t="s">
        <v>211</v>
      </c>
      <c r="D14" s="16" t="s">
        <v>212</v>
      </c>
      <c r="E14" s="16" t="s">
        <v>62</v>
      </c>
      <c r="F14" s="16" t="s">
        <v>690</v>
      </c>
      <c r="G14" s="16" t="s">
        <v>71</v>
      </c>
      <c r="H14" s="16" t="s">
        <v>26</v>
      </c>
      <c r="I14" s="16" t="s">
        <v>63</v>
      </c>
      <c r="J14" s="16" t="s">
        <v>27</v>
      </c>
      <c r="K14" s="16" t="s">
        <v>693</v>
      </c>
      <c r="L14" s="16" t="s">
        <v>75</v>
      </c>
      <c r="M14" s="17">
        <v>171.4</v>
      </c>
      <c r="N14" s="23">
        <v>1.33</v>
      </c>
      <c r="O14" s="16" t="s">
        <v>67</v>
      </c>
      <c r="P14" s="16" t="s">
        <v>29</v>
      </c>
      <c r="Q14" s="16" t="s">
        <v>29</v>
      </c>
      <c r="R14" s="16" t="s">
        <v>29</v>
      </c>
      <c r="S14" s="13">
        <v>45772</v>
      </c>
      <c r="T14" s="13">
        <v>45772</v>
      </c>
      <c r="U14" s="16"/>
      <c r="V14" s="53">
        <f>M14-U14-Y14</f>
        <v>-0.79999999999998295</v>
      </c>
      <c r="W14" s="22" t="s">
        <v>694</v>
      </c>
      <c r="X14" s="16" t="s">
        <v>29</v>
      </c>
      <c r="Y14" s="35">
        <v>172.2</v>
      </c>
      <c r="Z14" s="31">
        <v>45768</v>
      </c>
      <c r="AA14" s="155"/>
      <c r="AB14" s="21"/>
    </row>
    <row r="15" spans="1:34" s="29" customFormat="1" ht="20.25" hidden="1" customHeight="1">
      <c r="A15" s="11">
        <v>45757</v>
      </c>
      <c r="B15" s="16" t="s">
        <v>689</v>
      </c>
      <c r="C15" s="16" t="s">
        <v>211</v>
      </c>
      <c r="D15" s="16" t="s">
        <v>212</v>
      </c>
      <c r="E15" s="16" t="s">
        <v>62</v>
      </c>
      <c r="F15" s="16" t="s">
        <v>690</v>
      </c>
      <c r="G15" s="16" t="s">
        <v>71</v>
      </c>
      <c r="H15" s="16" t="s">
        <v>26</v>
      </c>
      <c r="I15" s="16" t="s">
        <v>63</v>
      </c>
      <c r="J15" s="16" t="s">
        <v>27</v>
      </c>
      <c r="K15" s="16" t="s">
        <v>239</v>
      </c>
      <c r="L15" s="16" t="s">
        <v>75</v>
      </c>
      <c r="M15" s="17">
        <v>3392.88</v>
      </c>
      <c r="N15" s="23">
        <v>1.33</v>
      </c>
      <c r="O15" s="16" t="s">
        <v>67</v>
      </c>
      <c r="P15" s="16" t="s">
        <v>29</v>
      </c>
      <c r="Q15" s="16" t="s">
        <v>29</v>
      </c>
      <c r="R15" s="16" t="s">
        <v>29</v>
      </c>
      <c r="S15" s="13">
        <v>45772</v>
      </c>
      <c r="T15" s="13">
        <v>45772</v>
      </c>
      <c r="U15" s="16"/>
      <c r="V15" s="53">
        <f>M15-U15-Y15</f>
        <v>-6.5199999999999818</v>
      </c>
      <c r="W15" s="22" t="s">
        <v>695</v>
      </c>
      <c r="X15" s="16" t="s">
        <v>29</v>
      </c>
      <c r="Y15" s="21">
        <v>3399.4</v>
      </c>
      <c r="Z15" s="24">
        <v>45768</v>
      </c>
      <c r="AA15" s="79"/>
      <c r="AB15" s="79"/>
    </row>
    <row r="16" spans="1:34" s="29" customFormat="1" ht="20.25" hidden="1" customHeight="1">
      <c r="A16" s="11">
        <v>45757</v>
      </c>
      <c r="B16" s="16" t="s">
        <v>696</v>
      </c>
      <c r="C16" s="16" t="s">
        <v>267</v>
      </c>
      <c r="D16" s="16" t="s">
        <v>212</v>
      </c>
      <c r="E16" s="16" t="s">
        <v>62</v>
      </c>
      <c r="F16" s="16" t="s">
        <v>697</v>
      </c>
      <c r="G16" s="16" t="s">
        <v>71</v>
      </c>
      <c r="H16" s="16" t="s">
        <v>26</v>
      </c>
      <c r="I16" s="16" t="s">
        <v>63</v>
      </c>
      <c r="J16" s="16" t="s">
        <v>27</v>
      </c>
      <c r="K16" s="16" t="s">
        <v>239</v>
      </c>
      <c r="L16" s="16" t="s">
        <v>75</v>
      </c>
      <c r="M16" s="17">
        <v>1865</v>
      </c>
      <c r="N16" s="23">
        <v>1.33</v>
      </c>
      <c r="O16" s="16" t="s">
        <v>67</v>
      </c>
      <c r="P16" s="16" t="s">
        <v>29</v>
      </c>
      <c r="Q16" s="16" t="s">
        <v>29</v>
      </c>
      <c r="R16" s="16" t="s">
        <v>29</v>
      </c>
      <c r="S16" s="13">
        <v>45772</v>
      </c>
      <c r="T16" s="13">
        <v>45772</v>
      </c>
      <c r="U16" s="16"/>
      <c r="V16" s="53">
        <f>M16-U16-Y16</f>
        <v>0</v>
      </c>
      <c r="W16" s="22" t="s">
        <v>698</v>
      </c>
      <c r="X16" s="16" t="s">
        <v>431</v>
      </c>
      <c r="Y16" s="21">
        <f>554.8+1310.2</f>
        <v>1865</v>
      </c>
      <c r="Z16" s="24">
        <v>45769</v>
      </c>
    </row>
    <row r="17" spans="1:58" s="29" customFormat="1" ht="20.25" hidden="1" customHeight="1">
      <c r="A17" s="127">
        <v>45772</v>
      </c>
      <c r="B17" s="107" t="s">
        <v>303</v>
      </c>
      <c r="C17" s="128" t="s">
        <v>304</v>
      </c>
      <c r="D17" s="107" t="s">
        <v>212</v>
      </c>
      <c r="E17" s="9" t="s">
        <v>62</v>
      </c>
      <c r="F17" s="107" t="s">
        <v>305</v>
      </c>
      <c r="G17" s="107" t="s">
        <v>71</v>
      </c>
      <c r="H17" s="107" t="s">
        <v>31</v>
      </c>
      <c r="I17" s="107" t="s">
        <v>63</v>
      </c>
      <c r="J17" s="129" t="s">
        <v>27</v>
      </c>
      <c r="K17" s="108" t="s">
        <v>306</v>
      </c>
      <c r="L17" s="130" t="s">
        <v>75</v>
      </c>
      <c r="M17" s="128">
        <v>36</v>
      </c>
      <c r="N17" s="9">
        <v>1.33</v>
      </c>
      <c r="O17" s="131" t="s">
        <v>67</v>
      </c>
      <c r="P17" s="132" t="s">
        <v>29</v>
      </c>
      <c r="Q17" s="132" t="s">
        <v>29</v>
      </c>
      <c r="R17" s="14" t="s">
        <v>29</v>
      </c>
      <c r="S17" s="127" t="s">
        <v>270</v>
      </c>
      <c r="T17" s="133">
        <v>45782</v>
      </c>
      <c r="U17" s="131"/>
      <c r="V17" s="134">
        <f>M17-U17-Y17-AA17-AC17-AE17-AG17-AI17-AK17-AM17-AO17-AQ17-AS17-AU17</f>
        <v>-0.20000000000000284</v>
      </c>
      <c r="W17" s="135" t="s">
        <v>307</v>
      </c>
      <c r="X17" s="109" t="s">
        <v>308</v>
      </c>
      <c r="Y17" s="131">
        <v>36.200000000000003</v>
      </c>
      <c r="Z17" s="109">
        <v>45796</v>
      </c>
      <c r="AA17" s="149"/>
      <c r="AB17" s="109"/>
      <c r="AC17" s="167"/>
      <c r="AD17" s="168"/>
      <c r="AE17" s="167"/>
      <c r="AF17" s="168"/>
      <c r="AG17" s="167"/>
      <c r="AH17" s="168"/>
      <c r="AI17" s="167"/>
      <c r="AJ17" s="168"/>
      <c r="AK17" s="167"/>
      <c r="AL17" s="168"/>
      <c r="AM17" s="167"/>
      <c r="AN17" s="168"/>
      <c r="AO17" s="167"/>
      <c r="AP17" s="168"/>
      <c r="AQ17" s="167"/>
      <c r="AR17" s="168"/>
      <c r="AS17" s="167"/>
      <c r="AT17" s="168"/>
      <c r="AU17" s="167"/>
      <c r="AV17" s="168"/>
      <c r="AW17" s="167"/>
      <c r="AX17" s="168"/>
      <c r="AY17" s="136"/>
      <c r="AZ17" s="136"/>
      <c r="BA17" s="136"/>
      <c r="BB17" s="136"/>
      <c r="BC17" s="136"/>
      <c r="BD17" s="136"/>
      <c r="BE17" s="136"/>
      <c r="BF17" s="136"/>
    </row>
    <row r="18" spans="1:58" s="29" customFormat="1" ht="20.25" hidden="1" customHeight="1">
      <c r="A18" s="127">
        <v>45772</v>
      </c>
      <c r="B18" s="107" t="s">
        <v>309</v>
      </c>
      <c r="C18" s="128" t="s">
        <v>304</v>
      </c>
      <c r="D18" s="107" t="s">
        <v>212</v>
      </c>
      <c r="E18" s="9" t="s">
        <v>62</v>
      </c>
      <c r="F18" s="107" t="s">
        <v>310</v>
      </c>
      <c r="G18" s="107" t="s">
        <v>71</v>
      </c>
      <c r="H18" s="107" t="s">
        <v>31</v>
      </c>
      <c r="I18" s="107" t="s">
        <v>63</v>
      </c>
      <c r="J18" s="129" t="s">
        <v>27</v>
      </c>
      <c r="K18" s="108" t="s">
        <v>311</v>
      </c>
      <c r="L18" s="130" t="s">
        <v>75</v>
      </c>
      <c r="M18" s="128">
        <v>20.7</v>
      </c>
      <c r="N18" s="9">
        <v>1.33</v>
      </c>
      <c r="O18" s="131" t="s">
        <v>67</v>
      </c>
      <c r="P18" s="132" t="s">
        <v>29</v>
      </c>
      <c r="Q18" s="132" t="s">
        <v>29</v>
      </c>
      <c r="R18" s="14" t="s">
        <v>29</v>
      </c>
      <c r="S18" s="127" t="s">
        <v>270</v>
      </c>
      <c r="T18" s="133">
        <v>45782</v>
      </c>
      <c r="U18" s="131"/>
      <c r="V18" s="134">
        <f>M18-U18-Y18-AA18-AC18-AE18-AG18-AI18-AK18-AM18-AO18-AQ18-AS18-AU18</f>
        <v>-2.5</v>
      </c>
      <c r="W18" s="135" t="s">
        <v>312</v>
      </c>
      <c r="X18" s="109" t="s">
        <v>313</v>
      </c>
      <c r="Y18" s="131">
        <v>23.2</v>
      </c>
      <c r="Z18" s="109">
        <v>45796</v>
      </c>
      <c r="AA18" s="167"/>
      <c r="AB18" s="168"/>
      <c r="AC18" s="167"/>
      <c r="AD18" s="168"/>
      <c r="AE18" s="167"/>
      <c r="AF18" s="168"/>
      <c r="AG18" s="167"/>
      <c r="AH18" s="168"/>
      <c r="AI18" s="167"/>
      <c r="AJ18" s="168"/>
      <c r="AK18" s="167"/>
      <c r="AL18" s="168"/>
      <c r="AM18" s="167"/>
      <c r="AN18" s="168"/>
      <c r="AO18" s="167"/>
      <c r="AP18" s="168"/>
      <c r="AQ18" s="167"/>
      <c r="AR18" s="168"/>
      <c r="AS18" s="167"/>
      <c r="AT18" s="168"/>
      <c r="AU18" s="167"/>
      <c r="AV18" s="168"/>
      <c r="AW18" s="167"/>
      <c r="AX18" s="168"/>
      <c r="AY18" s="136"/>
      <c r="AZ18" s="136"/>
      <c r="BA18" s="136"/>
      <c r="BB18" s="136"/>
      <c r="BC18" s="136"/>
      <c r="BD18" s="136"/>
      <c r="BE18" s="136"/>
      <c r="BF18" s="136"/>
    </row>
    <row r="19" spans="1:58" s="137" customFormat="1" ht="22.5" hidden="1" customHeight="1">
      <c r="A19" s="169">
        <v>45772</v>
      </c>
      <c r="B19" s="170" t="s">
        <v>314</v>
      </c>
      <c r="C19" s="171" t="s">
        <v>315</v>
      </c>
      <c r="D19" s="170" t="s">
        <v>212</v>
      </c>
      <c r="E19" s="9" t="s">
        <v>62</v>
      </c>
      <c r="F19" s="170" t="s">
        <v>316</v>
      </c>
      <c r="G19" s="170" t="s">
        <v>71</v>
      </c>
      <c r="H19" s="170" t="s">
        <v>26</v>
      </c>
      <c r="I19" s="170" t="s">
        <v>63</v>
      </c>
      <c r="J19" s="173" t="s">
        <v>27</v>
      </c>
      <c r="K19" s="174" t="s">
        <v>214</v>
      </c>
      <c r="L19" s="175" t="s">
        <v>75</v>
      </c>
      <c r="M19" s="171">
        <v>234</v>
      </c>
      <c r="N19" s="172">
        <v>1.33</v>
      </c>
      <c r="O19" s="176" t="s">
        <v>67</v>
      </c>
      <c r="P19" s="177" t="s">
        <v>29</v>
      </c>
      <c r="Q19" s="177" t="s">
        <v>29</v>
      </c>
      <c r="R19" s="178" t="s">
        <v>29</v>
      </c>
      <c r="S19" s="169" t="s">
        <v>270</v>
      </c>
      <c r="T19" s="179">
        <v>45782</v>
      </c>
      <c r="U19" s="176"/>
      <c r="V19" s="180">
        <f>M19-U19-Y19-AA19-AC19-AE19-AG19-AI19-AK19-AM19-AO19-AQ19-AS19-AU19</f>
        <v>0</v>
      </c>
      <c r="W19" s="181" t="s">
        <v>317</v>
      </c>
      <c r="X19" s="182" t="s">
        <v>29</v>
      </c>
      <c r="Y19" s="183">
        <v>234</v>
      </c>
      <c r="Z19" s="184">
        <v>45786</v>
      </c>
      <c r="AA19" s="181"/>
      <c r="AB19" s="182"/>
      <c r="AC19" s="181"/>
      <c r="AD19" s="182"/>
      <c r="AE19" s="181"/>
      <c r="AF19" s="182"/>
      <c r="AG19" s="181"/>
      <c r="AH19" s="182"/>
      <c r="AI19" s="181"/>
      <c r="AJ19" s="182"/>
      <c r="AK19" s="181"/>
      <c r="AL19" s="182"/>
      <c r="AM19" s="181"/>
      <c r="AN19" s="182"/>
      <c r="AO19" s="181"/>
      <c r="AP19" s="182"/>
      <c r="AQ19" s="181"/>
      <c r="AR19" s="182"/>
      <c r="AS19" s="181"/>
      <c r="AT19" s="182"/>
      <c r="AU19" s="181"/>
      <c r="AV19" s="182"/>
      <c r="AW19" s="181"/>
      <c r="AX19" s="182"/>
      <c r="AY19" s="136"/>
      <c r="AZ19" s="136"/>
      <c r="BA19" s="136"/>
      <c r="BB19" s="136"/>
      <c r="BC19" s="136"/>
      <c r="BD19" s="136"/>
      <c r="BE19" s="136"/>
      <c r="BF19" s="136"/>
    </row>
    <row r="20" spans="1:58" s="29" customFormat="1" ht="20.25" hidden="1" customHeight="1">
      <c r="A20" s="11">
        <v>45796</v>
      </c>
      <c r="B20" s="16" t="s">
        <v>1029</v>
      </c>
      <c r="C20" s="16" t="s">
        <v>267</v>
      </c>
      <c r="D20" s="16" t="s">
        <v>212</v>
      </c>
      <c r="E20" s="16" t="s">
        <v>62</v>
      </c>
      <c r="F20" s="16" t="s">
        <v>1030</v>
      </c>
      <c r="G20" s="16" t="s">
        <v>71</v>
      </c>
      <c r="H20" s="16" t="s">
        <v>26</v>
      </c>
      <c r="I20" s="16" t="s">
        <v>63</v>
      </c>
      <c r="J20" s="16" t="s">
        <v>27</v>
      </c>
      <c r="K20" s="16" t="s">
        <v>337</v>
      </c>
      <c r="L20" s="16" t="s">
        <v>75</v>
      </c>
      <c r="M20" s="17">
        <v>70</v>
      </c>
      <c r="N20" s="23">
        <v>1.33</v>
      </c>
      <c r="O20" s="16" t="s">
        <v>67</v>
      </c>
      <c r="P20" s="16" t="s">
        <v>29</v>
      </c>
      <c r="Q20" s="16" t="s">
        <v>29</v>
      </c>
      <c r="R20" s="16" t="s">
        <v>29</v>
      </c>
      <c r="S20" s="13">
        <v>45810</v>
      </c>
      <c r="T20" s="13">
        <v>45810</v>
      </c>
      <c r="U20" s="19"/>
      <c r="V20" s="53">
        <f>M20-U20-Y20-AA20</f>
        <v>0</v>
      </c>
      <c r="W20" s="22" t="s">
        <v>1031</v>
      </c>
      <c r="X20" s="16" t="s">
        <v>339</v>
      </c>
      <c r="Y20" s="19">
        <v>70</v>
      </c>
      <c r="Z20" s="24">
        <v>45820</v>
      </c>
    </row>
    <row r="21" spans="1:58" s="28" customFormat="1" ht="20.25" hidden="1" customHeight="1">
      <c r="A21" s="48">
        <v>45797</v>
      </c>
      <c r="B21" s="49" t="s">
        <v>1046</v>
      </c>
      <c r="C21" s="49" t="s">
        <v>228</v>
      </c>
      <c r="D21" s="49" t="s">
        <v>212</v>
      </c>
      <c r="E21" s="49" t="s">
        <v>62</v>
      </c>
      <c r="F21" s="49" t="s">
        <v>1047</v>
      </c>
      <c r="G21" s="49" t="s">
        <v>71</v>
      </c>
      <c r="H21" s="49" t="s">
        <v>31</v>
      </c>
      <c r="I21" s="49" t="s">
        <v>63</v>
      </c>
      <c r="J21" s="49" t="s">
        <v>27</v>
      </c>
      <c r="K21" s="49" t="s">
        <v>1048</v>
      </c>
      <c r="L21" s="49" t="s">
        <v>75</v>
      </c>
      <c r="M21" s="50">
        <v>347.4</v>
      </c>
      <c r="N21" s="204">
        <v>1.33</v>
      </c>
      <c r="O21" s="49" t="s">
        <v>67</v>
      </c>
      <c r="P21" s="49" t="s">
        <v>29</v>
      </c>
      <c r="Q21" s="49" t="s">
        <v>29</v>
      </c>
      <c r="R21" s="49" t="s">
        <v>29</v>
      </c>
      <c r="S21" s="13">
        <v>45811</v>
      </c>
      <c r="T21" s="13">
        <v>45811</v>
      </c>
      <c r="U21" s="107"/>
      <c r="V21" s="53">
        <f>M21-U21-Y21-AA21</f>
        <v>-1.6000000000000227</v>
      </c>
      <c r="W21" s="51" t="s">
        <v>1049</v>
      </c>
      <c r="X21" s="49" t="s">
        <v>186</v>
      </c>
      <c r="Y21" s="107">
        <v>349</v>
      </c>
      <c r="Z21" s="14">
        <v>45810</v>
      </c>
    </row>
    <row r="22" spans="1:58" s="36" customFormat="1" ht="20.25" hidden="1" customHeight="1">
      <c r="A22" s="205">
        <v>45797</v>
      </c>
      <c r="B22" s="206" t="s">
        <v>1050</v>
      </c>
      <c r="C22" s="206" t="s">
        <v>228</v>
      </c>
      <c r="D22" s="206" t="s">
        <v>212</v>
      </c>
      <c r="E22" s="206" t="s">
        <v>62</v>
      </c>
      <c r="F22" s="206" t="s">
        <v>1051</v>
      </c>
      <c r="G22" s="206" t="s">
        <v>71</v>
      </c>
      <c r="H22" s="206" t="s">
        <v>31</v>
      </c>
      <c r="I22" s="206" t="s">
        <v>63</v>
      </c>
      <c r="J22" s="206" t="s">
        <v>27</v>
      </c>
      <c r="K22" s="206" t="s">
        <v>1057</v>
      </c>
      <c r="L22" s="206" t="s">
        <v>75</v>
      </c>
      <c r="M22" s="207">
        <v>57.1</v>
      </c>
      <c r="N22" s="208">
        <v>1.33</v>
      </c>
      <c r="O22" s="206" t="s">
        <v>67</v>
      </c>
      <c r="P22" s="206" t="s">
        <v>29</v>
      </c>
      <c r="Q22" s="206" t="s">
        <v>29</v>
      </c>
      <c r="R22" s="206" t="s">
        <v>29</v>
      </c>
      <c r="S22" s="8">
        <v>45811</v>
      </c>
      <c r="T22" s="8">
        <v>45811</v>
      </c>
      <c r="U22" s="107"/>
      <c r="V22" s="55">
        <f>M22-U22-Y22-AA22</f>
        <v>-0.29999999999999716</v>
      </c>
      <c r="W22" s="209" t="s">
        <v>1052</v>
      </c>
      <c r="X22" s="49" t="s">
        <v>186</v>
      </c>
      <c r="Y22" s="107">
        <v>57.4</v>
      </c>
      <c r="Z22" s="14">
        <v>45810</v>
      </c>
    </row>
    <row r="23" spans="1:58" s="28" customFormat="1" ht="20.25" hidden="1" customHeight="1">
      <c r="A23" s="48">
        <v>45797</v>
      </c>
      <c r="B23" s="49" t="s">
        <v>1053</v>
      </c>
      <c r="C23" s="49" t="s">
        <v>228</v>
      </c>
      <c r="D23" s="49" t="s">
        <v>212</v>
      </c>
      <c r="E23" s="49" t="s">
        <v>62</v>
      </c>
      <c r="F23" s="49" t="s">
        <v>1054</v>
      </c>
      <c r="G23" s="49" t="s">
        <v>71</v>
      </c>
      <c r="H23" s="49" t="s">
        <v>31</v>
      </c>
      <c r="I23" s="49" t="s">
        <v>63</v>
      </c>
      <c r="J23" s="49" t="s">
        <v>27</v>
      </c>
      <c r="K23" s="49" t="s">
        <v>1048</v>
      </c>
      <c r="L23" s="49" t="s">
        <v>75</v>
      </c>
      <c r="M23" s="50">
        <v>549.5</v>
      </c>
      <c r="N23" s="204">
        <v>1.33</v>
      </c>
      <c r="O23" s="49" t="s">
        <v>67</v>
      </c>
      <c r="P23" s="49" t="s">
        <v>29</v>
      </c>
      <c r="Q23" s="49" t="s">
        <v>29</v>
      </c>
      <c r="R23" s="49" t="s">
        <v>29</v>
      </c>
      <c r="S23" s="13">
        <v>45811</v>
      </c>
      <c r="T23" s="13">
        <v>45811</v>
      </c>
      <c r="U23" s="107"/>
      <c r="V23" s="53">
        <f>M23-U23-Y23-AA23</f>
        <v>-0.79999999999995453</v>
      </c>
      <c r="W23" s="51" t="s">
        <v>1055</v>
      </c>
      <c r="X23" s="49" t="s">
        <v>186</v>
      </c>
      <c r="Y23" s="107">
        <v>550.29999999999995</v>
      </c>
      <c r="Z23" s="14">
        <v>45810</v>
      </c>
    </row>
    <row r="24" spans="1:58" s="28" customFormat="1" ht="20.25" hidden="1" customHeight="1">
      <c r="A24" s="48">
        <v>45797</v>
      </c>
      <c r="B24" s="49" t="s">
        <v>1053</v>
      </c>
      <c r="C24" s="49" t="s">
        <v>228</v>
      </c>
      <c r="D24" s="49" t="s">
        <v>212</v>
      </c>
      <c r="E24" s="49" t="s">
        <v>62</v>
      </c>
      <c r="F24" s="49" t="s">
        <v>1054</v>
      </c>
      <c r="G24" s="49" t="s">
        <v>71</v>
      </c>
      <c r="H24" s="49" t="s">
        <v>31</v>
      </c>
      <c r="I24" s="49" t="s">
        <v>63</v>
      </c>
      <c r="J24" s="49" t="s">
        <v>27</v>
      </c>
      <c r="K24" s="49" t="s">
        <v>230</v>
      </c>
      <c r="L24" s="49" t="s">
        <v>75</v>
      </c>
      <c r="M24" s="50">
        <v>142</v>
      </c>
      <c r="N24" s="204">
        <v>1.33</v>
      </c>
      <c r="O24" s="49" t="s">
        <v>67</v>
      </c>
      <c r="P24" s="49" t="s">
        <v>29</v>
      </c>
      <c r="Q24" s="49" t="s">
        <v>29</v>
      </c>
      <c r="R24" s="49" t="s">
        <v>29</v>
      </c>
      <c r="S24" s="13">
        <v>45811</v>
      </c>
      <c r="T24" s="13">
        <v>45811</v>
      </c>
      <c r="U24" s="19"/>
      <c r="V24" s="53">
        <f>M24-U24-Y24-AA24</f>
        <v>-0.29999999999999361</v>
      </c>
      <c r="W24" s="51" t="s">
        <v>1056</v>
      </c>
      <c r="X24" s="49" t="s">
        <v>29</v>
      </c>
      <c r="Y24" s="34">
        <v>129.1</v>
      </c>
      <c r="Z24" s="229">
        <v>45810</v>
      </c>
      <c r="AA24" s="19">
        <v>13.2</v>
      </c>
      <c r="AB24" s="24">
        <v>45828</v>
      </c>
    </row>
    <row r="25" spans="1:58" s="29" customFormat="1" ht="20.25" hidden="1" customHeight="1">
      <c r="A25" s="11">
        <v>45790</v>
      </c>
      <c r="B25" s="16" t="s">
        <v>1010</v>
      </c>
      <c r="C25" s="16" t="s">
        <v>243</v>
      </c>
      <c r="D25" s="16" t="s">
        <v>212</v>
      </c>
      <c r="E25" s="16" t="s">
        <v>62</v>
      </c>
      <c r="F25" s="16" t="s">
        <v>1011</v>
      </c>
      <c r="G25" s="16" t="s">
        <v>71</v>
      </c>
      <c r="H25" s="49" t="s">
        <v>31</v>
      </c>
      <c r="I25" s="16" t="s">
        <v>63</v>
      </c>
      <c r="J25" s="16" t="s">
        <v>27</v>
      </c>
      <c r="K25" s="16" t="s">
        <v>1012</v>
      </c>
      <c r="L25" s="16" t="s">
        <v>75</v>
      </c>
      <c r="M25" s="17">
        <v>304.8</v>
      </c>
      <c r="N25" s="23">
        <v>1.33</v>
      </c>
      <c r="O25" s="16" t="s">
        <v>67</v>
      </c>
      <c r="P25" s="16" t="s">
        <v>29</v>
      </c>
      <c r="Q25" s="16" t="s">
        <v>921</v>
      </c>
      <c r="R25" s="16" t="s">
        <v>29</v>
      </c>
      <c r="S25" s="13">
        <v>45804</v>
      </c>
      <c r="T25" s="13">
        <v>45804</v>
      </c>
      <c r="U25" s="19"/>
      <c r="V25" s="53">
        <f>M25-U25-Y25-AA25</f>
        <v>-6.8999999999999773</v>
      </c>
      <c r="W25" s="22" t="s">
        <v>1409</v>
      </c>
      <c r="X25" s="16" t="s">
        <v>1193</v>
      </c>
      <c r="Y25" s="19">
        <v>93.1</v>
      </c>
      <c r="Z25" s="24">
        <v>45827</v>
      </c>
      <c r="AA25" s="21">
        <v>218.6</v>
      </c>
      <c r="AB25" s="24">
        <v>45833</v>
      </c>
    </row>
    <row r="26" spans="1:58" s="29" customFormat="1" ht="20.25" hidden="1" customHeight="1">
      <c r="A26" s="11">
        <v>45798</v>
      </c>
      <c r="B26" s="16" t="s">
        <v>1068</v>
      </c>
      <c r="C26" s="16" t="s">
        <v>382</v>
      </c>
      <c r="D26" s="16" t="s">
        <v>212</v>
      </c>
      <c r="E26" s="16" t="s">
        <v>62</v>
      </c>
      <c r="F26" s="16" t="s">
        <v>1069</v>
      </c>
      <c r="G26" s="16" t="s">
        <v>71</v>
      </c>
      <c r="H26" s="16" t="s">
        <v>31</v>
      </c>
      <c r="I26" s="16" t="s">
        <v>63</v>
      </c>
      <c r="J26" s="16" t="s">
        <v>27</v>
      </c>
      <c r="K26" s="16" t="s">
        <v>1070</v>
      </c>
      <c r="L26" s="16" t="s">
        <v>75</v>
      </c>
      <c r="M26" s="17">
        <v>123</v>
      </c>
      <c r="N26" s="23">
        <v>1.33</v>
      </c>
      <c r="O26" s="16" t="s">
        <v>67</v>
      </c>
      <c r="P26" s="16" t="s">
        <v>29</v>
      </c>
      <c r="Q26" s="16" t="s">
        <v>29</v>
      </c>
      <c r="R26" s="16" t="s">
        <v>29</v>
      </c>
      <c r="S26" s="13">
        <v>45812</v>
      </c>
      <c r="T26" s="13">
        <v>45812</v>
      </c>
      <c r="U26" s="19"/>
      <c r="V26" s="53">
        <f>M26-U26-Y26-AA26</f>
        <v>-2.4000000000000057</v>
      </c>
      <c r="W26" s="22" t="s">
        <v>1071</v>
      </c>
      <c r="X26" s="16" t="s">
        <v>29</v>
      </c>
      <c r="Y26" s="80">
        <v>125.4</v>
      </c>
      <c r="Z26" s="31">
        <v>45810</v>
      </c>
    </row>
    <row r="27" spans="1:58" s="29" customFormat="1" ht="20.25" hidden="1" customHeight="1">
      <c r="A27" s="11">
        <v>45804</v>
      </c>
      <c r="B27" s="16" t="s">
        <v>1091</v>
      </c>
      <c r="C27" s="16" t="s">
        <v>267</v>
      </c>
      <c r="D27" s="16" t="s">
        <v>212</v>
      </c>
      <c r="E27" s="16" t="s">
        <v>62</v>
      </c>
      <c r="F27" s="16" t="s">
        <v>1092</v>
      </c>
      <c r="G27" s="16" t="s">
        <v>71</v>
      </c>
      <c r="H27" s="16" t="s">
        <v>26</v>
      </c>
      <c r="I27" s="16" t="s">
        <v>63</v>
      </c>
      <c r="J27" s="16" t="s">
        <v>27</v>
      </c>
      <c r="K27" s="16" t="s">
        <v>1093</v>
      </c>
      <c r="L27" s="16" t="s">
        <v>75</v>
      </c>
      <c r="M27" s="17">
        <v>400</v>
      </c>
      <c r="N27" s="23">
        <v>1.32</v>
      </c>
      <c r="O27" s="16" t="s">
        <v>67</v>
      </c>
      <c r="P27" s="16" t="s">
        <v>29</v>
      </c>
      <c r="Q27" s="16" t="s">
        <v>29</v>
      </c>
      <c r="R27" s="16" t="s">
        <v>29</v>
      </c>
      <c r="S27" s="13">
        <v>45811</v>
      </c>
      <c r="T27" s="13">
        <v>45811</v>
      </c>
      <c r="U27" s="19"/>
      <c r="V27" s="53">
        <f>M27-U27-Y27-AA27</f>
        <v>-0.10000000000002274</v>
      </c>
      <c r="W27" s="22" t="s">
        <v>1094</v>
      </c>
      <c r="X27" s="16" t="s">
        <v>288</v>
      </c>
      <c r="Y27" s="19">
        <v>400.1</v>
      </c>
      <c r="Z27" s="24">
        <v>45820</v>
      </c>
    </row>
    <row r="28" spans="1:58" s="29" customFormat="1" ht="20.25" hidden="1" customHeight="1">
      <c r="A28" s="11">
        <v>45804</v>
      </c>
      <c r="B28" s="16" t="s">
        <v>1095</v>
      </c>
      <c r="C28" s="16" t="s">
        <v>382</v>
      </c>
      <c r="D28" s="16" t="s">
        <v>212</v>
      </c>
      <c r="E28" s="16" t="s">
        <v>62</v>
      </c>
      <c r="F28" s="16" t="s">
        <v>1096</v>
      </c>
      <c r="G28" s="16" t="s">
        <v>71</v>
      </c>
      <c r="H28" s="16" t="s">
        <v>31</v>
      </c>
      <c r="I28" s="16" t="s">
        <v>63</v>
      </c>
      <c r="J28" s="16" t="s">
        <v>27</v>
      </c>
      <c r="K28" s="16" t="s">
        <v>632</v>
      </c>
      <c r="L28" s="16" t="s">
        <v>75</v>
      </c>
      <c r="M28" s="17">
        <v>43.8</v>
      </c>
      <c r="N28" s="23">
        <v>1.32</v>
      </c>
      <c r="O28" s="16" t="s">
        <v>67</v>
      </c>
      <c r="P28" s="16" t="s">
        <v>29</v>
      </c>
      <c r="Q28" s="16" t="s">
        <v>29</v>
      </c>
      <c r="R28" s="16" t="s">
        <v>29</v>
      </c>
      <c r="S28" s="13">
        <v>45811</v>
      </c>
      <c r="T28" s="13">
        <v>45818</v>
      </c>
      <c r="U28" s="19"/>
      <c r="V28" s="53">
        <f>M28-U28-Y28-AA28</f>
        <v>0</v>
      </c>
      <c r="W28" s="22" t="s">
        <v>1097</v>
      </c>
      <c r="X28" s="16" t="s">
        <v>29</v>
      </c>
      <c r="Y28" s="19">
        <v>43.8</v>
      </c>
      <c r="Z28" s="105">
        <v>45826</v>
      </c>
    </row>
    <row r="29" spans="1:58" s="29" customFormat="1" ht="20.100000000000001" hidden="1" customHeight="1">
      <c r="A29" s="11">
        <v>45805</v>
      </c>
      <c r="B29" s="16" t="s">
        <v>1109</v>
      </c>
      <c r="C29" s="16" t="s">
        <v>267</v>
      </c>
      <c r="D29" s="16" t="s">
        <v>212</v>
      </c>
      <c r="E29" s="16" t="s">
        <v>62</v>
      </c>
      <c r="F29" s="16" t="s">
        <v>1110</v>
      </c>
      <c r="G29" s="16" t="s">
        <v>71</v>
      </c>
      <c r="H29" s="16" t="s">
        <v>26</v>
      </c>
      <c r="I29" s="16" t="s">
        <v>63</v>
      </c>
      <c r="J29" s="16" t="s">
        <v>27</v>
      </c>
      <c r="K29" s="16" t="s">
        <v>273</v>
      </c>
      <c r="L29" s="16" t="s">
        <v>75</v>
      </c>
      <c r="M29" s="17">
        <v>468</v>
      </c>
      <c r="N29" s="23">
        <v>1.33</v>
      </c>
      <c r="O29" s="16" t="s">
        <v>67</v>
      </c>
      <c r="P29" s="16" t="s">
        <v>29</v>
      </c>
      <c r="Q29" s="16" t="s">
        <v>29</v>
      </c>
      <c r="R29" s="16" t="s">
        <v>29</v>
      </c>
      <c r="S29" s="13">
        <v>45819</v>
      </c>
      <c r="T29" s="13">
        <v>45819</v>
      </c>
      <c r="U29" s="19"/>
      <c r="V29" s="53">
        <f>M29-U29-Y29-AA29</f>
        <v>-1</v>
      </c>
      <c r="W29" s="22" t="s">
        <v>1111</v>
      </c>
      <c r="X29" s="16" t="s">
        <v>644</v>
      </c>
      <c r="Y29" s="19">
        <v>469</v>
      </c>
      <c r="Z29" s="24">
        <v>45820</v>
      </c>
    </row>
    <row r="30" spans="1:58" s="29" customFormat="1" ht="20.100000000000001" hidden="1" customHeight="1">
      <c r="A30" s="11">
        <v>45805</v>
      </c>
      <c r="B30" s="16" t="s">
        <v>1112</v>
      </c>
      <c r="C30" s="16" t="s">
        <v>228</v>
      </c>
      <c r="D30" s="16" t="s">
        <v>212</v>
      </c>
      <c r="E30" s="16" t="s">
        <v>62</v>
      </c>
      <c r="F30" s="16" t="s">
        <v>1054</v>
      </c>
      <c r="G30" s="16" t="s">
        <v>71</v>
      </c>
      <c r="H30" s="16" t="s">
        <v>31</v>
      </c>
      <c r="I30" s="16" t="s">
        <v>63</v>
      </c>
      <c r="J30" s="16" t="s">
        <v>27</v>
      </c>
      <c r="K30" s="16" t="s">
        <v>1106</v>
      </c>
      <c r="L30" s="16" t="s">
        <v>75</v>
      </c>
      <c r="M30" s="17">
        <v>42</v>
      </c>
      <c r="N30" s="23">
        <v>1.33</v>
      </c>
      <c r="O30" s="16" t="s">
        <v>67</v>
      </c>
      <c r="P30" s="16" t="s">
        <v>29</v>
      </c>
      <c r="Q30" s="16" t="s">
        <v>29</v>
      </c>
      <c r="R30" s="16" t="s">
        <v>29</v>
      </c>
      <c r="S30" s="13">
        <v>45819</v>
      </c>
      <c r="T30" s="13">
        <v>45819</v>
      </c>
      <c r="U30" s="19"/>
      <c r="V30" s="53">
        <f>M30-U30-Y30-AA30</f>
        <v>-2.1000000000000014</v>
      </c>
      <c r="W30" s="22" t="s">
        <v>1113</v>
      </c>
      <c r="X30" s="49" t="s">
        <v>186</v>
      </c>
      <c r="Y30" s="19">
        <v>44.1</v>
      </c>
      <c r="Z30" s="14">
        <v>45810</v>
      </c>
    </row>
    <row r="31" spans="1:58" s="29" customFormat="1" ht="20.100000000000001" hidden="1" customHeight="1">
      <c r="A31" s="11">
        <v>45805</v>
      </c>
      <c r="B31" s="16" t="s">
        <v>1114</v>
      </c>
      <c r="C31" s="16" t="s">
        <v>228</v>
      </c>
      <c r="D31" s="16" t="s">
        <v>212</v>
      </c>
      <c r="E31" s="16" t="s">
        <v>62</v>
      </c>
      <c r="F31" s="16" t="s">
        <v>1115</v>
      </c>
      <c r="G31" s="16" t="s">
        <v>71</v>
      </c>
      <c r="H31" s="16" t="s">
        <v>31</v>
      </c>
      <c r="I31" s="16" t="s">
        <v>63</v>
      </c>
      <c r="J31" s="16" t="s">
        <v>27</v>
      </c>
      <c r="K31" s="16" t="s">
        <v>1116</v>
      </c>
      <c r="L31" s="16" t="s">
        <v>75</v>
      </c>
      <c r="M31" s="17">
        <v>142</v>
      </c>
      <c r="N31" s="23">
        <v>1.33</v>
      </c>
      <c r="O31" s="16" t="s">
        <v>67</v>
      </c>
      <c r="P31" s="16" t="s">
        <v>29</v>
      </c>
      <c r="Q31" s="16" t="s">
        <v>29</v>
      </c>
      <c r="R31" s="16" t="s">
        <v>29</v>
      </c>
      <c r="S31" s="13">
        <v>45819</v>
      </c>
      <c r="T31" s="13">
        <v>45819</v>
      </c>
      <c r="U31" s="19"/>
      <c r="V31" s="53">
        <f>M31-U31-Y31-AA31</f>
        <v>0</v>
      </c>
      <c r="W31" s="22" t="s">
        <v>1117</v>
      </c>
      <c r="X31" s="22"/>
      <c r="Y31" s="230">
        <v>142</v>
      </c>
      <c r="Z31" s="231">
        <v>45828</v>
      </c>
    </row>
    <row r="32" spans="1:58" s="29" customFormat="1" ht="20.100000000000001" hidden="1" customHeight="1">
      <c r="A32" s="11">
        <v>45805</v>
      </c>
      <c r="B32" s="16" t="s">
        <v>1118</v>
      </c>
      <c r="C32" s="16" t="s">
        <v>243</v>
      </c>
      <c r="D32" s="16" t="s">
        <v>212</v>
      </c>
      <c r="E32" s="16" t="s">
        <v>62</v>
      </c>
      <c r="F32" s="16" t="s">
        <v>1119</v>
      </c>
      <c r="G32" s="16" t="s">
        <v>71</v>
      </c>
      <c r="H32" s="16" t="s">
        <v>31</v>
      </c>
      <c r="I32" s="16" t="s">
        <v>63</v>
      </c>
      <c r="J32" s="16" t="s">
        <v>27</v>
      </c>
      <c r="K32" s="16" t="s">
        <v>1120</v>
      </c>
      <c r="L32" s="16" t="s">
        <v>75</v>
      </c>
      <c r="M32" s="17">
        <v>226.4</v>
      </c>
      <c r="N32" s="23">
        <v>1.33</v>
      </c>
      <c r="O32" s="16" t="s">
        <v>67</v>
      </c>
      <c r="P32" s="16" t="s">
        <v>29</v>
      </c>
      <c r="Q32" s="16" t="s">
        <v>1121</v>
      </c>
      <c r="R32" s="16" t="s">
        <v>29</v>
      </c>
      <c r="S32" s="13">
        <v>45819</v>
      </c>
      <c r="T32" s="13">
        <v>45819</v>
      </c>
      <c r="U32" s="19"/>
      <c r="V32" s="53">
        <f>M32-U32-Y32-AA32</f>
        <v>0</v>
      </c>
      <c r="W32" s="22" t="s">
        <v>1122</v>
      </c>
      <c r="X32" s="22"/>
      <c r="Y32" s="19">
        <v>226.4</v>
      </c>
      <c r="Z32" s="24">
        <v>45810</v>
      </c>
    </row>
    <row r="33" spans="1:28" s="29" customFormat="1" ht="20.100000000000001" hidden="1" customHeight="1">
      <c r="A33" s="11">
        <v>45805</v>
      </c>
      <c r="B33" s="16" t="s">
        <v>1123</v>
      </c>
      <c r="C33" s="16" t="s">
        <v>243</v>
      </c>
      <c r="D33" s="16" t="s">
        <v>212</v>
      </c>
      <c r="E33" s="16" t="s">
        <v>62</v>
      </c>
      <c r="F33" s="16" t="s">
        <v>1124</v>
      </c>
      <c r="G33" s="16" t="s">
        <v>71</v>
      </c>
      <c r="H33" s="16" t="s">
        <v>31</v>
      </c>
      <c r="I33" s="16" t="s">
        <v>63</v>
      </c>
      <c r="J33" s="16" t="s">
        <v>27</v>
      </c>
      <c r="K33" s="16" t="s">
        <v>245</v>
      </c>
      <c r="L33" s="16" t="s">
        <v>75</v>
      </c>
      <c r="M33" s="17">
        <v>140.4</v>
      </c>
      <c r="N33" s="23">
        <v>1.33</v>
      </c>
      <c r="O33" s="16" t="s">
        <v>67</v>
      </c>
      <c r="P33" s="16" t="s">
        <v>29</v>
      </c>
      <c r="Q33" s="16" t="s">
        <v>1125</v>
      </c>
      <c r="R33" s="16" t="s">
        <v>29</v>
      </c>
      <c r="S33" s="13">
        <v>45819</v>
      </c>
      <c r="T33" s="13">
        <v>45819</v>
      </c>
      <c r="U33" s="19"/>
      <c r="V33" s="53">
        <f>M33-U33-Y33-AA33</f>
        <v>-1.1999999999999886</v>
      </c>
      <c r="W33" s="22" t="s">
        <v>1126</v>
      </c>
      <c r="X33" s="22"/>
      <c r="Y33" s="19">
        <v>141.6</v>
      </c>
      <c r="Z33" s="24">
        <v>45818</v>
      </c>
    </row>
    <row r="34" spans="1:28" s="29" customFormat="1" ht="20.25" hidden="1" customHeight="1">
      <c r="A34" s="11">
        <v>45807</v>
      </c>
      <c r="B34" s="16" t="s">
        <v>1184</v>
      </c>
      <c r="C34" s="16" t="s">
        <v>243</v>
      </c>
      <c r="D34" s="16" t="s">
        <v>212</v>
      </c>
      <c r="E34" s="16" t="s">
        <v>62</v>
      </c>
      <c r="F34" s="16" t="s">
        <v>1185</v>
      </c>
      <c r="G34" s="16" t="s">
        <v>71</v>
      </c>
      <c r="H34" s="16" t="s">
        <v>31</v>
      </c>
      <c r="I34" s="16" t="s">
        <v>63</v>
      </c>
      <c r="J34" s="16" t="s">
        <v>27</v>
      </c>
      <c r="K34" s="16" t="s">
        <v>239</v>
      </c>
      <c r="L34" s="16" t="s">
        <v>75</v>
      </c>
      <c r="M34" s="17">
        <v>147</v>
      </c>
      <c r="N34" s="23">
        <v>1.33</v>
      </c>
      <c r="O34" s="16" t="s">
        <v>1063</v>
      </c>
      <c r="P34" s="16" t="s">
        <v>29</v>
      </c>
      <c r="Q34" s="16" t="s">
        <v>29</v>
      </c>
      <c r="R34" s="16" t="s">
        <v>29</v>
      </c>
      <c r="S34" s="12" t="s">
        <v>1186</v>
      </c>
      <c r="T34" s="13">
        <v>45819</v>
      </c>
      <c r="U34" s="19"/>
      <c r="V34" s="53">
        <f>M34-U34-Y34-AA34</f>
        <v>-1.0999999999999943</v>
      </c>
      <c r="W34" s="22" t="s">
        <v>1187</v>
      </c>
      <c r="X34" s="16" t="s">
        <v>29</v>
      </c>
      <c r="Y34" s="19">
        <v>148.1</v>
      </c>
      <c r="Z34" s="24">
        <v>45818</v>
      </c>
    </row>
    <row r="35" spans="1:28" s="29" customFormat="1" ht="20.25" hidden="1" customHeight="1">
      <c r="A35" s="11">
        <v>45807</v>
      </c>
      <c r="B35" s="16" t="s">
        <v>1188</v>
      </c>
      <c r="C35" s="16" t="s">
        <v>243</v>
      </c>
      <c r="D35" s="16" t="s">
        <v>212</v>
      </c>
      <c r="E35" s="16" t="s">
        <v>62</v>
      </c>
      <c r="F35" s="16" t="s">
        <v>1189</v>
      </c>
      <c r="G35" s="16" t="s">
        <v>71</v>
      </c>
      <c r="H35" s="16" t="s">
        <v>31</v>
      </c>
      <c r="I35" s="16" t="s">
        <v>63</v>
      </c>
      <c r="J35" s="16" t="s">
        <v>27</v>
      </c>
      <c r="K35" s="16" t="s">
        <v>1120</v>
      </c>
      <c r="L35" s="16" t="s">
        <v>75</v>
      </c>
      <c r="M35" s="17">
        <v>230</v>
      </c>
      <c r="N35" s="23">
        <v>1.33</v>
      </c>
      <c r="O35" s="16" t="s">
        <v>67</v>
      </c>
      <c r="P35" s="16" t="s">
        <v>29</v>
      </c>
      <c r="Q35" s="16" t="s">
        <v>449</v>
      </c>
      <c r="R35" s="16" t="s">
        <v>29</v>
      </c>
      <c r="S35" s="12" t="s">
        <v>1190</v>
      </c>
      <c r="T35" s="13">
        <v>45819</v>
      </c>
      <c r="U35" s="19"/>
      <c r="V35" s="53">
        <f>M35-U35-Y35-AA35</f>
        <v>-1.2000000000000171</v>
      </c>
      <c r="W35" s="22" t="s">
        <v>1191</v>
      </c>
      <c r="X35" s="16" t="s">
        <v>29</v>
      </c>
      <c r="Y35" s="19">
        <f>175.8+55.4</f>
        <v>231.20000000000002</v>
      </c>
      <c r="Z35" s="24">
        <v>45810</v>
      </c>
    </row>
    <row r="36" spans="1:28" s="28" customFormat="1" ht="20.25" hidden="1" customHeight="1">
      <c r="A36" s="11">
        <v>45812</v>
      </c>
      <c r="B36" s="16" t="s">
        <v>1302</v>
      </c>
      <c r="C36" s="16" t="s">
        <v>267</v>
      </c>
      <c r="D36" s="16" t="s">
        <v>212</v>
      </c>
      <c r="E36" s="16" t="s">
        <v>62</v>
      </c>
      <c r="F36" s="16" t="s">
        <v>1303</v>
      </c>
      <c r="G36" s="16" t="s">
        <v>71</v>
      </c>
      <c r="H36" s="16" t="s">
        <v>26</v>
      </c>
      <c r="I36" s="16" t="s">
        <v>63</v>
      </c>
      <c r="J36" s="16" t="s">
        <v>27</v>
      </c>
      <c r="K36" s="16" t="s">
        <v>218</v>
      </c>
      <c r="L36" s="16" t="s">
        <v>75</v>
      </c>
      <c r="M36" s="17">
        <v>818</v>
      </c>
      <c r="N36" s="23">
        <v>1.31</v>
      </c>
      <c r="O36" s="16" t="s">
        <v>1063</v>
      </c>
      <c r="P36" s="16" t="s">
        <v>29</v>
      </c>
      <c r="Q36" s="16" t="s">
        <v>29</v>
      </c>
      <c r="R36" s="16" t="s">
        <v>29</v>
      </c>
      <c r="S36" s="13">
        <v>45826</v>
      </c>
      <c r="T36" s="13">
        <v>45826</v>
      </c>
      <c r="U36" s="19"/>
      <c r="V36" s="53">
        <f>M36-U36-Y36-AA36</f>
        <v>-0.5</v>
      </c>
      <c r="W36" s="22" t="s">
        <v>1304</v>
      </c>
      <c r="X36" s="16" t="s">
        <v>431</v>
      </c>
      <c r="Y36" s="80">
        <f>64.7+753.8</f>
        <v>818.5</v>
      </c>
      <c r="Z36" s="32">
        <v>45828</v>
      </c>
    </row>
    <row r="37" spans="1:28" s="28" customFormat="1" ht="20.25" hidden="1" customHeight="1">
      <c r="A37" s="11">
        <v>45812</v>
      </c>
      <c r="B37" s="16" t="s">
        <v>1305</v>
      </c>
      <c r="C37" s="16" t="s">
        <v>267</v>
      </c>
      <c r="D37" s="16" t="s">
        <v>212</v>
      </c>
      <c r="E37" s="16" t="s">
        <v>62</v>
      </c>
      <c r="F37" s="16" t="s">
        <v>1353</v>
      </c>
      <c r="G37" s="16" t="s">
        <v>71</v>
      </c>
      <c r="H37" s="16" t="s">
        <v>26</v>
      </c>
      <c r="I37" s="16" t="s">
        <v>63</v>
      </c>
      <c r="J37" s="16" t="s">
        <v>27</v>
      </c>
      <c r="K37" s="16" t="s">
        <v>1248</v>
      </c>
      <c r="L37" s="16" t="s">
        <v>75</v>
      </c>
      <c r="M37" s="17">
        <v>400</v>
      </c>
      <c r="N37" s="23">
        <v>1.31</v>
      </c>
      <c r="O37" s="16" t="s">
        <v>67</v>
      </c>
      <c r="P37" s="16" t="s">
        <v>29</v>
      </c>
      <c r="Q37" s="16" t="s">
        <v>29</v>
      </c>
      <c r="R37" s="16" t="s">
        <v>29</v>
      </c>
      <c r="S37" s="13">
        <v>45826</v>
      </c>
      <c r="T37" s="13">
        <v>45826</v>
      </c>
      <c r="U37" s="19"/>
      <c r="V37" s="53">
        <f>M37-U37-Y37-AA37</f>
        <v>-3</v>
      </c>
      <c r="W37" s="22" t="s">
        <v>1306</v>
      </c>
      <c r="X37" s="16" t="s">
        <v>288</v>
      </c>
      <c r="Y37" s="19">
        <v>403</v>
      </c>
      <c r="Z37" s="14">
        <v>45828</v>
      </c>
    </row>
    <row r="38" spans="1:28" s="28" customFormat="1" ht="20.25" hidden="1" customHeight="1">
      <c r="A38" s="11">
        <v>45812</v>
      </c>
      <c r="B38" s="16" t="s">
        <v>1307</v>
      </c>
      <c r="C38" s="16" t="s">
        <v>267</v>
      </c>
      <c r="D38" s="16" t="s">
        <v>212</v>
      </c>
      <c r="E38" s="16" t="s">
        <v>62</v>
      </c>
      <c r="F38" s="16" t="s">
        <v>1308</v>
      </c>
      <c r="G38" s="16" t="s">
        <v>71</v>
      </c>
      <c r="H38" s="16" t="s">
        <v>26</v>
      </c>
      <c r="I38" s="16" t="s">
        <v>63</v>
      </c>
      <c r="J38" s="16" t="s">
        <v>27</v>
      </c>
      <c r="K38" s="16" t="s">
        <v>1070</v>
      </c>
      <c r="L38" s="16" t="s">
        <v>75</v>
      </c>
      <c r="M38" s="17">
        <v>256</v>
      </c>
      <c r="N38" s="23">
        <v>1.31</v>
      </c>
      <c r="O38" s="16" t="s">
        <v>67</v>
      </c>
      <c r="P38" s="16" t="s">
        <v>29</v>
      </c>
      <c r="Q38" s="16" t="s">
        <v>29</v>
      </c>
      <c r="R38" s="16" t="s">
        <v>29</v>
      </c>
      <c r="S38" s="13">
        <v>45826</v>
      </c>
      <c r="T38" s="13">
        <v>45826</v>
      </c>
      <c r="U38" s="19"/>
      <c r="V38" s="53">
        <f>M38-U38-Y38-AA38</f>
        <v>-3.3000000000000114</v>
      </c>
      <c r="W38" s="22" t="s">
        <v>1309</v>
      </c>
      <c r="X38" s="16" t="s">
        <v>342</v>
      </c>
      <c r="Y38" s="19">
        <v>259.3</v>
      </c>
      <c r="Z38" s="14">
        <v>45828</v>
      </c>
    </row>
    <row r="39" spans="1:28" s="28" customFormat="1" ht="20.25" hidden="1" customHeight="1">
      <c r="A39" s="11">
        <v>45812</v>
      </c>
      <c r="B39" s="16" t="s">
        <v>1310</v>
      </c>
      <c r="C39" s="16" t="s">
        <v>267</v>
      </c>
      <c r="D39" s="16" t="s">
        <v>212</v>
      </c>
      <c r="E39" s="16" t="s">
        <v>62</v>
      </c>
      <c r="F39" s="16" t="s">
        <v>1311</v>
      </c>
      <c r="G39" s="16" t="s">
        <v>71</v>
      </c>
      <c r="H39" s="16" t="s">
        <v>26</v>
      </c>
      <c r="I39" s="16" t="s">
        <v>63</v>
      </c>
      <c r="J39" s="16" t="s">
        <v>27</v>
      </c>
      <c r="K39" s="16" t="s">
        <v>340</v>
      </c>
      <c r="L39" s="16" t="s">
        <v>75</v>
      </c>
      <c r="M39" s="17">
        <v>37</v>
      </c>
      <c r="N39" s="23">
        <v>1.31</v>
      </c>
      <c r="O39" s="16" t="s">
        <v>67</v>
      </c>
      <c r="P39" s="16" t="s">
        <v>29</v>
      </c>
      <c r="Q39" s="16" t="s">
        <v>29</v>
      </c>
      <c r="R39" s="16" t="s">
        <v>29</v>
      </c>
      <c r="S39" s="13">
        <v>45826</v>
      </c>
      <c r="T39" s="13">
        <v>45826</v>
      </c>
      <c r="U39" s="19"/>
      <c r="V39" s="53">
        <f>M39-U39-Y39-AA39</f>
        <v>-0.29999999999999716</v>
      </c>
      <c r="W39" s="22" t="s">
        <v>1312</v>
      </c>
      <c r="X39" s="16" t="s">
        <v>342</v>
      </c>
      <c r="Y39" s="19">
        <v>37.299999999999997</v>
      </c>
      <c r="Z39" s="14">
        <v>45828</v>
      </c>
    </row>
    <row r="40" spans="1:28" s="29" customFormat="1" ht="20.25" hidden="1" customHeight="1">
      <c r="A40" s="11">
        <v>45820</v>
      </c>
      <c r="B40" s="16" t="s">
        <v>1376</v>
      </c>
      <c r="C40" s="16" t="s">
        <v>243</v>
      </c>
      <c r="D40" s="16" t="s">
        <v>212</v>
      </c>
      <c r="E40" s="16" t="s">
        <v>62</v>
      </c>
      <c r="F40" s="16" t="s">
        <v>1377</v>
      </c>
      <c r="G40" s="16" t="s">
        <v>71</v>
      </c>
      <c r="H40" s="16" t="s">
        <v>26</v>
      </c>
      <c r="I40" s="16" t="s">
        <v>63</v>
      </c>
      <c r="J40" s="16" t="s">
        <v>27</v>
      </c>
      <c r="K40" s="16" t="s">
        <v>1378</v>
      </c>
      <c r="L40" s="16" t="s">
        <v>75</v>
      </c>
      <c r="M40" s="17">
        <v>304</v>
      </c>
      <c r="N40" s="23">
        <v>1.31</v>
      </c>
      <c r="O40" s="16" t="s">
        <v>67</v>
      </c>
      <c r="P40" s="16" t="s">
        <v>29</v>
      </c>
      <c r="Q40" s="16" t="s">
        <v>461</v>
      </c>
      <c r="R40" s="16" t="s">
        <v>460</v>
      </c>
      <c r="S40" s="13">
        <v>45834</v>
      </c>
      <c r="T40" s="13">
        <v>45834</v>
      </c>
      <c r="U40" s="19"/>
      <c r="V40" s="53">
        <f>M40-U40-Y40-AA40</f>
        <v>-7.6999999999999886</v>
      </c>
      <c r="W40" s="22" t="s">
        <v>1379</v>
      </c>
      <c r="X40" s="16" t="s">
        <v>29</v>
      </c>
      <c r="Y40" s="19">
        <v>311.7</v>
      </c>
      <c r="Z40" s="24">
        <v>45821</v>
      </c>
    </row>
    <row r="41" spans="1:28" s="36" customFormat="1" ht="20.25" hidden="1" customHeight="1">
      <c r="A41" s="7">
        <v>45831</v>
      </c>
      <c r="B41" s="19" t="s">
        <v>1446</v>
      </c>
      <c r="C41" s="19" t="s">
        <v>304</v>
      </c>
      <c r="D41" s="19" t="s">
        <v>212</v>
      </c>
      <c r="E41" s="19" t="s">
        <v>62</v>
      </c>
      <c r="F41" s="19" t="s">
        <v>1447</v>
      </c>
      <c r="G41" s="19" t="s">
        <v>71</v>
      </c>
      <c r="H41" s="19" t="s">
        <v>26</v>
      </c>
      <c r="I41" s="19" t="s">
        <v>63</v>
      </c>
      <c r="J41" s="19" t="s">
        <v>27</v>
      </c>
      <c r="K41" s="19" t="s">
        <v>218</v>
      </c>
      <c r="L41" s="19" t="s">
        <v>75</v>
      </c>
      <c r="M41" s="20">
        <v>49</v>
      </c>
      <c r="N41" s="25">
        <v>1.29</v>
      </c>
      <c r="O41" s="19" t="s">
        <v>1063</v>
      </c>
      <c r="P41" s="19" t="s">
        <v>29</v>
      </c>
      <c r="Q41" s="19" t="s">
        <v>29</v>
      </c>
      <c r="R41" s="19" t="s">
        <v>29</v>
      </c>
      <c r="S41" s="8">
        <v>45845</v>
      </c>
      <c r="T41" s="8">
        <v>45845</v>
      </c>
      <c r="U41" s="19"/>
      <c r="V41" s="55">
        <f>M41-U41-Y41-AA41</f>
        <v>-1.7999999999999972</v>
      </c>
      <c r="W41" s="15" t="s">
        <v>1448</v>
      </c>
      <c r="X41" s="19" t="s">
        <v>511</v>
      </c>
      <c r="Y41" s="19">
        <v>50.8</v>
      </c>
      <c r="Z41" s="18">
        <v>45870</v>
      </c>
    </row>
    <row r="42" spans="1:28" s="36" customFormat="1" ht="20.25" hidden="1" customHeight="1">
      <c r="A42" s="7">
        <v>45831</v>
      </c>
      <c r="B42" s="19" t="s">
        <v>1449</v>
      </c>
      <c r="C42" s="19" t="s">
        <v>304</v>
      </c>
      <c r="D42" s="19" t="s">
        <v>212</v>
      </c>
      <c r="E42" s="19" t="s">
        <v>62</v>
      </c>
      <c r="F42" s="19" t="s">
        <v>1450</v>
      </c>
      <c r="G42" s="19" t="s">
        <v>71</v>
      </c>
      <c r="H42" s="19" t="s">
        <v>31</v>
      </c>
      <c r="I42" s="19" t="s">
        <v>63</v>
      </c>
      <c r="J42" s="19" t="s">
        <v>27</v>
      </c>
      <c r="K42" s="19" t="s">
        <v>250</v>
      </c>
      <c r="L42" s="19" t="s">
        <v>75</v>
      </c>
      <c r="M42" s="20">
        <v>148</v>
      </c>
      <c r="N42" s="25">
        <v>1.29</v>
      </c>
      <c r="O42" s="19" t="s">
        <v>67</v>
      </c>
      <c r="P42" s="19" t="s">
        <v>29</v>
      </c>
      <c r="Q42" s="19" t="s">
        <v>29</v>
      </c>
      <c r="R42" s="19" t="s">
        <v>29</v>
      </c>
      <c r="S42" s="8">
        <v>45845</v>
      </c>
      <c r="T42" s="8">
        <v>45845</v>
      </c>
      <c r="U42" s="19"/>
      <c r="V42" s="55">
        <f>M42-U42-Y42-AA42</f>
        <v>-2</v>
      </c>
      <c r="W42" s="15" t="s">
        <v>1451</v>
      </c>
      <c r="X42" s="19" t="s">
        <v>409</v>
      </c>
      <c r="Y42" s="19">
        <v>150</v>
      </c>
      <c r="Z42" s="18">
        <v>45876</v>
      </c>
    </row>
    <row r="43" spans="1:28" s="28" customFormat="1" ht="20.25" hidden="1" customHeight="1">
      <c r="A43" s="11">
        <v>45833</v>
      </c>
      <c r="B43" s="16" t="s">
        <v>1474</v>
      </c>
      <c r="C43" s="16" t="s">
        <v>304</v>
      </c>
      <c r="D43" s="16" t="s">
        <v>212</v>
      </c>
      <c r="E43" s="16" t="s">
        <v>62</v>
      </c>
      <c r="F43" s="16" t="s">
        <v>1475</v>
      </c>
      <c r="G43" s="16" t="s">
        <v>71</v>
      </c>
      <c r="H43" s="16" t="s">
        <v>31</v>
      </c>
      <c r="I43" s="16" t="s">
        <v>63</v>
      </c>
      <c r="J43" s="16" t="s">
        <v>27</v>
      </c>
      <c r="K43" s="16" t="s">
        <v>1476</v>
      </c>
      <c r="L43" s="16" t="s">
        <v>75</v>
      </c>
      <c r="M43" s="17">
        <v>460</v>
      </c>
      <c r="N43" s="23">
        <v>1.3</v>
      </c>
      <c r="O43" s="16" t="s">
        <v>1063</v>
      </c>
      <c r="P43" s="16" t="s">
        <v>29</v>
      </c>
      <c r="Q43" s="16" t="s">
        <v>29</v>
      </c>
      <c r="R43" s="16" t="s">
        <v>29</v>
      </c>
      <c r="S43" s="12" t="s">
        <v>1467</v>
      </c>
      <c r="T43" s="13">
        <v>45847</v>
      </c>
      <c r="U43" s="19"/>
      <c r="V43" s="53">
        <f>M43-U43-Y43-AA43</f>
        <v>-0.60000000000002274</v>
      </c>
      <c r="W43" s="22" t="s">
        <v>1477</v>
      </c>
      <c r="X43" s="16" t="s">
        <v>506</v>
      </c>
      <c r="Y43" s="19">
        <v>460.6</v>
      </c>
      <c r="Z43" s="14">
        <v>45861</v>
      </c>
    </row>
    <row r="44" spans="1:28" s="28" customFormat="1" ht="20.25" hidden="1" customHeight="1">
      <c r="A44" s="11">
        <v>45833</v>
      </c>
      <c r="B44" s="16" t="s">
        <v>1478</v>
      </c>
      <c r="C44" s="16" t="s">
        <v>267</v>
      </c>
      <c r="D44" s="16" t="s">
        <v>212</v>
      </c>
      <c r="E44" s="16" t="s">
        <v>62</v>
      </c>
      <c r="F44" s="16" t="s">
        <v>1479</v>
      </c>
      <c r="G44" s="16" t="s">
        <v>71</v>
      </c>
      <c r="H44" s="16" t="s">
        <v>26</v>
      </c>
      <c r="I44" s="16" t="s">
        <v>63</v>
      </c>
      <c r="J44" s="16" t="s">
        <v>27</v>
      </c>
      <c r="K44" s="16" t="s">
        <v>1414</v>
      </c>
      <c r="L44" s="16" t="s">
        <v>75</v>
      </c>
      <c r="M44" s="17">
        <v>500</v>
      </c>
      <c r="N44" s="23">
        <v>1.3</v>
      </c>
      <c r="O44" s="16" t="s">
        <v>67</v>
      </c>
      <c r="P44" s="16" t="s">
        <v>29</v>
      </c>
      <c r="Q44" s="16" t="s">
        <v>29</v>
      </c>
      <c r="R44" s="16" t="s">
        <v>29</v>
      </c>
      <c r="S44" s="12" t="s">
        <v>1467</v>
      </c>
      <c r="T44" s="13">
        <v>45847</v>
      </c>
      <c r="U44" s="19"/>
      <c r="V44" s="53">
        <f>M44-U44-Y44-AA44</f>
        <v>-3.1999999999999886</v>
      </c>
      <c r="W44" s="22" t="s">
        <v>1480</v>
      </c>
      <c r="X44" s="16" t="s">
        <v>288</v>
      </c>
      <c r="Y44" s="80">
        <v>503.2</v>
      </c>
      <c r="Z44" s="32">
        <v>45841</v>
      </c>
    </row>
    <row r="45" spans="1:28" s="28" customFormat="1" ht="20.25" hidden="1" customHeight="1">
      <c r="A45" s="11">
        <v>45833</v>
      </c>
      <c r="B45" s="16" t="s">
        <v>1481</v>
      </c>
      <c r="C45" s="16" t="s">
        <v>267</v>
      </c>
      <c r="D45" s="16" t="s">
        <v>212</v>
      </c>
      <c r="E45" s="16" t="s">
        <v>62</v>
      </c>
      <c r="F45" s="16" t="s">
        <v>1482</v>
      </c>
      <c r="G45" s="16" t="s">
        <v>71</v>
      </c>
      <c r="H45" s="16" t="s">
        <v>26</v>
      </c>
      <c r="I45" s="16" t="s">
        <v>63</v>
      </c>
      <c r="J45" s="16" t="s">
        <v>27</v>
      </c>
      <c r="K45" s="16" t="s">
        <v>1008</v>
      </c>
      <c r="L45" s="16" t="s">
        <v>75</v>
      </c>
      <c r="M45" s="17">
        <v>1340</v>
      </c>
      <c r="N45" s="23">
        <v>1.3</v>
      </c>
      <c r="O45" s="16" t="s">
        <v>67</v>
      </c>
      <c r="P45" s="16" t="s">
        <v>29</v>
      </c>
      <c r="Q45" s="16" t="s">
        <v>29</v>
      </c>
      <c r="R45" s="16" t="s">
        <v>29</v>
      </c>
      <c r="S45" s="12" t="s">
        <v>1467</v>
      </c>
      <c r="T45" s="13">
        <v>45847</v>
      </c>
      <c r="U45" s="19"/>
      <c r="V45" s="53">
        <f>M45-U45-Y45-AA45</f>
        <v>-1.2999999999999545</v>
      </c>
      <c r="W45" s="22" t="s">
        <v>1483</v>
      </c>
      <c r="X45" s="16" t="s">
        <v>288</v>
      </c>
      <c r="Y45" s="19">
        <v>1341.3</v>
      </c>
      <c r="Z45" s="14">
        <v>45841</v>
      </c>
    </row>
    <row r="46" spans="1:28" s="28" customFormat="1" ht="20.25" hidden="1" customHeight="1">
      <c r="A46" s="11">
        <v>45833</v>
      </c>
      <c r="B46" s="16" t="s">
        <v>1484</v>
      </c>
      <c r="C46" s="16" t="s">
        <v>267</v>
      </c>
      <c r="D46" s="16" t="s">
        <v>212</v>
      </c>
      <c r="E46" s="16" t="s">
        <v>62</v>
      </c>
      <c r="F46" s="16" t="s">
        <v>1485</v>
      </c>
      <c r="G46" s="16" t="s">
        <v>71</v>
      </c>
      <c r="H46" s="16" t="s">
        <v>26</v>
      </c>
      <c r="I46" s="16" t="s">
        <v>63</v>
      </c>
      <c r="J46" s="16" t="s">
        <v>27</v>
      </c>
      <c r="K46" s="16" t="s">
        <v>1008</v>
      </c>
      <c r="L46" s="16" t="s">
        <v>75</v>
      </c>
      <c r="M46" s="17">
        <v>226</v>
      </c>
      <c r="N46" s="23">
        <v>1.3</v>
      </c>
      <c r="O46" s="16" t="s">
        <v>67</v>
      </c>
      <c r="P46" s="16" t="s">
        <v>29</v>
      </c>
      <c r="Q46" s="16" t="s">
        <v>29</v>
      </c>
      <c r="R46" s="16" t="s">
        <v>29</v>
      </c>
      <c r="S46" s="12" t="s">
        <v>1467</v>
      </c>
      <c r="T46" s="13">
        <v>45847</v>
      </c>
      <c r="U46" s="19"/>
      <c r="V46" s="53">
        <f>M46-U46-Y46-AA46</f>
        <v>-0.5</v>
      </c>
      <c r="W46" s="22" t="s">
        <v>1486</v>
      </c>
      <c r="X46" s="16" t="s">
        <v>288</v>
      </c>
      <c r="Y46" s="19">
        <v>226.5</v>
      </c>
      <c r="Z46" s="14">
        <v>45841</v>
      </c>
    </row>
    <row r="47" spans="1:28" s="28" customFormat="1" ht="20.25" hidden="1" customHeight="1">
      <c r="A47" s="11">
        <v>45846</v>
      </c>
      <c r="B47" s="16" t="s">
        <v>1675</v>
      </c>
      <c r="C47" s="16" t="s">
        <v>267</v>
      </c>
      <c r="D47" s="16" t="s">
        <v>212</v>
      </c>
      <c r="E47" s="16" t="s">
        <v>62</v>
      </c>
      <c r="F47" s="16" t="s">
        <v>1676</v>
      </c>
      <c r="G47" s="16" t="s">
        <v>71</v>
      </c>
      <c r="H47" s="16" t="s">
        <v>26</v>
      </c>
      <c r="I47" s="16" t="s">
        <v>63</v>
      </c>
      <c r="J47" s="16" t="s">
        <v>27</v>
      </c>
      <c r="K47" s="16" t="s">
        <v>1677</v>
      </c>
      <c r="L47" s="16" t="s">
        <v>75</v>
      </c>
      <c r="M47" s="17">
        <v>72.900000000000006</v>
      </c>
      <c r="N47" s="23">
        <v>1.29</v>
      </c>
      <c r="O47" s="16" t="s">
        <v>67</v>
      </c>
      <c r="P47" s="16" t="s">
        <v>29</v>
      </c>
      <c r="Q47" s="16" t="s">
        <v>29</v>
      </c>
      <c r="R47" s="16" t="s">
        <v>29</v>
      </c>
      <c r="S47" s="12" t="s">
        <v>1561</v>
      </c>
      <c r="T47" s="13">
        <v>45861</v>
      </c>
      <c r="U47" s="19"/>
      <c r="V47" s="53">
        <f>M47-U47-Y47-AA47</f>
        <v>-1.7999999999999901</v>
      </c>
      <c r="W47" s="22" t="s">
        <v>1678</v>
      </c>
      <c r="X47" s="16" t="s">
        <v>288</v>
      </c>
      <c r="Y47" s="19">
        <v>37.9</v>
      </c>
      <c r="Z47" s="252">
        <v>45866</v>
      </c>
      <c r="AA47" s="19">
        <v>36.799999999999997</v>
      </c>
      <c r="AB47" s="252">
        <v>45882</v>
      </c>
    </row>
    <row r="48" spans="1:28" s="28" customFormat="1" ht="20.25" hidden="1" customHeight="1">
      <c r="A48" s="11">
        <v>45846</v>
      </c>
      <c r="B48" s="16" t="s">
        <v>1679</v>
      </c>
      <c r="C48" s="16" t="s">
        <v>267</v>
      </c>
      <c r="D48" s="16" t="s">
        <v>212</v>
      </c>
      <c r="E48" s="16" t="s">
        <v>62</v>
      </c>
      <c r="F48" s="16" t="s">
        <v>1680</v>
      </c>
      <c r="G48" s="16" t="s">
        <v>71</v>
      </c>
      <c r="H48" s="16" t="s">
        <v>26</v>
      </c>
      <c r="I48" s="16" t="s">
        <v>63</v>
      </c>
      <c r="J48" s="16" t="s">
        <v>27</v>
      </c>
      <c r="K48" s="16" t="s">
        <v>1677</v>
      </c>
      <c r="L48" s="16" t="s">
        <v>75</v>
      </c>
      <c r="M48" s="17">
        <v>120</v>
      </c>
      <c r="N48" s="23">
        <v>1.29</v>
      </c>
      <c r="O48" s="16" t="s">
        <v>67</v>
      </c>
      <c r="P48" s="16" t="s">
        <v>29</v>
      </c>
      <c r="Q48" s="16" t="s">
        <v>29</v>
      </c>
      <c r="R48" s="16" t="s">
        <v>29</v>
      </c>
      <c r="S48" s="12" t="s">
        <v>1561</v>
      </c>
      <c r="T48" s="13">
        <v>45861</v>
      </c>
      <c r="U48" s="19"/>
      <c r="V48" s="53">
        <f>M48-U48-Y48-AA48</f>
        <v>-4.2999999999999972</v>
      </c>
      <c r="W48" s="22" t="s">
        <v>1681</v>
      </c>
      <c r="X48" s="16" t="s">
        <v>288</v>
      </c>
      <c r="Y48" s="19">
        <v>124.3</v>
      </c>
      <c r="Z48" s="252">
        <v>45882</v>
      </c>
    </row>
    <row r="49" spans="1:28" s="28" customFormat="1" ht="20.25" hidden="1" customHeight="1">
      <c r="A49" s="11">
        <v>45846</v>
      </c>
      <c r="B49" s="16" t="s">
        <v>1682</v>
      </c>
      <c r="C49" s="16" t="s">
        <v>267</v>
      </c>
      <c r="D49" s="16" t="s">
        <v>212</v>
      </c>
      <c r="E49" s="16" t="s">
        <v>62</v>
      </c>
      <c r="F49" s="16" t="s">
        <v>1683</v>
      </c>
      <c r="G49" s="16" t="s">
        <v>71</v>
      </c>
      <c r="H49" s="16" t="s">
        <v>31</v>
      </c>
      <c r="I49" s="16" t="s">
        <v>63</v>
      </c>
      <c r="J49" s="16" t="s">
        <v>27</v>
      </c>
      <c r="K49" s="16" t="s">
        <v>218</v>
      </c>
      <c r="L49" s="16" t="s">
        <v>75</v>
      </c>
      <c r="M49" s="17">
        <v>34</v>
      </c>
      <c r="N49" s="23">
        <v>1.29</v>
      </c>
      <c r="O49" s="16" t="s">
        <v>1063</v>
      </c>
      <c r="P49" s="16" t="s">
        <v>29</v>
      </c>
      <c r="Q49" s="16" t="s">
        <v>29</v>
      </c>
      <c r="R49" s="16" t="s">
        <v>29</v>
      </c>
      <c r="S49" s="12" t="s">
        <v>1561</v>
      </c>
      <c r="T49" s="13">
        <v>45861</v>
      </c>
      <c r="U49" s="19"/>
      <c r="V49" s="53">
        <f>M49-U49-Y49-AA49</f>
        <v>-1.6000000000000014</v>
      </c>
      <c r="W49" s="22" t="s">
        <v>1684</v>
      </c>
      <c r="X49" s="16" t="s">
        <v>594</v>
      </c>
      <c r="Y49" s="19">
        <v>35.6</v>
      </c>
      <c r="Z49" s="252">
        <v>45866</v>
      </c>
    </row>
    <row r="50" spans="1:28" s="36" customFormat="1" ht="20.25" hidden="1" customHeight="1">
      <c r="A50" s="7">
        <v>45846</v>
      </c>
      <c r="B50" s="19" t="s">
        <v>1685</v>
      </c>
      <c r="C50" s="19" t="s">
        <v>267</v>
      </c>
      <c r="D50" s="19" t="s">
        <v>212</v>
      </c>
      <c r="E50" s="19" t="s">
        <v>62</v>
      </c>
      <c r="F50" s="19" t="s">
        <v>1686</v>
      </c>
      <c r="G50" s="19" t="s">
        <v>71</v>
      </c>
      <c r="H50" s="19" t="s">
        <v>26</v>
      </c>
      <c r="I50" s="19" t="s">
        <v>63</v>
      </c>
      <c r="J50" s="19" t="s">
        <v>27</v>
      </c>
      <c r="K50" s="19" t="s">
        <v>1687</v>
      </c>
      <c r="L50" s="19" t="s">
        <v>75</v>
      </c>
      <c r="M50" s="20">
        <v>455</v>
      </c>
      <c r="N50" s="25">
        <v>1.29</v>
      </c>
      <c r="O50" s="19" t="s">
        <v>67</v>
      </c>
      <c r="P50" s="19" t="s">
        <v>29</v>
      </c>
      <c r="Q50" s="19" t="s">
        <v>29</v>
      </c>
      <c r="R50" s="19" t="s">
        <v>29</v>
      </c>
      <c r="S50" s="45" t="s">
        <v>1561</v>
      </c>
      <c r="T50" s="8">
        <v>45861</v>
      </c>
      <c r="U50" s="19"/>
      <c r="V50" s="55">
        <f>M50-U50-Y50-AA50</f>
        <v>-0.10000000000002274</v>
      </c>
      <c r="W50" s="15" t="s">
        <v>1688</v>
      </c>
      <c r="X50" s="19" t="s">
        <v>342</v>
      </c>
      <c r="Y50" s="19">
        <v>55.6</v>
      </c>
      <c r="Z50" s="123">
        <v>45866</v>
      </c>
      <c r="AA50" s="19">
        <f>289.6+109.9</f>
        <v>399.5</v>
      </c>
      <c r="AB50" s="123">
        <v>45876</v>
      </c>
    </row>
    <row r="51" spans="1:28" s="28" customFormat="1" ht="20.25" hidden="1" customHeight="1">
      <c r="A51" s="11">
        <v>45846</v>
      </c>
      <c r="B51" s="16" t="s">
        <v>1689</v>
      </c>
      <c r="C51" s="16" t="s">
        <v>267</v>
      </c>
      <c r="D51" s="16" t="s">
        <v>212</v>
      </c>
      <c r="E51" s="16" t="s">
        <v>62</v>
      </c>
      <c r="F51" s="16" t="s">
        <v>1690</v>
      </c>
      <c r="G51" s="16" t="s">
        <v>71</v>
      </c>
      <c r="H51" s="16" t="s">
        <v>26</v>
      </c>
      <c r="I51" s="16" t="s">
        <v>63</v>
      </c>
      <c r="J51" s="16" t="s">
        <v>27</v>
      </c>
      <c r="K51" s="16" t="s">
        <v>239</v>
      </c>
      <c r="L51" s="16" t="s">
        <v>75</v>
      </c>
      <c r="M51" s="17">
        <v>950</v>
      </c>
      <c r="N51" s="23">
        <v>1.29</v>
      </c>
      <c r="O51" s="16" t="s">
        <v>1063</v>
      </c>
      <c r="P51" s="16" t="s">
        <v>29</v>
      </c>
      <c r="Q51" s="16" t="s">
        <v>29</v>
      </c>
      <c r="R51" s="16" t="s">
        <v>29</v>
      </c>
      <c r="S51" s="12" t="s">
        <v>1561</v>
      </c>
      <c r="T51" s="13">
        <v>45861</v>
      </c>
      <c r="U51" s="19"/>
      <c r="V51" s="53">
        <f>M51-U51-Y51-AA51</f>
        <v>0</v>
      </c>
      <c r="W51" s="22" t="s">
        <v>1691</v>
      </c>
      <c r="X51" s="16" t="s">
        <v>431</v>
      </c>
      <c r="Y51" s="19">
        <v>950</v>
      </c>
      <c r="Z51" s="252">
        <v>45866</v>
      </c>
    </row>
    <row r="52" spans="1:28" s="36" customFormat="1" ht="20.25" hidden="1" customHeight="1">
      <c r="A52" s="7">
        <v>45846</v>
      </c>
      <c r="B52" s="19" t="s">
        <v>1692</v>
      </c>
      <c r="C52" s="19" t="s">
        <v>267</v>
      </c>
      <c r="D52" s="19" t="s">
        <v>212</v>
      </c>
      <c r="E52" s="19" t="s">
        <v>62</v>
      </c>
      <c r="F52" s="19" t="s">
        <v>1693</v>
      </c>
      <c r="G52" s="19" t="s">
        <v>71</v>
      </c>
      <c r="H52" s="19" t="s">
        <v>26</v>
      </c>
      <c r="I52" s="19" t="s">
        <v>63</v>
      </c>
      <c r="J52" s="19" t="s">
        <v>27</v>
      </c>
      <c r="K52" s="19" t="s">
        <v>218</v>
      </c>
      <c r="L52" s="19" t="s">
        <v>75</v>
      </c>
      <c r="M52" s="20">
        <v>570</v>
      </c>
      <c r="N52" s="25">
        <v>1.29</v>
      </c>
      <c r="O52" s="19" t="s">
        <v>1063</v>
      </c>
      <c r="P52" s="19" t="s">
        <v>29</v>
      </c>
      <c r="Q52" s="19" t="s">
        <v>29</v>
      </c>
      <c r="R52" s="19" t="s">
        <v>29</v>
      </c>
      <c r="S52" s="45" t="s">
        <v>1561</v>
      </c>
      <c r="T52" s="8">
        <v>45861</v>
      </c>
      <c r="U52" s="19"/>
      <c r="V52" s="55">
        <f>M52-U52-Y52-AA52</f>
        <v>-3.4999999999999716</v>
      </c>
      <c r="W52" s="15" t="s">
        <v>1694</v>
      </c>
      <c r="X52" s="19" t="s">
        <v>431</v>
      </c>
      <c r="Y52" s="19">
        <v>408.9</v>
      </c>
      <c r="Z52" s="123">
        <v>45866</v>
      </c>
      <c r="AA52" s="19">
        <v>164.6</v>
      </c>
      <c r="AB52" s="123">
        <v>45870</v>
      </c>
    </row>
    <row r="53" spans="1:28" s="28" customFormat="1" ht="20.25" hidden="1" customHeight="1">
      <c r="A53" s="11">
        <v>45846</v>
      </c>
      <c r="B53" s="16" t="s">
        <v>1695</v>
      </c>
      <c r="C53" s="16" t="s">
        <v>267</v>
      </c>
      <c r="D53" s="16" t="s">
        <v>212</v>
      </c>
      <c r="E53" s="16" t="s">
        <v>62</v>
      </c>
      <c r="F53" s="16" t="s">
        <v>1696</v>
      </c>
      <c r="G53" s="16" t="s">
        <v>71</v>
      </c>
      <c r="H53" s="16" t="s">
        <v>26</v>
      </c>
      <c r="I53" s="16" t="s">
        <v>63</v>
      </c>
      <c r="J53" s="16" t="s">
        <v>27</v>
      </c>
      <c r="K53" s="16" t="s">
        <v>218</v>
      </c>
      <c r="L53" s="16" t="s">
        <v>75</v>
      </c>
      <c r="M53" s="17">
        <v>37</v>
      </c>
      <c r="N53" s="23">
        <v>1.29</v>
      </c>
      <c r="O53" s="16" t="s">
        <v>1063</v>
      </c>
      <c r="P53" s="16" t="s">
        <v>29</v>
      </c>
      <c r="Q53" s="16" t="s">
        <v>29</v>
      </c>
      <c r="R53" s="16" t="s">
        <v>29</v>
      </c>
      <c r="S53" s="12" t="s">
        <v>1561</v>
      </c>
      <c r="T53" s="13">
        <v>45861</v>
      </c>
      <c r="U53" s="19"/>
      <c r="V53" s="53">
        <f>M53-U53-Y53-AA53</f>
        <v>-0.60000000000000142</v>
      </c>
      <c r="W53" s="22" t="s">
        <v>1697</v>
      </c>
      <c r="X53" s="16" t="s">
        <v>431</v>
      </c>
      <c r="Y53" s="19">
        <v>37.6</v>
      </c>
      <c r="Z53" s="252">
        <v>45866</v>
      </c>
    </row>
    <row r="54" spans="1:28" s="28" customFormat="1" ht="20.25" hidden="1" customHeight="1">
      <c r="A54" s="11">
        <v>45847</v>
      </c>
      <c r="B54" s="16" t="s">
        <v>1699</v>
      </c>
      <c r="C54" s="16" t="s">
        <v>298</v>
      </c>
      <c r="D54" s="16" t="s">
        <v>212</v>
      </c>
      <c r="E54" s="16" t="s">
        <v>62</v>
      </c>
      <c r="F54" s="16" t="s">
        <v>1700</v>
      </c>
      <c r="G54" s="16" t="s">
        <v>71</v>
      </c>
      <c r="H54" s="16" t="s">
        <v>31</v>
      </c>
      <c r="I54" s="16" t="s">
        <v>63</v>
      </c>
      <c r="J54" s="16" t="s">
        <v>27</v>
      </c>
      <c r="K54" s="16" t="s">
        <v>975</v>
      </c>
      <c r="L54" s="16" t="s">
        <v>75</v>
      </c>
      <c r="M54" s="17">
        <v>247</v>
      </c>
      <c r="N54" s="23">
        <v>1.31</v>
      </c>
      <c r="O54" s="16" t="s">
        <v>67</v>
      </c>
      <c r="P54" s="16" t="s">
        <v>29</v>
      </c>
      <c r="Q54" s="16" t="s">
        <v>29</v>
      </c>
      <c r="R54" s="16" t="s">
        <v>1087</v>
      </c>
      <c r="S54" s="12" t="s">
        <v>1558</v>
      </c>
      <c r="T54" s="13">
        <v>45848</v>
      </c>
      <c r="U54" s="19"/>
      <c r="V54" s="53">
        <f>M54-U54-Y54-AA54</f>
        <v>0</v>
      </c>
      <c r="W54" s="22" t="s">
        <v>1701</v>
      </c>
      <c r="X54" s="16" t="s">
        <v>29</v>
      </c>
      <c r="Y54" s="28">
        <v>247</v>
      </c>
      <c r="Z54" s="252">
        <v>45848</v>
      </c>
    </row>
    <row r="55" spans="1:28" s="36" customFormat="1" ht="20.25" hidden="1" customHeight="1">
      <c r="A55" s="7">
        <v>45847</v>
      </c>
      <c r="B55" s="19" t="s">
        <v>1702</v>
      </c>
      <c r="C55" s="19" t="s">
        <v>304</v>
      </c>
      <c r="D55" s="19" t="s">
        <v>212</v>
      </c>
      <c r="E55" s="19" t="s">
        <v>62</v>
      </c>
      <c r="F55" s="19" t="s">
        <v>1703</v>
      </c>
      <c r="G55" s="19" t="s">
        <v>71</v>
      </c>
      <c r="H55" s="19" t="s">
        <v>26</v>
      </c>
      <c r="I55" s="19" t="s">
        <v>63</v>
      </c>
      <c r="J55" s="19" t="s">
        <v>27</v>
      </c>
      <c r="K55" s="19" t="s">
        <v>218</v>
      </c>
      <c r="L55" s="19" t="s">
        <v>75</v>
      </c>
      <c r="M55" s="20">
        <v>193</v>
      </c>
      <c r="N55" s="25">
        <v>1.29</v>
      </c>
      <c r="O55" s="19" t="s">
        <v>1063</v>
      </c>
      <c r="P55" s="19" t="s">
        <v>29</v>
      </c>
      <c r="Q55" s="19" t="s">
        <v>29</v>
      </c>
      <c r="R55" s="19" t="s">
        <v>29</v>
      </c>
      <c r="S55" s="45" t="s">
        <v>1558</v>
      </c>
      <c r="T55" s="8">
        <v>45861</v>
      </c>
      <c r="U55" s="19"/>
      <c r="V55" s="55">
        <f>M55-U55-Y55-AA55</f>
        <v>-0.40000000000000568</v>
      </c>
      <c r="W55" s="15" t="s">
        <v>1704</v>
      </c>
      <c r="X55" s="19" t="s">
        <v>511</v>
      </c>
      <c r="Y55" s="19">
        <v>193.4</v>
      </c>
      <c r="Z55" s="18">
        <v>45887</v>
      </c>
    </row>
    <row r="56" spans="1:28" s="36" customFormat="1" ht="20.25" hidden="1" customHeight="1">
      <c r="A56" s="7">
        <v>45847</v>
      </c>
      <c r="B56" s="19" t="s">
        <v>1705</v>
      </c>
      <c r="C56" s="19" t="s">
        <v>304</v>
      </c>
      <c r="D56" s="19" t="s">
        <v>212</v>
      </c>
      <c r="E56" s="19" t="s">
        <v>62</v>
      </c>
      <c r="F56" s="19" t="s">
        <v>1706</v>
      </c>
      <c r="G56" s="19" t="s">
        <v>71</v>
      </c>
      <c r="H56" s="19" t="s">
        <v>26</v>
      </c>
      <c r="I56" s="19" t="s">
        <v>63</v>
      </c>
      <c r="J56" s="19" t="s">
        <v>27</v>
      </c>
      <c r="K56" s="19" t="s">
        <v>218</v>
      </c>
      <c r="L56" s="19" t="s">
        <v>75</v>
      </c>
      <c r="M56" s="20">
        <v>121</v>
      </c>
      <c r="N56" s="25">
        <v>1.29</v>
      </c>
      <c r="O56" s="19" t="s">
        <v>1063</v>
      </c>
      <c r="P56" s="19" t="s">
        <v>29</v>
      </c>
      <c r="Q56" s="19" t="s">
        <v>29</v>
      </c>
      <c r="R56" s="19" t="s">
        <v>29</v>
      </c>
      <c r="S56" s="45" t="s">
        <v>1558</v>
      </c>
      <c r="T56" s="8">
        <v>45861</v>
      </c>
      <c r="U56" s="19"/>
      <c r="V56" s="55">
        <f>M56-U56-Y56-AA56</f>
        <v>0</v>
      </c>
      <c r="W56" s="15" t="s">
        <v>1707</v>
      </c>
      <c r="X56" s="19" t="s">
        <v>511</v>
      </c>
      <c r="Y56" s="19">
        <v>121</v>
      </c>
      <c r="Z56" s="18">
        <v>45870</v>
      </c>
    </row>
    <row r="57" spans="1:28" s="28" customFormat="1" ht="20.25" hidden="1" customHeight="1">
      <c r="A57" s="11">
        <v>45847</v>
      </c>
      <c r="B57" s="16" t="s">
        <v>1708</v>
      </c>
      <c r="C57" s="16" t="s">
        <v>304</v>
      </c>
      <c r="D57" s="16" t="s">
        <v>212</v>
      </c>
      <c r="E57" s="16" t="s">
        <v>62</v>
      </c>
      <c r="F57" s="16" t="s">
        <v>1709</v>
      </c>
      <c r="G57" s="16" t="s">
        <v>71</v>
      </c>
      <c r="H57" s="16" t="s">
        <v>26</v>
      </c>
      <c r="I57" s="16" t="s">
        <v>63</v>
      </c>
      <c r="J57" s="16" t="s">
        <v>27</v>
      </c>
      <c r="K57" s="16" t="s">
        <v>218</v>
      </c>
      <c r="L57" s="16" t="s">
        <v>75</v>
      </c>
      <c r="M57" s="17">
        <v>201</v>
      </c>
      <c r="N57" s="23">
        <v>1.29</v>
      </c>
      <c r="O57" s="16" t="s">
        <v>1063</v>
      </c>
      <c r="P57" s="16" t="s">
        <v>29</v>
      </c>
      <c r="Q57" s="16" t="s">
        <v>29</v>
      </c>
      <c r="R57" s="16" t="s">
        <v>29</v>
      </c>
      <c r="S57" s="12" t="s">
        <v>1558</v>
      </c>
      <c r="T57" s="13">
        <v>45861</v>
      </c>
      <c r="U57" s="19"/>
      <c r="V57" s="53">
        <f>M57-U57-Y57-AA57</f>
        <v>-1.5</v>
      </c>
      <c r="W57" s="22" t="s">
        <v>1710</v>
      </c>
      <c r="X57" s="16" t="s">
        <v>511</v>
      </c>
      <c r="Y57" s="19">
        <v>202.5</v>
      </c>
      <c r="Z57" s="14">
        <v>45852</v>
      </c>
    </row>
    <row r="58" spans="1:28" s="28" customFormat="1" ht="20.25" hidden="1" customHeight="1">
      <c r="A58" s="11">
        <v>45847</v>
      </c>
      <c r="B58" s="16" t="s">
        <v>1711</v>
      </c>
      <c r="C58" s="16" t="s">
        <v>304</v>
      </c>
      <c r="D58" s="16" t="s">
        <v>212</v>
      </c>
      <c r="E58" s="16" t="s">
        <v>62</v>
      </c>
      <c r="F58" s="16" t="s">
        <v>1712</v>
      </c>
      <c r="G58" s="16" t="s">
        <v>71</v>
      </c>
      <c r="H58" s="16" t="s">
        <v>31</v>
      </c>
      <c r="I58" s="16" t="s">
        <v>63</v>
      </c>
      <c r="J58" s="16" t="s">
        <v>27</v>
      </c>
      <c r="K58" s="16" t="s">
        <v>218</v>
      </c>
      <c r="L58" s="16" t="s">
        <v>75</v>
      </c>
      <c r="M58" s="17">
        <v>229</v>
      </c>
      <c r="N58" s="23">
        <v>1.29</v>
      </c>
      <c r="O58" s="16" t="s">
        <v>1063</v>
      </c>
      <c r="P58" s="16" t="s">
        <v>29</v>
      </c>
      <c r="Q58" s="16" t="s">
        <v>29</v>
      </c>
      <c r="R58" s="16" t="s">
        <v>29</v>
      </c>
      <c r="S58" s="12" t="s">
        <v>1558</v>
      </c>
      <c r="T58" s="13">
        <v>45861</v>
      </c>
      <c r="U58" s="19"/>
      <c r="V58" s="53">
        <f>M58-U58-Y58-AA58</f>
        <v>-0.19999999999998863</v>
      </c>
      <c r="W58" s="22" t="s">
        <v>1713</v>
      </c>
      <c r="X58" s="16" t="s">
        <v>506</v>
      </c>
      <c r="Y58" s="19">
        <v>229.2</v>
      </c>
      <c r="Z58" s="14">
        <v>45852</v>
      </c>
    </row>
    <row r="59" spans="1:28" s="36" customFormat="1" ht="20.25" hidden="1" customHeight="1">
      <c r="A59" s="7">
        <v>45854</v>
      </c>
      <c r="B59" s="19" t="s">
        <v>1761</v>
      </c>
      <c r="C59" s="19" t="s">
        <v>1568</v>
      </c>
      <c r="D59" s="19" t="s">
        <v>212</v>
      </c>
      <c r="E59" s="19" t="s">
        <v>62</v>
      </c>
      <c r="F59" s="19" t="s">
        <v>1762</v>
      </c>
      <c r="G59" s="19" t="s">
        <v>71</v>
      </c>
      <c r="H59" s="19" t="s">
        <v>26</v>
      </c>
      <c r="I59" s="19" t="s">
        <v>63</v>
      </c>
      <c r="J59" s="19" t="s">
        <v>27</v>
      </c>
      <c r="K59" s="19" t="s">
        <v>555</v>
      </c>
      <c r="L59" s="19" t="s">
        <v>35</v>
      </c>
      <c r="M59" s="20">
        <v>100</v>
      </c>
      <c r="N59" s="25">
        <v>1.31</v>
      </c>
      <c r="O59" s="19" t="s">
        <v>1063</v>
      </c>
      <c r="P59" s="19" t="s">
        <v>29</v>
      </c>
      <c r="Q59" s="19" t="s">
        <v>29</v>
      </c>
      <c r="R59" s="19" t="s">
        <v>29</v>
      </c>
      <c r="S59" s="45" t="s">
        <v>1698</v>
      </c>
      <c r="T59" s="8">
        <v>45868</v>
      </c>
      <c r="U59" s="19"/>
      <c r="V59" s="55">
        <f>M59-U59-Y59-AA59</f>
        <v>0</v>
      </c>
      <c r="W59" s="15" t="s">
        <v>1763</v>
      </c>
      <c r="X59" s="19"/>
      <c r="Y59" s="19">
        <v>100</v>
      </c>
      <c r="Z59" s="123">
        <v>45870</v>
      </c>
    </row>
    <row r="60" spans="1:28" s="36" customFormat="1" ht="20.25" hidden="1" customHeight="1">
      <c r="A60" s="7">
        <v>45854</v>
      </c>
      <c r="B60" s="19" t="s">
        <v>1761</v>
      </c>
      <c r="C60" s="19" t="s">
        <v>1568</v>
      </c>
      <c r="D60" s="19" t="s">
        <v>212</v>
      </c>
      <c r="E60" s="19" t="s">
        <v>62</v>
      </c>
      <c r="F60" s="19" t="s">
        <v>1762</v>
      </c>
      <c r="G60" s="19" t="s">
        <v>71</v>
      </c>
      <c r="H60" s="19" t="s">
        <v>26</v>
      </c>
      <c r="I60" s="19" t="s">
        <v>63</v>
      </c>
      <c r="J60" s="19" t="s">
        <v>27</v>
      </c>
      <c r="K60" s="19" t="s">
        <v>1070</v>
      </c>
      <c r="L60" s="19" t="s">
        <v>35</v>
      </c>
      <c r="M60" s="20">
        <v>220</v>
      </c>
      <c r="N60" s="25">
        <v>1.31</v>
      </c>
      <c r="O60" s="19" t="s">
        <v>67</v>
      </c>
      <c r="P60" s="19" t="s">
        <v>29</v>
      </c>
      <c r="Q60" s="19" t="s">
        <v>29</v>
      </c>
      <c r="R60" s="19" t="s">
        <v>29</v>
      </c>
      <c r="S60" s="45" t="s">
        <v>1698</v>
      </c>
      <c r="T60" s="8">
        <v>45868</v>
      </c>
      <c r="U60" s="19"/>
      <c r="V60" s="55">
        <f>M60-U60-Y60-AA60</f>
        <v>-2.3000000000000114</v>
      </c>
      <c r="W60" s="15" t="s">
        <v>1764</v>
      </c>
      <c r="X60" s="19"/>
      <c r="Y60" s="19">
        <v>222.3</v>
      </c>
      <c r="Z60" s="123">
        <v>45874</v>
      </c>
    </row>
    <row r="61" spans="1:28" s="36" customFormat="1" ht="20.25" hidden="1" customHeight="1">
      <c r="A61" s="7">
        <v>45854</v>
      </c>
      <c r="B61" s="19" t="s">
        <v>1761</v>
      </c>
      <c r="C61" s="19" t="s">
        <v>1568</v>
      </c>
      <c r="D61" s="19" t="s">
        <v>212</v>
      </c>
      <c r="E61" s="19" t="s">
        <v>62</v>
      </c>
      <c r="F61" s="19" t="s">
        <v>1762</v>
      </c>
      <c r="G61" s="19" t="s">
        <v>71</v>
      </c>
      <c r="H61" s="19" t="s">
        <v>26</v>
      </c>
      <c r="I61" s="19" t="s">
        <v>63</v>
      </c>
      <c r="J61" s="19" t="s">
        <v>27</v>
      </c>
      <c r="K61" s="19" t="s">
        <v>337</v>
      </c>
      <c r="L61" s="19" t="s">
        <v>35</v>
      </c>
      <c r="M61" s="20">
        <v>400</v>
      </c>
      <c r="N61" s="25">
        <v>1.31</v>
      </c>
      <c r="O61" s="19" t="s">
        <v>67</v>
      </c>
      <c r="P61" s="19" t="s">
        <v>29</v>
      </c>
      <c r="Q61" s="19" t="s">
        <v>29</v>
      </c>
      <c r="R61" s="19" t="s">
        <v>29</v>
      </c>
      <c r="S61" s="45" t="s">
        <v>1698</v>
      </c>
      <c r="T61" s="8">
        <v>45868</v>
      </c>
      <c r="U61" s="19"/>
      <c r="V61" s="55">
        <f>M61-U61-Y61-AA61</f>
        <v>-1.1000000000000227</v>
      </c>
      <c r="W61" s="15" t="s">
        <v>1765</v>
      </c>
      <c r="X61" s="19"/>
      <c r="Y61" s="19">
        <v>401.1</v>
      </c>
      <c r="Z61" s="123">
        <v>45874</v>
      </c>
    </row>
    <row r="62" spans="1:28" s="36" customFormat="1" ht="20.25" hidden="1" customHeight="1">
      <c r="A62" s="7">
        <v>45854</v>
      </c>
      <c r="B62" s="19" t="s">
        <v>1761</v>
      </c>
      <c r="C62" s="19" t="s">
        <v>1568</v>
      </c>
      <c r="D62" s="19" t="s">
        <v>212</v>
      </c>
      <c r="E62" s="19" t="s">
        <v>62</v>
      </c>
      <c r="F62" s="19" t="s">
        <v>1762</v>
      </c>
      <c r="G62" s="19" t="s">
        <v>71</v>
      </c>
      <c r="H62" s="19" t="s">
        <v>26</v>
      </c>
      <c r="I62" s="19" t="s">
        <v>63</v>
      </c>
      <c r="J62" s="19" t="s">
        <v>27</v>
      </c>
      <c r="K62" s="19" t="s">
        <v>218</v>
      </c>
      <c r="L62" s="19" t="s">
        <v>35</v>
      </c>
      <c r="M62" s="20">
        <v>2050</v>
      </c>
      <c r="N62" s="25">
        <v>1.31</v>
      </c>
      <c r="O62" s="19" t="s">
        <v>1063</v>
      </c>
      <c r="P62" s="19" t="s">
        <v>29</v>
      </c>
      <c r="Q62" s="19" t="s">
        <v>29</v>
      </c>
      <c r="R62" s="19" t="s">
        <v>29</v>
      </c>
      <c r="S62" s="45" t="s">
        <v>1698</v>
      </c>
      <c r="T62" s="8">
        <v>45868</v>
      </c>
      <c r="U62" s="19"/>
      <c r="V62" s="55">
        <f>M62-U62-Y62-AA62</f>
        <v>0</v>
      </c>
      <c r="W62" s="15" t="s">
        <v>1766</v>
      </c>
      <c r="X62" s="19"/>
      <c r="Y62" s="19">
        <v>2050</v>
      </c>
      <c r="Z62" s="123">
        <v>45870</v>
      </c>
    </row>
    <row r="63" spans="1:28" s="36" customFormat="1" ht="20.25" hidden="1" customHeight="1">
      <c r="A63" s="7">
        <v>45854</v>
      </c>
      <c r="B63" s="19" t="s">
        <v>1761</v>
      </c>
      <c r="C63" s="19" t="s">
        <v>1568</v>
      </c>
      <c r="D63" s="19" t="s">
        <v>212</v>
      </c>
      <c r="E63" s="19" t="s">
        <v>62</v>
      </c>
      <c r="F63" s="19" t="s">
        <v>1762</v>
      </c>
      <c r="G63" s="19" t="s">
        <v>71</v>
      </c>
      <c r="H63" s="19" t="s">
        <v>31</v>
      </c>
      <c r="I63" s="19" t="s">
        <v>63</v>
      </c>
      <c r="J63" s="19" t="s">
        <v>27</v>
      </c>
      <c r="K63" s="19" t="s">
        <v>598</v>
      </c>
      <c r="L63" s="19" t="s">
        <v>35</v>
      </c>
      <c r="M63" s="20">
        <v>21</v>
      </c>
      <c r="N63" s="25">
        <v>1.31</v>
      </c>
      <c r="O63" s="19" t="s">
        <v>67</v>
      </c>
      <c r="P63" s="19" t="s">
        <v>29</v>
      </c>
      <c r="Q63" s="19" t="s">
        <v>29</v>
      </c>
      <c r="R63" s="19" t="s">
        <v>29</v>
      </c>
      <c r="S63" s="45" t="s">
        <v>1698</v>
      </c>
      <c r="T63" s="8">
        <v>45868</v>
      </c>
      <c r="U63" s="19"/>
      <c r="V63" s="55">
        <f>M63-U63-Y63-AA63</f>
        <v>0</v>
      </c>
      <c r="W63" s="15" t="s">
        <v>1767</v>
      </c>
      <c r="X63" s="19"/>
      <c r="Y63" s="19">
        <v>21</v>
      </c>
      <c r="Z63" s="123">
        <v>45874</v>
      </c>
    </row>
    <row r="64" spans="1:28" s="36" customFormat="1" ht="20.25" hidden="1" customHeight="1">
      <c r="A64" s="7">
        <v>45859</v>
      </c>
      <c r="B64" s="19" t="s">
        <v>1786</v>
      </c>
      <c r="C64" s="19" t="s">
        <v>267</v>
      </c>
      <c r="D64" s="19" t="s">
        <v>212</v>
      </c>
      <c r="E64" s="19" t="s">
        <v>62</v>
      </c>
      <c r="F64" s="19" t="s">
        <v>1936</v>
      </c>
      <c r="G64" s="19" t="s">
        <v>71</v>
      </c>
      <c r="H64" s="19" t="s">
        <v>26</v>
      </c>
      <c r="I64" s="19" t="s">
        <v>63</v>
      </c>
      <c r="J64" s="19" t="s">
        <v>27</v>
      </c>
      <c r="K64" s="19" t="s">
        <v>306</v>
      </c>
      <c r="L64" s="19" t="s">
        <v>35</v>
      </c>
      <c r="M64" s="20">
        <v>69</v>
      </c>
      <c r="N64" s="25">
        <v>1.31</v>
      </c>
      <c r="O64" s="19" t="s">
        <v>67</v>
      </c>
      <c r="P64" s="19" t="s">
        <v>63</v>
      </c>
      <c r="Q64" s="19" t="s">
        <v>29</v>
      </c>
      <c r="R64" s="19" t="s">
        <v>29</v>
      </c>
      <c r="S64" s="45" t="s">
        <v>1638</v>
      </c>
      <c r="T64" s="8">
        <v>45873</v>
      </c>
      <c r="U64" s="19"/>
      <c r="V64" s="55">
        <f>M64-U64-Y64-AA64</f>
        <v>-5.0999999999999943</v>
      </c>
      <c r="W64" s="15" t="s">
        <v>1788</v>
      </c>
      <c r="X64" s="19"/>
      <c r="Y64" s="19">
        <v>74.099999999999994</v>
      </c>
      <c r="Z64" s="18">
        <v>45876</v>
      </c>
    </row>
    <row r="65" spans="1:28" s="36" customFormat="1" ht="20.25" hidden="1" customHeight="1">
      <c r="A65" s="7">
        <v>45859</v>
      </c>
      <c r="B65" s="19" t="s">
        <v>1787</v>
      </c>
      <c r="C65" s="19" t="s">
        <v>267</v>
      </c>
      <c r="D65" s="19" t="s">
        <v>212</v>
      </c>
      <c r="E65" s="19" t="s">
        <v>62</v>
      </c>
      <c r="F65" s="19" t="s">
        <v>1937</v>
      </c>
      <c r="G65" s="19" t="s">
        <v>71</v>
      </c>
      <c r="H65" s="19" t="s">
        <v>26</v>
      </c>
      <c r="I65" s="19" t="s">
        <v>63</v>
      </c>
      <c r="J65" s="19" t="s">
        <v>27</v>
      </c>
      <c r="K65" s="19" t="s">
        <v>800</v>
      </c>
      <c r="L65" s="19" t="s">
        <v>35</v>
      </c>
      <c r="M65" s="20">
        <v>70</v>
      </c>
      <c r="N65" s="25">
        <v>1.31</v>
      </c>
      <c r="O65" s="19" t="s">
        <v>67</v>
      </c>
      <c r="P65" s="19" t="s">
        <v>63</v>
      </c>
      <c r="Q65" s="19" t="s">
        <v>29</v>
      </c>
      <c r="R65" s="19" t="s">
        <v>29</v>
      </c>
      <c r="S65" s="45" t="s">
        <v>1638</v>
      </c>
      <c r="T65" s="8">
        <v>45873</v>
      </c>
      <c r="U65" s="19"/>
      <c r="V65" s="55">
        <f>M65-U65-Y65-AA65</f>
        <v>0</v>
      </c>
      <c r="W65" s="15" t="s">
        <v>1789</v>
      </c>
      <c r="X65" s="19"/>
      <c r="Y65" s="19">
        <v>70</v>
      </c>
      <c r="Z65" s="18">
        <v>45876</v>
      </c>
    </row>
    <row r="66" spans="1:28" s="36" customFormat="1" ht="20.25" hidden="1" customHeight="1">
      <c r="A66" s="7">
        <v>45860</v>
      </c>
      <c r="B66" s="19" t="s">
        <v>1807</v>
      </c>
      <c r="C66" s="19" t="s">
        <v>228</v>
      </c>
      <c r="D66" s="19" t="s">
        <v>212</v>
      </c>
      <c r="E66" s="19" t="s">
        <v>62</v>
      </c>
      <c r="F66" s="19" t="s">
        <v>1808</v>
      </c>
      <c r="G66" s="19" t="s">
        <v>71</v>
      </c>
      <c r="H66" s="19" t="s">
        <v>31</v>
      </c>
      <c r="I66" s="19" t="s">
        <v>63</v>
      </c>
      <c r="J66" s="19" t="s">
        <v>27</v>
      </c>
      <c r="K66" s="19" t="s">
        <v>1048</v>
      </c>
      <c r="L66" s="19" t="s">
        <v>35</v>
      </c>
      <c r="M66" s="20">
        <v>374</v>
      </c>
      <c r="N66" s="25">
        <v>1.31</v>
      </c>
      <c r="O66" s="19" t="s">
        <v>67</v>
      </c>
      <c r="P66" s="19" t="s">
        <v>29</v>
      </c>
      <c r="Q66" s="19" t="s">
        <v>29</v>
      </c>
      <c r="R66" s="19" t="s">
        <v>29</v>
      </c>
      <c r="S66" s="45" t="s">
        <v>1823</v>
      </c>
      <c r="T66" s="8">
        <v>45873</v>
      </c>
      <c r="U66" s="19"/>
      <c r="V66" s="55">
        <f>M66-U66-Y66-AA66</f>
        <v>-0.30000000000001137</v>
      </c>
      <c r="W66" s="15" t="s">
        <v>1824</v>
      </c>
      <c r="X66" s="19"/>
      <c r="Y66" s="19">
        <v>374.3</v>
      </c>
      <c r="Z66" s="18">
        <v>45888</v>
      </c>
    </row>
    <row r="67" spans="1:28" s="28" customFormat="1" ht="20.25" hidden="1" customHeight="1">
      <c r="A67" s="11">
        <v>45860</v>
      </c>
      <c r="B67" s="16" t="s">
        <v>1809</v>
      </c>
      <c r="C67" s="16" t="s">
        <v>228</v>
      </c>
      <c r="D67" s="16" t="s">
        <v>212</v>
      </c>
      <c r="E67" s="16" t="s">
        <v>62</v>
      </c>
      <c r="F67" s="16" t="s">
        <v>1810</v>
      </c>
      <c r="G67" s="16" t="s">
        <v>71</v>
      </c>
      <c r="H67" s="16" t="s">
        <v>31</v>
      </c>
      <c r="I67" s="16" t="s">
        <v>63</v>
      </c>
      <c r="J67" s="16" t="s">
        <v>27</v>
      </c>
      <c r="K67" s="16" t="s">
        <v>683</v>
      </c>
      <c r="L67" s="16" t="s">
        <v>35</v>
      </c>
      <c r="M67" s="17">
        <v>16</v>
      </c>
      <c r="N67" s="23">
        <v>1.31</v>
      </c>
      <c r="O67" s="16" t="s">
        <v>1063</v>
      </c>
      <c r="P67" s="16" t="s">
        <v>29</v>
      </c>
      <c r="Q67" s="16" t="s">
        <v>29</v>
      </c>
      <c r="R67" s="16" t="s">
        <v>29</v>
      </c>
      <c r="S67" s="12" t="s">
        <v>1823</v>
      </c>
      <c r="T67" s="13">
        <v>45873</v>
      </c>
      <c r="U67" s="19"/>
      <c r="V67" s="53">
        <f>M67-U67-Y67-AA67</f>
        <v>-0.89999999999999858</v>
      </c>
      <c r="W67" s="22" t="s">
        <v>1825</v>
      </c>
      <c r="X67" s="16"/>
      <c r="Y67" s="19">
        <v>16.899999999999999</v>
      </c>
      <c r="Z67" s="14">
        <v>45870</v>
      </c>
    </row>
    <row r="68" spans="1:28" s="28" customFormat="1" ht="20.25" hidden="1" customHeight="1">
      <c r="A68" s="11">
        <v>45860</v>
      </c>
      <c r="B68" s="16" t="s">
        <v>1811</v>
      </c>
      <c r="C68" s="16" t="s">
        <v>228</v>
      </c>
      <c r="D68" s="16" t="s">
        <v>212</v>
      </c>
      <c r="E68" s="16" t="s">
        <v>62</v>
      </c>
      <c r="F68" s="16" t="s">
        <v>1812</v>
      </c>
      <c r="G68" s="16" t="s">
        <v>71</v>
      </c>
      <c r="H68" s="16" t="s">
        <v>31</v>
      </c>
      <c r="I68" s="16" t="s">
        <v>63</v>
      </c>
      <c r="J68" s="16" t="s">
        <v>27</v>
      </c>
      <c r="K68" s="16" t="s">
        <v>683</v>
      </c>
      <c r="L68" s="16" t="s">
        <v>35</v>
      </c>
      <c r="M68" s="17">
        <v>100</v>
      </c>
      <c r="N68" s="23">
        <v>1.31</v>
      </c>
      <c r="O68" s="16" t="s">
        <v>1063</v>
      </c>
      <c r="P68" s="16" t="s">
        <v>29</v>
      </c>
      <c r="Q68" s="16" t="s">
        <v>29</v>
      </c>
      <c r="R68" s="16" t="s">
        <v>29</v>
      </c>
      <c r="S68" s="12" t="s">
        <v>1823</v>
      </c>
      <c r="T68" s="13">
        <v>45873</v>
      </c>
      <c r="U68" s="19"/>
      <c r="V68" s="53">
        <f>M68-U68-Y68-AA68</f>
        <v>0</v>
      </c>
      <c r="W68" s="22" t="s">
        <v>1826</v>
      </c>
      <c r="X68" s="16"/>
      <c r="Y68" s="19">
        <v>100</v>
      </c>
      <c r="Z68" s="14">
        <v>45870</v>
      </c>
    </row>
    <row r="69" spans="1:28" s="28" customFormat="1" ht="20.25" hidden="1" customHeight="1">
      <c r="A69" s="11">
        <v>45860</v>
      </c>
      <c r="B69" s="16" t="s">
        <v>1813</v>
      </c>
      <c r="C69" s="16" t="s">
        <v>228</v>
      </c>
      <c r="D69" s="16" t="s">
        <v>212</v>
      </c>
      <c r="E69" s="16" t="s">
        <v>62</v>
      </c>
      <c r="F69" s="16" t="s">
        <v>1814</v>
      </c>
      <c r="G69" s="16" t="s">
        <v>71</v>
      </c>
      <c r="H69" s="16" t="s">
        <v>31</v>
      </c>
      <c r="I69" s="16" t="s">
        <v>63</v>
      </c>
      <c r="J69" s="16" t="s">
        <v>27</v>
      </c>
      <c r="K69" s="16" t="s">
        <v>683</v>
      </c>
      <c r="L69" s="16" t="s">
        <v>35</v>
      </c>
      <c r="M69" s="17">
        <v>120</v>
      </c>
      <c r="N69" s="23">
        <v>1.31</v>
      </c>
      <c r="O69" s="16" t="s">
        <v>1063</v>
      </c>
      <c r="P69" s="16" t="s">
        <v>29</v>
      </c>
      <c r="Q69" s="16" t="s">
        <v>29</v>
      </c>
      <c r="R69" s="16" t="s">
        <v>29</v>
      </c>
      <c r="S69" s="12" t="s">
        <v>1823</v>
      </c>
      <c r="T69" s="13">
        <v>45873</v>
      </c>
      <c r="U69" s="19"/>
      <c r="V69" s="53">
        <f>M69-U69-Y69-AA69</f>
        <v>-0.29999999999999716</v>
      </c>
      <c r="W69" s="22" t="s">
        <v>1827</v>
      </c>
      <c r="X69" s="16"/>
      <c r="Y69" s="19">
        <v>120.3</v>
      </c>
      <c r="Z69" s="14">
        <v>45870</v>
      </c>
    </row>
    <row r="70" spans="1:28" s="28" customFormat="1" ht="20.25" hidden="1" customHeight="1">
      <c r="A70" s="11">
        <v>45860</v>
      </c>
      <c r="B70" s="16" t="s">
        <v>1815</v>
      </c>
      <c r="C70" s="16" t="s">
        <v>228</v>
      </c>
      <c r="D70" s="16" t="s">
        <v>212</v>
      </c>
      <c r="E70" s="16" t="s">
        <v>62</v>
      </c>
      <c r="F70" s="16" t="s">
        <v>1816</v>
      </c>
      <c r="G70" s="16" t="s">
        <v>71</v>
      </c>
      <c r="H70" s="16" t="s">
        <v>31</v>
      </c>
      <c r="I70" s="16" t="s">
        <v>63</v>
      </c>
      <c r="J70" s="16" t="s">
        <v>27</v>
      </c>
      <c r="K70" s="16" t="s">
        <v>683</v>
      </c>
      <c r="L70" s="16" t="s">
        <v>35</v>
      </c>
      <c r="M70" s="17">
        <v>17</v>
      </c>
      <c r="N70" s="23">
        <v>1.31</v>
      </c>
      <c r="O70" s="16" t="s">
        <v>1063</v>
      </c>
      <c r="P70" s="16" t="s">
        <v>29</v>
      </c>
      <c r="Q70" s="16" t="s">
        <v>29</v>
      </c>
      <c r="R70" s="16" t="s">
        <v>29</v>
      </c>
      <c r="S70" s="12" t="s">
        <v>1823</v>
      </c>
      <c r="T70" s="13">
        <v>45873</v>
      </c>
      <c r="U70" s="19"/>
      <c r="V70" s="53">
        <f>M70-U70-Y70-AA70</f>
        <v>-4.5</v>
      </c>
      <c r="W70" s="22" t="s">
        <v>1828</v>
      </c>
      <c r="X70" s="16"/>
      <c r="Y70" s="19">
        <v>21.5</v>
      </c>
      <c r="Z70" s="14">
        <v>45870</v>
      </c>
    </row>
    <row r="71" spans="1:28" s="36" customFormat="1" ht="20.25" hidden="1" customHeight="1">
      <c r="A71" s="7">
        <v>45860</v>
      </c>
      <c r="B71" s="19" t="s">
        <v>1817</v>
      </c>
      <c r="C71" s="19" t="s">
        <v>228</v>
      </c>
      <c r="D71" s="19" t="s">
        <v>212</v>
      </c>
      <c r="E71" s="19" t="s">
        <v>62</v>
      </c>
      <c r="F71" s="19" t="s">
        <v>1808</v>
      </c>
      <c r="G71" s="19" t="s">
        <v>71</v>
      </c>
      <c r="H71" s="19" t="s">
        <v>31</v>
      </c>
      <c r="I71" s="19" t="s">
        <v>63</v>
      </c>
      <c r="J71" s="19" t="s">
        <v>27</v>
      </c>
      <c r="K71" s="19" t="s">
        <v>1822</v>
      </c>
      <c r="L71" s="19" t="s">
        <v>35</v>
      </c>
      <c r="M71" s="20">
        <v>196</v>
      </c>
      <c r="N71" s="25">
        <v>1.31</v>
      </c>
      <c r="O71" s="19" t="s">
        <v>67</v>
      </c>
      <c r="P71" s="19" t="s">
        <v>29</v>
      </c>
      <c r="Q71" s="19" t="s">
        <v>29</v>
      </c>
      <c r="R71" s="19" t="s">
        <v>29</v>
      </c>
      <c r="S71" s="45" t="s">
        <v>1823</v>
      </c>
      <c r="T71" s="8">
        <v>45873</v>
      </c>
      <c r="U71" s="19"/>
      <c r="V71" s="55">
        <f>M71-U71-Y71-AA71</f>
        <v>-1.0999999999999943</v>
      </c>
      <c r="W71" s="15" t="s">
        <v>1829</v>
      </c>
      <c r="X71" s="19"/>
      <c r="Y71" s="19">
        <v>197.1</v>
      </c>
      <c r="Z71" s="18">
        <v>45888</v>
      </c>
    </row>
    <row r="72" spans="1:28" s="36" customFormat="1" ht="20.25" hidden="1" customHeight="1">
      <c r="A72" s="7">
        <v>45860</v>
      </c>
      <c r="B72" s="19" t="s">
        <v>1818</v>
      </c>
      <c r="C72" s="19" t="s">
        <v>228</v>
      </c>
      <c r="D72" s="19" t="s">
        <v>212</v>
      </c>
      <c r="E72" s="19" t="s">
        <v>62</v>
      </c>
      <c r="F72" s="19" t="s">
        <v>1819</v>
      </c>
      <c r="G72" s="19" t="s">
        <v>71</v>
      </c>
      <c r="H72" s="19" t="s">
        <v>31</v>
      </c>
      <c r="I72" s="19" t="s">
        <v>63</v>
      </c>
      <c r="J72" s="19" t="s">
        <v>27</v>
      </c>
      <c r="K72" s="19" t="s">
        <v>1342</v>
      </c>
      <c r="L72" s="19" t="s">
        <v>35</v>
      </c>
      <c r="M72" s="20">
        <v>111</v>
      </c>
      <c r="N72" s="25">
        <v>1.31</v>
      </c>
      <c r="O72" s="19" t="s">
        <v>67</v>
      </c>
      <c r="P72" s="19" t="s">
        <v>29</v>
      </c>
      <c r="Q72" s="19" t="s">
        <v>29</v>
      </c>
      <c r="R72" s="19" t="s">
        <v>29</v>
      </c>
      <c r="S72" s="45" t="s">
        <v>1823</v>
      </c>
      <c r="T72" s="8">
        <v>45873</v>
      </c>
      <c r="U72" s="19"/>
      <c r="V72" s="55">
        <f>M72-U72-Y72-AA72</f>
        <v>-3.5999999999999943</v>
      </c>
      <c r="W72" s="15" t="s">
        <v>1830</v>
      </c>
      <c r="X72" s="19"/>
      <c r="Y72" s="19">
        <v>114.6</v>
      </c>
      <c r="Z72" s="18">
        <v>45888</v>
      </c>
    </row>
    <row r="73" spans="1:28" s="28" customFormat="1" ht="20.25" hidden="1" customHeight="1">
      <c r="A73" s="11">
        <v>45860</v>
      </c>
      <c r="B73" s="16" t="s">
        <v>1820</v>
      </c>
      <c r="C73" s="16" t="s">
        <v>228</v>
      </c>
      <c r="D73" s="16" t="s">
        <v>212</v>
      </c>
      <c r="E73" s="16" t="s">
        <v>62</v>
      </c>
      <c r="F73" s="16" t="s">
        <v>1821</v>
      </c>
      <c r="G73" s="16" t="s">
        <v>71</v>
      </c>
      <c r="H73" s="16" t="s">
        <v>31</v>
      </c>
      <c r="I73" s="16" t="s">
        <v>63</v>
      </c>
      <c r="J73" s="16" t="s">
        <v>27</v>
      </c>
      <c r="K73" s="16" t="s">
        <v>683</v>
      </c>
      <c r="L73" s="16" t="s">
        <v>35</v>
      </c>
      <c r="M73" s="17">
        <v>43</v>
      </c>
      <c r="N73" s="23">
        <v>1.31</v>
      </c>
      <c r="O73" s="16" t="s">
        <v>1063</v>
      </c>
      <c r="P73" s="16" t="s">
        <v>29</v>
      </c>
      <c r="Q73" s="16" t="s">
        <v>29</v>
      </c>
      <c r="R73" s="16" t="s">
        <v>29</v>
      </c>
      <c r="S73" s="12" t="s">
        <v>1823</v>
      </c>
      <c r="T73" s="13">
        <v>45873</v>
      </c>
      <c r="U73" s="19"/>
      <c r="V73" s="53">
        <f>M73-U73-Y73-AA73</f>
        <v>-1.6000000000000014</v>
      </c>
      <c r="W73" s="22" t="s">
        <v>1831</v>
      </c>
      <c r="X73" s="16"/>
      <c r="Y73" s="19">
        <v>44.6</v>
      </c>
      <c r="Z73" s="14">
        <v>45870</v>
      </c>
    </row>
    <row r="74" spans="1:28" s="36" customFormat="1" ht="20.25" hidden="1" customHeight="1">
      <c r="A74" s="7">
        <v>45867</v>
      </c>
      <c r="B74" s="19" t="s">
        <v>1930</v>
      </c>
      <c r="C74" s="19" t="s">
        <v>267</v>
      </c>
      <c r="D74" s="19" t="s">
        <v>212</v>
      </c>
      <c r="E74" s="19" t="s">
        <v>62</v>
      </c>
      <c r="F74" s="19" t="s">
        <v>1940</v>
      </c>
      <c r="G74" s="19" t="s">
        <v>71</v>
      </c>
      <c r="H74" s="19" t="s">
        <v>31</v>
      </c>
      <c r="I74" s="19"/>
      <c r="J74" s="19" t="s">
        <v>27</v>
      </c>
      <c r="K74" s="19" t="s">
        <v>250</v>
      </c>
      <c r="L74" s="19" t="s">
        <v>35</v>
      </c>
      <c r="M74" s="20">
        <v>170</v>
      </c>
      <c r="N74" s="25">
        <v>1.29</v>
      </c>
      <c r="O74" s="19" t="s">
        <v>67</v>
      </c>
      <c r="P74" s="19"/>
      <c r="Q74" s="19"/>
      <c r="R74" s="19"/>
      <c r="S74" s="45" t="s">
        <v>1823</v>
      </c>
      <c r="T74" s="8">
        <v>45874</v>
      </c>
      <c r="U74" s="19"/>
      <c r="V74" s="55">
        <f>M74-U74-Y74-AA74</f>
        <v>0</v>
      </c>
      <c r="W74" s="15" t="s">
        <v>1931</v>
      </c>
      <c r="X74" s="19" t="s">
        <v>409</v>
      </c>
      <c r="Y74" s="19">
        <v>170</v>
      </c>
      <c r="Z74" s="18">
        <v>45876</v>
      </c>
    </row>
    <row r="75" spans="1:28" s="28" customFormat="1" ht="20.25" hidden="1" customHeight="1">
      <c r="A75" s="11">
        <v>45868</v>
      </c>
      <c r="B75" s="16" t="s">
        <v>1942</v>
      </c>
      <c r="C75" s="16" t="s">
        <v>267</v>
      </c>
      <c r="D75" s="16" t="s">
        <v>212</v>
      </c>
      <c r="E75" s="16" t="s">
        <v>62</v>
      </c>
      <c r="F75" s="16" t="s">
        <v>1945</v>
      </c>
      <c r="G75" s="16" t="s">
        <v>71</v>
      </c>
      <c r="H75" s="16" t="s">
        <v>26</v>
      </c>
      <c r="I75" s="16"/>
      <c r="J75" s="16" t="s">
        <v>27</v>
      </c>
      <c r="K75" s="16" t="s">
        <v>214</v>
      </c>
      <c r="L75" s="16" t="s">
        <v>35</v>
      </c>
      <c r="M75" s="17">
        <v>520</v>
      </c>
      <c r="N75" s="23">
        <v>1.29</v>
      </c>
      <c r="O75" s="16"/>
      <c r="P75" s="16"/>
      <c r="Q75" s="16"/>
      <c r="R75" s="16"/>
      <c r="S75" s="12" t="s">
        <v>1798</v>
      </c>
      <c r="T75" s="13">
        <v>45882</v>
      </c>
      <c r="U75" s="19"/>
      <c r="V75" s="53">
        <f>M75-U75-Y75-AA75</f>
        <v>-0.5</v>
      </c>
      <c r="W75" s="22" t="s">
        <v>1948</v>
      </c>
      <c r="X75" s="16" t="s">
        <v>431</v>
      </c>
      <c r="Y75" s="19">
        <f>193.9+326.6</f>
        <v>520.5</v>
      </c>
      <c r="Z75" s="14">
        <v>45882</v>
      </c>
    </row>
    <row r="76" spans="1:28" s="36" customFormat="1" ht="20.25" hidden="1" customHeight="1">
      <c r="A76" s="7">
        <v>45868</v>
      </c>
      <c r="B76" s="19" t="s">
        <v>1943</v>
      </c>
      <c r="C76" s="19" t="s">
        <v>267</v>
      </c>
      <c r="D76" s="19" t="s">
        <v>212</v>
      </c>
      <c r="E76" s="19" t="s">
        <v>62</v>
      </c>
      <c r="F76" s="19" t="s">
        <v>1946</v>
      </c>
      <c r="G76" s="19" t="s">
        <v>71</v>
      </c>
      <c r="H76" s="19" t="s">
        <v>26</v>
      </c>
      <c r="I76" s="19"/>
      <c r="J76" s="19" t="s">
        <v>27</v>
      </c>
      <c r="K76" s="19" t="s">
        <v>760</v>
      </c>
      <c r="L76" s="19" t="s">
        <v>35</v>
      </c>
      <c r="M76" s="20">
        <v>33</v>
      </c>
      <c r="N76" s="25">
        <v>1.29</v>
      </c>
      <c r="O76" s="19"/>
      <c r="P76" s="19"/>
      <c r="Q76" s="19"/>
      <c r="R76" s="19"/>
      <c r="S76" s="45" t="s">
        <v>1798</v>
      </c>
      <c r="T76" s="8">
        <v>45882</v>
      </c>
      <c r="U76" s="19"/>
      <c r="V76" s="55">
        <f>M76-U76-Y76-AA76</f>
        <v>-1.3999999999999986</v>
      </c>
      <c r="W76" s="15" t="s">
        <v>1949</v>
      </c>
      <c r="X76" s="19" t="s">
        <v>339</v>
      </c>
      <c r="Y76" s="19">
        <v>34.4</v>
      </c>
      <c r="Z76" s="18">
        <v>45876</v>
      </c>
    </row>
    <row r="77" spans="1:28" s="36" customFormat="1" ht="20.25" hidden="1" customHeight="1">
      <c r="A77" s="7">
        <v>45868</v>
      </c>
      <c r="B77" s="19" t="s">
        <v>1944</v>
      </c>
      <c r="C77" s="19" t="s">
        <v>267</v>
      </c>
      <c r="D77" s="19" t="s">
        <v>212</v>
      </c>
      <c r="E77" s="19" t="s">
        <v>62</v>
      </c>
      <c r="F77" s="19" t="s">
        <v>1947</v>
      </c>
      <c r="G77" s="19" t="s">
        <v>71</v>
      </c>
      <c r="H77" s="19" t="s">
        <v>26</v>
      </c>
      <c r="I77" s="19"/>
      <c r="J77" s="19" t="s">
        <v>27</v>
      </c>
      <c r="K77" s="19" t="s">
        <v>760</v>
      </c>
      <c r="L77" s="19" t="s">
        <v>35</v>
      </c>
      <c r="M77" s="20">
        <v>78</v>
      </c>
      <c r="N77" s="25">
        <v>1.29</v>
      </c>
      <c r="O77" s="19"/>
      <c r="P77" s="19"/>
      <c r="Q77" s="19"/>
      <c r="R77" s="19"/>
      <c r="S77" s="45" t="s">
        <v>1798</v>
      </c>
      <c r="T77" s="8">
        <v>45882</v>
      </c>
      <c r="U77" s="19"/>
      <c r="V77" s="55">
        <f>M77-U77-Y77-AA77</f>
        <v>-0.79999999999999716</v>
      </c>
      <c r="W77" s="15" t="s">
        <v>1950</v>
      </c>
      <c r="X77" s="19" t="s">
        <v>1392</v>
      </c>
      <c r="Y77" s="19">
        <v>78.8</v>
      </c>
      <c r="Z77" s="18">
        <v>45876</v>
      </c>
    </row>
    <row r="78" spans="1:28" s="28" customFormat="1" ht="20.25" hidden="1" customHeight="1">
      <c r="A78" s="11">
        <v>45869</v>
      </c>
      <c r="B78" s="16" t="s">
        <v>1976</v>
      </c>
      <c r="C78" s="16" t="s">
        <v>400</v>
      </c>
      <c r="D78" s="16" t="s">
        <v>212</v>
      </c>
      <c r="E78" s="16" t="s">
        <v>62</v>
      </c>
      <c r="F78" s="16" t="s">
        <v>1977</v>
      </c>
      <c r="G78" s="16" t="s">
        <v>71</v>
      </c>
      <c r="H78" s="16" t="s">
        <v>31</v>
      </c>
      <c r="I78" s="16"/>
      <c r="J78" s="16" t="s">
        <v>27</v>
      </c>
      <c r="K78" s="16" t="s">
        <v>230</v>
      </c>
      <c r="L78" s="16" t="s">
        <v>35</v>
      </c>
      <c r="M78" s="17">
        <v>6545.4</v>
      </c>
      <c r="N78" s="23">
        <v>1.31</v>
      </c>
      <c r="O78" s="16" t="s">
        <v>67</v>
      </c>
      <c r="P78" s="16" t="s">
        <v>29</v>
      </c>
      <c r="Q78" s="16" t="s">
        <v>29</v>
      </c>
      <c r="R78" s="16" t="s">
        <v>29</v>
      </c>
      <c r="S78" s="12" t="s">
        <v>1872</v>
      </c>
      <c r="T78" s="13">
        <v>45882</v>
      </c>
      <c r="U78" s="19"/>
      <c r="V78" s="53">
        <f>M78-U78-Y78-AA78</f>
        <v>0</v>
      </c>
      <c r="W78" s="22" t="s">
        <v>1978</v>
      </c>
      <c r="X78" s="16" t="s">
        <v>29</v>
      </c>
      <c r="Y78" s="19">
        <f>2145.5+3267.9</f>
        <v>5413.4</v>
      </c>
      <c r="Z78" s="14">
        <v>45873</v>
      </c>
      <c r="AA78" s="19">
        <v>1132</v>
      </c>
      <c r="AB78" s="252">
        <v>45884</v>
      </c>
    </row>
    <row r="79" spans="1:28" s="28" customFormat="1" ht="20.25" hidden="1" customHeight="1">
      <c r="A79" s="11">
        <v>45877</v>
      </c>
      <c r="B79" s="16" t="s">
        <v>2078</v>
      </c>
      <c r="C79" s="16" t="s">
        <v>304</v>
      </c>
      <c r="D79" s="16" t="s">
        <v>212</v>
      </c>
      <c r="E79" s="16" t="s">
        <v>62</v>
      </c>
      <c r="F79" s="16" t="s">
        <v>2079</v>
      </c>
      <c r="G79" s="16" t="s">
        <v>71</v>
      </c>
      <c r="H79" s="16" t="s">
        <v>31</v>
      </c>
      <c r="I79" s="16"/>
      <c r="J79" s="16" t="s">
        <v>27</v>
      </c>
      <c r="K79" s="16" t="s">
        <v>214</v>
      </c>
      <c r="L79" s="16" t="s">
        <v>75</v>
      </c>
      <c r="M79" s="17">
        <v>40</v>
      </c>
      <c r="N79" s="23">
        <v>1.29</v>
      </c>
      <c r="O79" s="16" t="s">
        <v>1063</v>
      </c>
      <c r="P79" s="16"/>
      <c r="Q79" s="16"/>
      <c r="R79" s="16"/>
      <c r="S79" s="12" t="s">
        <v>2001</v>
      </c>
      <c r="T79" s="13">
        <v>45891</v>
      </c>
      <c r="U79" s="19"/>
      <c r="V79" s="53">
        <f>M79-U79-Y79-AA79</f>
        <v>-0.29999999999999716</v>
      </c>
      <c r="W79" s="22" t="s">
        <v>2080</v>
      </c>
      <c r="X79" s="16"/>
      <c r="Y79" s="19">
        <v>40.299999999999997</v>
      </c>
      <c r="Z79" s="14">
        <v>45902</v>
      </c>
    </row>
    <row r="80" spans="1:28" s="28" customFormat="1" ht="20.25" hidden="1" customHeight="1">
      <c r="A80" s="11">
        <v>45877</v>
      </c>
      <c r="B80" s="16" t="s">
        <v>2081</v>
      </c>
      <c r="C80" s="16" t="s">
        <v>304</v>
      </c>
      <c r="D80" s="16" t="s">
        <v>212</v>
      </c>
      <c r="E80" s="16" t="s">
        <v>62</v>
      </c>
      <c r="F80" s="16" t="s">
        <v>2082</v>
      </c>
      <c r="G80" s="16" t="s">
        <v>71</v>
      </c>
      <c r="H80" s="16" t="s">
        <v>31</v>
      </c>
      <c r="I80" s="16"/>
      <c r="J80" s="16" t="s">
        <v>27</v>
      </c>
      <c r="K80" s="16" t="s">
        <v>1796</v>
      </c>
      <c r="L80" s="16" t="s">
        <v>35</v>
      </c>
      <c r="M80" s="17">
        <v>219</v>
      </c>
      <c r="N80" s="23">
        <v>1.29</v>
      </c>
      <c r="O80" s="16" t="s">
        <v>67</v>
      </c>
      <c r="P80" s="16"/>
      <c r="Q80" s="16"/>
      <c r="R80" s="16"/>
      <c r="S80" s="12" t="s">
        <v>2001</v>
      </c>
      <c r="T80" s="13">
        <v>45891</v>
      </c>
      <c r="U80" s="19"/>
      <c r="V80" s="53">
        <f>M80-U80-Y80-AA80</f>
        <v>-7.6999999999999886</v>
      </c>
      <c r="W80" s="22" t="s">
        <v>2083</v>
      </c>
      <c r="X80" s="16"/>
      <c r="Y80" s="19">
        <v>226.7</v>
      </c>
      <c r="Z80" s="14">
        <v>45890</v>
      </c>
    </row>
    <row r="81" spans="1:28" s="28" customFormat="1" ht="20.25" hidden="1" customHeight="1">
      <c r="A81" s="11">
        <v>45880</v>
      </c>
      <c r="B81" s="16" t="s">
        <v>2106</v>
      </c>
      <c r="C81" s="16" t="s">
        <v>438</v>
      </c>
      <c r="D81" s="16" t="s">
        <v>212</v>
      </c>
      <c r="E81" s="16" t="s">
        <v>62</v>
      </c>
      <c r="F81" s="16">
        <v>4003861813</v>
      </c>
      <c r="G81" s="16" t="s">
        <v>71</v>
      </c>
      <c r="H81" s="16" t="s">
        <v>31</v>
      </c>
      <c r="I81" s="16"/>
      <c r="J81" s="16" t="s">
        <v>27</v>
      </c>
      <c r="K81" s="16" t="s">
        <v>239</v>
      </c>
      <c r="L81" s="16" t="s">
        <v>35</v>
      </c>
      <c r="M81" s="17">
        <v>218</v>
      </c>
      <c r="N81" s="23">
        <v>1.31</v>
      </c>
      <c r="O81" s="16" t="s">
        <v>1063</v>
      </c>
      <c r="P81" s="16" t="s">
        <v>63</v>
      </c>
      <c r="Q81" s="16" t="s">
        <v>29</v>
      </c>
      <c r="R81" s="16" t="s">
        <v>29</v>
      </c>
      <c r="S81" s="12" t="s">
        <v>2027</v>
      </c>
      <c r="T81" s="13">
        <v>45894</v>
      </c>
      <c r="U81" s="19"/>
      <c r="V81" s="53">
        <f>M81-U81-Y81-AA81</f>
        <v>-5.0999999999999943</v>
      </c>
      <c r="W81" s="22" t="s">
        <v>2109</v>
      </c>
      <c r="X81" s="16" t="s">
        <v>2112</v>
      </c>
      <c r="Y81" s="19">
        <v>223.1</v>
      </c>
      <c r="Z81" s="14">
        <v>45918</v>
      </c>
    </row>
    <row r="82" spans="1:28" s="28" customFormat="1" ht="20.25" hidden="1" customHeight="1">
      <c r="A82" s="11">
        <v>45880</v>
      </c>
      <c r="B82" s="16" t="s">
        <v>2106</v>
      </c>
      <c r="C82" s="16" t="s">
        <v>438</v>
      </c>
      <c r="D82" s="16" t="s">
        <v>212</v>
      </c>
      <c r="E82" s="16" t="s">
        <v>62</v>
      </c>
      <c r="F82" s="16">
        <v>4003861813</v>
      </c>
      <c r="G82" s="16" t="s">
        <v>71</v>
      </c>
      <c r="H82" s="16" t="s">
        <v>31</v>
      </c>
      <c r="I82" s="16"/>
      <c r="J82" s="16" t="s">
        <v>27</v>
      </c>
      <c r="K82" s="16" t="s">
        <v>239</v>
      </c>
      <c r="L82" s="16" t="s">
        <v>35</v>
      </c>
      <c r="M82" s="17">
        <v>118.1</v>
      </c>
      <c r="N82" s="23">
        <v>1.31</v>
      </c>
      <c r="O82" s="16" t="s">
        <v>1063</v>
      </c>
      <c r="P82" s="16" t="s">
        <v>63</v>
      </c>
      <c r="Q82" s="16" t="s">
        <v>29</v>
      </c>
      <c r="R82" s="16" t="s">
        <v>29</v>
      </c>
      <c r="S82" s="12" t="s">
        <v>2027</v>
      </c>
      <c r="T82" s="13">
        <v>45894</v>
      </c>
      <c r="U82" s="19"/>
      <c r="V82" s="53">
        <f>M82-U82-Y82-AA82</f>
        <v>-1</v>
      </c>
      <c r="W82" s="22" t="s">
        <v>2110</v>
      </c>
      <c r="X82" s="16" t="s">
        <v>2112</v>
      </c>
      <c r="Y82" s="19">
        <v>119.1</v>
      </c>
      <c r="Z82" s="14">
        <v>45918</v>
      </c>
    </row>
    <row r="83" spans="1:28" s="28" customFormat="1" ht="20.25" hidden="1" customHeight="1">
      <c r="A83" s="11">
        <v>45880</v>
      </c>
      <c r="B83" s="16" t="s">
        <v>2107</v>
      </c>
      <c r="C83" s="16" t="s">
        <v>304</v>
      </c>
      <c r="D83" s="16" t="s">
        <v>212</v>
      </c>
      <c r="E83" s="16" t="s">
        <v>62</v>
      </c>
      <c r="F83" s="16" t="s">
        <v>2108</v>
      </c>
      <c r="G83" s="16" t="s">
        <v>71</v>
      </c>
      <c r="H83" s="16" t="s">
        <v>31</v>
      </c>
      <c r="I83" s="16"/>
      <c r="J83" s="16" t="s">
        <v>27</v>
      </c>
      <c r="K83" s="16" t="s">
        <v>214</v>
      </c>
      <c r="L83" s="16" t="s">
        <v>75</v>
      </c>
      <c r="M83" s="17">
        <v>468</v>
      </c>
      <c r="N83" s="23">
        <v>1.29</v>
      </c>
      <c r="O83" s="16" t="s">
        <v>1063</v>
      </c>
      <c r="P83" s="16" t="s">
        <v>63</v>
      </c>
      <c r="Q83" s="16" t="s">
        <v>29</v>
      </c>
      <c r="R83" s="16" t="s">
        <v>29</v>
      </c>
      <c r="S83" s="12" t="s">
        <v>2027</v>
      </c>
      <c r="T83" s="13">
        <v>45894</v>
      </c>
      <c r="U83" s="19"/>
      <c r="V83" s="53">
        <f>M83-U83-Y83-AA83</f>
        <v>-1.5</v>
      </c>
      <c r="W83" s="22" t="s">
        <v>2111</v>
      </c>
      <c r="X83" s="16" t="s">
        <v>29</v>
      </c>
      <c r="Y83" s="19">
        <v>469.5</v>
      </c>
      <c r="Z83" s="14">
        <v>45902</v>
      </c>
    </row>
    <row r="84" spans="1:28" s="28" customFormat="1" ht="20.25" hidden="1" customHeight="1">
      <c r="A84" s="11">
        <v>45888</v>
      </c>
      <c r="B84" s="16" t="s">
        <v>2272</v>
      </c>
      <c r="C84" s="16" t="s">
        <v>2092</v>
      </c>
      <c r="D84" s="16" t="s">
        <v>212</v>
      </c>
      <c r="E84" s="16" t="s">
        <v>62</v>
      </c>
      <c r="F84" s="16" t="s">
        <v>2273</v>
      </c>
      <c r="G84" s="16" t="s">
        <v>71</v>
      </c>
      <c r="H84" s="16" t="s">
        <v>26</v>
      </c>
      <c r="I84" s="16"/>
      <c r="J84" s="16" t="s">
        <v>27</v>
      </c>
      <c r="K84" s="16" t="s">
        <v>214</v>
      </c>
      <c r="L84" s="16" t="s">
        <v>35</v>
      </c>
      <c r="M84" s="17">
        <v>173.8</v>
      </c>
      <c r="N84" s="23">
        <v>1.3</v>
      </c>
      <c r="O84" s="16" t="s">
        <v>67</v>
      </c>
      <c r="P84" s="16" t="s">
        <v>63</v>
      </c>
      <c r="Q84" s="16" t="s">
        <v>29</v>
      </c>
      <c r="R84" s="16" t="s">
        <v>29</v>
      </c>
      <c r="S84" s="12" t="s">
        <v>2098</v>
      </c>
      <c r="T84" s="13"/>
      <c r="U84" s="19"/>
      <c r="V84" s="53">
        <f>M84-U84-Y84-AA84</f>
        <v>0</v>
      </c>
      <c r="W84" s="22" t="s">
        <v>2274</v>
      </c>
      <c r="X84" s="16" t="s">
        <v>2275</v>
      </c>
      <c r="Y84" s="9">
        <v>173.8</v>
      </c>
      <c r="Z84" s="14">
        <v>45888</v>
      </c>
    </row>
    <row r="85" spans="1:28" s="28" customFormat="1" ht="20.25" hidden="1" customHeight="1">
      <c r="A85" s="11">
        <v>45888</v>
      </c>
      <c r="B85" s="16" t="s">
        <v>2276</v>
      </c>
      <c r="C85" s="16" t="s">
        <v>304</v>
      </c>
      <c r="D85" s="16" t="s">
        <v>212</v>
      </c>
      <c r="E85" s="16" t="s">
        <v>62</v>
      </c>
      <c r="F85" s="16" t="s">
        <v>2280</v>
      </c>
      <c r="G85" s="16" t="s">
        <v>71</v>
      </c>
      <c r="H85" s="16" t="s">
        <v>31</v>
      </c>
      <c r="I85" s="16"/>
      <c r="J85" s="16" t="s">
        <v>27</v>
      </c>
      <c r="K85" s="16" t="s">
        <v>645</v>
      </c>
      <c r="L85" s="16" t="s">
        <v>75</v>
      </c>
      <c r="M85" s="17">
        <v>85</v>
      </c>
      <c r="N85" s="23">
        <v>1.29</v>
      </c>
      <c r="O85" s="16" t="s">
        <v>67</v>
      </c>
      <c r="P85" s="16" t="s">
        <v>63</v>
      </c>
      <c r="Q85" s="16" t="s">
        <v>29</v>
      </c>
      <c r="R85" s="16" t="s">
        <v>29</v>
      </c>
      <c r="S85" s="12" t="s">
        <v>2098</v>
      </c>
      <c r="T85" s="13">
        <v>45902</v>
      </c>
      <c r="U85" s="19"/>
      <c r="V85" s="53">
        <f>M85-U85-Y85-AA85</f>
        <v>-6.9000000000000057</v>
      </c>
      <c r="W85" s="22" t="s">
        <v>2284</v>
      </c>
      <c r="X85" s="16"/>
      <c r="Y85" s="19">
        <v>91.9</v>
      </c>
      <c r="Z85" s="14">
        <v>45891</v>
      </c>
    </row>
    <row r="86" spans="1:28" s="28" customFormat="1" ht="20.25" hidden="1" customHeight="1">
      <c r="A86" s="11">
        <v>45888</v>
      </c>
      <c r="B86" s="16" t="s">
        <v>2277</v>
      </c>
      <c r="C86" s="16" t="s">
        <v>304</v>
      </c>
      <c r="D86" s="16" t="s">
        <v>212</v>
      </c>
      <c r="E86" s="16" t="s">
        <v>62</v>
      </c>
      <c r="F86" s="16" t="s">
        <v>2281</v>
      </c>
      <c r="G86" s="16" t="s">
        <v>71</v>
      </c>
      <c r="H86" s="16" t="s">
        <v>26</v>
      </c>
      <c r="I86" s="16"/>
      <c r="J86" s="16" t="s">
        <v>27</v>
      </c>
      <c r="K86" s="16" t="s">
        <v>760</v>
      </c>
      <c r="L86" s="16" t="s">
        <v>75</v>
      </c>
      <c r="M86" s="17">
        <v>11.9</v>
      </c>
      <c r="N86" s="23">
        <v>1.29</v>
      </c>
      <c r="O86" s="16" t="s">
        <v>67</v>
      </c>
      <c r="P86" s="16" t="s">
        <v>63</v>
      </c>
      <c r="Q86" s="16" t="s">
        <v>29</v>
      </c>
      <c r="R86" s="16" t="s">
        <v>29</v>
      </c>
      <c r="S86" s="12" t="s">
        <v>2053</v>
      </c>
      <c r="T86" s="13">
        <v>45902</v>
      </c>
      <c r="U86" s="19"/>
      <c r="V86" s="53">
        <f>M86-U86-Y86-AA86</f>
        <v>-1.7999999999999989</v>
      </c>
      <c r="W86" s="22" t="s">
        <v>2285</v>
      </c>
      <c r="X86" s="16"/>
      <c r="Y86" s="19">
        <v>13.7</v>
      </c>
      <c r="Z86" s="14">
        <v>45902</v>
      </c>
    </row>
    <row r="87" spans="1:28" s="28" customFormat="1" ht="20.25" hidden="1" customHeight="1">
      <c r="A87" s="11">
        <v>45888</v>
      </c>
      <c r="B87" s="16" t="s">
        <v>2278</v>
      </c>
      <c r="C87" s="16" t="s">
        <v>304</v>
      </c>
      <c r="D87" s="16" t="s">
        <v>212</v>
      </c>
      <c r="E87" s="16" t="s">
        <v>62</v>
      </c>
      <c r="F87" s="16" t="s">
        <v>2282</v>
      </c>
      <c r="G87" s="16" t="s">
        <v>71</v>
      </c>
      <c r="H87" s="16" t="s">
        <v>31</v>
      </c>
      <c r="I87" s="16"/>
      <c r="J87" s="16" t="s">
        <v>27</v>
      </c>
      <c r="K87" s="16" t="s">
        <v>760</v>
      </c>
      <c r="L87" s="16" t="s">
        <v>75</v>
      </c>
      <c r="M87" s="17">
        <v>190</v>
      </c>
      <c r="N87" s="23">
        <v>1.29</v>
      </c>
      <c r="O87" s="16" t="s">
        <v>67</v>
      </c>
      <c r="P87" s="16" t="s">
        <v>63</v>
      </c>
      <c r="Q87" s="16" t="s">
        <v>29</v>
      </c>
      <c r="R87" s="16" t="s">
        <v>29</v>
      </c>
      <c r="S87" s="12" t="s">
        <v>2053</v>
      </c>
      <c r="T87" s="13">
        <v>45902</v>
      </c>
      <c r="U87" s="19"/>
      <c r="V87" s="53">
        <f>M87-U87-Y87-AA87</f>
        <v>-0.19999999999998863</v>
      </c>
      <c r="W87" s="22" t="s">
        <v>2286</v>
      </c>
      <c r="X87" s="16"/>
      <c r="Y87" s="19">
        <f>21.2+169</f>
        <v>190.2</v>
      </c>
      <c r="Z87" s="14">
        <v>45902</v>
      </c>
    </row>
    <row r="88" spans="1:28" s="28" customFormat="1" ht="20.25" hidden="1" customHeight="1">
      <c r="A88" s="11">
        <v>45888</v>
      </c>
      <c r="B88" s="16" t="s">
        <v>2279</v>
      </c>
      <c r="C88" s="16" t="s">
        <v>304</v>
      </c>
      <c r="D88" s="16" t="s">
        <v>212</v>
      </c>
      <c r="E88" s="16" t="s">
        <v>62</v>
      </c>
      <c r="F88" s="16" t="s">
        <v>2283</v>
      </c>
      <c r="G88" s="16" t="s">
        <v>71</v>
      </c>
      <c r="H88" s="16" t="s">
        <v>31</v>
      </c>
      <c r="I88" s="16"/>
      <c r="J88" s="16" t="s">
        <v>27</v>
      </c>
      <c r="K88" s="16" t="s">
        <v>250</v>
      </c>
      <c r="L88" s="16" t="s">
        <v>75</v>
      </c>
      <c r="M88" s="17">
        <v>40</v>
      </c>
      <c r="N88" s="23">
        <v>1.29</v>
      </c>
      <c r="O88" s="16" t="s">
        <v>67</v>
      </c>
      <c r="P88" s="16" t="s">
        <v>63</v>
      </c>
      <c r="Q88" s="16" t="s">
        <v>29</v>
      </c>
      <c r="R88" s="16" t="s">
        <v>29</v>
      </c>
      <c r="S88" s="12" t="s">
        <v>2098</v>
      </c>
      <c r="T88" s="13">
        <v>45902</v>
      </c>
      <c r="U88" s="331"/>
      <c r="V88" s="53">
        <f>M88-U88-Y88-AA88</f>
        <v>-0.70000000000000284</v>
      </c>
      <c r="W88" s="22" t="s">
        <v>2287</v>
      </c>
      <c r="X88" s="16" t="s">
        <v>1021</v>
      </c>
      <c r="Y88" s="19">
        <v>40.700000000000003</v>
      </c>
      <c r="Z88" s="14">
        <v>45911</v>
      </c>
    </row>
    <row r="89" spans="1:28" s="28" customFormat="1" ht="20.25" hidden="1" customHeight="1">
      <c r="A89" s="11">
        <v>45887</v>
      </c>
      <c r="B89" s="16" t="s">
        <v>2300</v>
      </c>
      <c r="C89" s="16" t="s">
        <v>304</v>
      </c>
      <c r="D89" s="16" t="s">
        <v>212</v>
      </c>
      <c r="E89" s="16" t="s">
        <v>62</v>
      </c>
      <c r="F89" s="16" t="s">
        <v>2309</v>
      </c>
      <c r="G89" s="16" t="s">
        <v>71</v>
      </c>
      <c r="H89" s="16" t="s">
        <v>31</v>
      </c>
      <c r="I89" s="16"/>
      <c r="J89" s="16" t="s">
        <v>27</v>
      </c>
      <c r="K89" s="16" t="s">
        <v>1573</v>
      </c>
      <c r="L89" s="16" t="s">
        <v>75</v>
      </c>
      <c r="M89" s="17">
        <v>156</v>
      </c>
      <c r="N89" s="23">
        <v>1.29</v>
      </c>
      <c r="O89" s="16" t="s">
        <v>67</v>
      </c>
      <c r="P89" s="16" t="s">
        <v>63</v>
      </c>
      <c r="Q89" s="16" t="s">
        <v>29</v>
      </c>
      <c r="R89" s="16" t="s">
        <v>29</v>
      </c>
      <c r="S89" s="12" t="s">
        <v>2098</v>
      </c>
      <c r="T89" s="13">
        <v>45902</v>
      </c>
      <c r="U89" s="19"/>
      <c r="V89" s="53">
        <f>M89-U89-Y89-AA89</f>
        <v>-6.3000000000000114</v>
      </c>
      <c r="W89" s="22" t="s">
        <v>2319</v>
      </c>
      <c r="X89" s="16" t="s">
        <v>29</v>
      </c>
      <c r="Y89" s="19">
        <v>162.30000000000001</v>
      </c>
      <c r="Z89" s="14">
        <v>45902</v>
      </c>
    </row>
    <row r="90" spans="1:28" s="28" customFormat="1" ht="20.25" hidden="1" customHeight="1">
      <c r="A90" s="11">
        <v>45887</v>
      </c>
      <c r="B90" s="16" t="s">
        <v>2301</v>
      </c>
      <c r="C90" s="16" t="s">
        <v>304</v>
      </c>
      <c r="D90" s="16" t="s">
        <v>212</v>
      </c>
      <c r="E90" s="16" t="s">
        <v>62</v>
      </c>
      <c r="F90" s="16" t="s">
        <v>2310</v>
      </c>
      <c r="G90" s="16" t="s">
        <v>71</v>
      </c>
      <c r="H90" s="16" t="s">
        <v>31</v>
      </c>
      <c r="I90" s="16"/>
      <c r="J90" s="16" t="s">
        <v>27</v>
      </c>
      <c r="K90" s="16" t="s">
        <v>214</v>
      </c>
      <c r="L90" s="16" t="s">
        <v>75</v>
      </c>
      <c r="M90" s="17">
        <v>250</v>
      </c>
      <c r="N90" s="23">
        <v>1.29</v>
      </c>
      <c r="O90" s="16" t="s">
        <v>1063</v>
      </c>
      <c r="P90" s="16" t="s">
        <v>63</v>
      </c>
      <c r="Q90" s="16" t="s">
        <v>29</v>
      </c>
      <c r="R90" s="16" t="s">
        <v>29</v>
      </c>
      <c r="S90" s="12" t="s">
        <v>2098</v>
      </c>
      <c r="T90" s="13">
        <v>45902</v>
      </c>
      <c r="U90" s="19"/>
      <c r="V90" s="53">
        <f>M90-U90-Y90-AA90</f>
        <v>-0.59999999999999432</v>
      </c>
      <c r="W90" s="22" t="s">
        <v>2320</v>
      </c>
      <c r="X90" s="16" t="s">
        <v>29</v>
      </c>
      <c r="Y90" s="19">
        <v>250.6</v>
      </c>
      <c r="Z90" s="14">
        <v>45902</v>
      </c>
    </row>
    <row r="91" spans="1:28" s="28" customFormat="1" ht="20.25" hidden="1" customHeight="1">
      <c r="A91" s="11">
        <v>45887</v>
      </c>
      <c r="B91" s="16" t="s">
        <v>2302</v>
      </c>
      <c r="C91" s="16" t="s">
        <v>304</v>
      </c>
      <c r="D91" s="16" t="s">
        <v>212</v>
      </c>
      <c r="E91" s="16" t="s">
        <v>62</v>
      </c>
      <c r="F91" s="16" t="s">
        <v>2311</v>
      </c>
      <c r="G91" s="16" t="s">
        <v>71</v>
      </c>
      <c r="H91" s="16" t="s">
        <v>31</v>
      </c>
      <c r="I91" s="16"/>
      <c r="J91" s="16" t="s">
        <v>27</v>
      </c>
      <c r="K91" s="16" t="s">
        <v>2318</v>
      </c>
      <c r="L91" s="16" t="s">
        <v>35</v>
      </c>
      <c r="M91" s="17">
        <v>14</v>
      </c>
      <c r="N91" s="23">
        <v>1.29</v>
      </c>
      <c r="O91" s="16" t="s">
        <v>67</v>
      </c>
      <c r="P91" s="16" t="s">
        <v>63</v>
      </c>
      <c r="Q91" s="16" t="s">
        <v>29</v>
      </c>
      <c r="R91" s="16" t="s">
        <v>29</v>
      </c>
      <c r="S91" s="12" t="s">
        <v>2099</v>
      </c>
      <c r="T91" s="13">
        <v>45902</v>
      </c>
      <c r="U91" s="19"/>
      <c r="V91" s="53">
        <f>M91-U91-Y91-AA91</f>
        <v>-2.6999999999999993</v>
      </c>
      <c r="W91" s="22" t="s">
        <v>2321</v>
      </c>
      <c r="X91" s="16" t="s">
        <v>29</v>
      </c>
      <c r="Y91" s="19">
        <v>16.7</v>
      </c>
      <c r="Z91" s="14">
        <v>45902</v>
      </c>
    </row>
    <row r="92" spans="1:28" s="28" customFormat="1" ht="20.25" hidden="1" customHeight="1">
      <c r="A92" s="11">
        <v>45887</v>
      </c>
      <c r="B92" s="16" t="s">
        <v>2303</v>
      </c>
      <c r="C92" s="16" t="s">
        <v>304</v>
      </c>
      <c r="D92" s="16" t="s">
        <v>212</v>
      </c>
      <c r="E92" s="16" t="s">
        <v>62</v>
      </c>
      <c r="F92" s="16" t="s">
        <v>2312</v>
      </c>
      <c r="G92" s="16" t="s">
        <v>71</v>
      </c>
      <c r="H92" s="16" t="s">
        <v>31</v>
      </c>
      <c r="I92" s="16"/>
      <c r="J92" s="16" t="s">
        <v>27</v>
      </c>
      <c r="K92" s="16" t="s">
        <v>2318</v>
      </c>
      <c r="L92" s="16" t="s">
        <v>75</v>
      </c>
      <c r="M92" s="17">
        <v>20</v>
      </c>
      <c r="N92" s="23">
        <v>1.29</v>
      </c>
      <c r="O92" s="16" t="s">
        <v>67</v>
      </c>
      <c r="P92" s="16" t="s">
        <v>63</v>
      </c>
      <c r="Q92" s="16" t="s">
        <v>29</v>
      </c>
      <c r="R92" s="16" t="s">
        <v>29</v>
      </c>
      <c r="S92" s="12" t="s">
        <v>2099</v>
      </c>
      <c r="T92" s="13">
        <v>45902</v>
      </c>
      <c r="U92" s="19"/>
      <c r="V92" s="53">
        <f>M92-U92-Y92-AA92</f>
        <v>3</v>
      </c>
      <c r="W92" s="22" t="s">
        <v>2322</v>
      </c>
      <c r="X92" s="16" t="s">
        <v>29</v>
      </c>
      <c r="Y92" s="19">
        <v>17</v>
      </c>
      <c r="Z92" s="14">
        <v>45902</v>
      </c>
    </row>
    <row r="93" spans="1:28" s="28" customFormat="1" ht="20.25" hidden="1" customHeight="1">
      <c r="A93" s="11">
        <v>45887</v>
      </c>
      <c r="B93" s="16" t="s">
        <v>2304</v>
      </c>
      <c r="C93" s="16" t="s">
        <v>304</v>
      </c>
      <c r="D93" s="16" t="s">
        <v>212</v>
      </c>
      <c r="E93" s="16" t="s">
        <v>62</v>
      </c>
      <c r="F93" s="16" t="s">
        <v>2313</v>
      </c>
      <c r="G93" s="16" t="s">
        <v>71</v>
      </c>
      <c r="H93" s="16" t="s">
        <v>31</v>
      </c>
      <c r="I93" s="16"/>
      <c r="J93" s="16" t="s">
        <v>27</v>
      </c>
      <c r="K93" s="16" t="s">
        <v>2318</v>
      </c>
      <c r="L93" s="16" t="s">
        <v>75</v>
      </c>
      <c r="M93" s="17">
        <v>56</v>
      </c>
      <c r="N93" s="23">
        <v>1.29</v>
      </c>
      <c r="O93" s="16" t="s">
        <v>67</v>
      </c>
      <c r="P93" s="16" t="s">
        <v>63</v>
      </c>
      <c r="Q93" s="16" t="s">
        <v>29</v>
      </c>
      <c r="R93" s="16" t="s">
        <v>29</v>
      </c>
      <c r="S93" s="12" t="s">
        <v>2099</v>
      </c>
      <c r="T93" s="13">
        <v>45902</v>
      </c>
      <c r="U93" s="19"/>
      <c r="V93" s="53">
        <f>M93-U93-Y93-AA93</f>
        <v>-1.2000000000000028</v>
      </c>
      <c r="W93" s="22" t="s">
        <v>2323</v>
      </c>
      <c r="X93" s="16" t="s">
        <v>29</v>
      </c>
      <c r="Y93" s="19">
        <v>9.1999999999999993</v>
      </c>
      <c r="Z93" s="14">
        <v>45902</v>
      </c>
      <c r="AA93" s="19">
        <v>48</v>
      </c>
      <c r="AB93" s="252">
        <v>45932</v>
      </c>
    </row>
    <row r="94" spans="1:28" s="28" customFormat="1" ht="20.25" hidden="1" customHeight="1">
      <c r="A94" s="11">
        <v>45887</v>
      </c>
      <c r="B94" s="16" t="s">
        <v>2305</v>
      </c>
      <c r="C94" s="16" t="s">
        <v>304</v>
      </c>
      <c r="D94" s="16" t="s">
        <v>212</v>
      </c>
      <c r="E94" s="16" t="s">
        <v>62</v>
      </c>
      <c r="F94" s="16" t="s">
        <v>2314</v>
      </c>
      <c r="G94" s="16" t="s">
        <v>71</v>
      </c>
      <c r="H94" s="16" t="s">
        <v>31</v>
      </c>
      <c r="I94" s="16"/>
      <c r="J94" s="16" t="s">
        <v>27</v>
      </c>
      <c r="K94" s="16" t="s">
        <v>1573</v>
      </c>
      <c r="L94" s="16" t="s">
        <v>75</v>
      </c>
      <c r="M94" s="17">
        <v>186</v>
      </c>
      <c r="N94" s="23">
        <v>1.29</v>
      </c>
      <c r="O94" s="16" t="s">
        <v>67</v>
      </c>
      <c r="P94" s="16" t="s">
        <v>63</v>
      </c>
      <c r="Q94" s="16" t="s">
        <v>29</v>
      </c>
      <c r="R94" s="16" t="s">
        <v>29</v>
      </c>
      <c r="S94" s="12" t="s">
        <v>2099</v>
      </c>
      <c r="T94" s="13">
        <v>45902</v>
      </c>
      <c r="U94" s="19"/>
      <c r="V94" s="53">
        <f>M94-U94-Y94-AA94</f>
        <v>-3.3999999999999915</v>
      </c>
      <c r="W94" s="22" t="s">
        <v>2324</v>
      </c>
      <c r="X94" s="16" t="s">
        <v>29</v>
      </c>
      <c r="Y94" s="19">
        <v>107.3</v>
      </c>
      <c r="Z94" s="14">
        <v>45902</v>
      </c>
      <c r="AA94" s="19">
        <v>82.1</v>
      </c>
      <c r="AB94" s="252">
        <v>45911</v>
      </c>
    </row>
    <row r="95" spans="1:28" s="28" customFormat="1" ht="20.25" hidden="1" customHeight="1">
      <c r="A95" s="11">
        <v>45887</v>
      </c>
      <c r="B95" s="16" t="s">
        <v>2306</v>
      </c>
      <c r="C95" s="16" t="s">
        <v>267</v>
      </c>
      <c r="D95" s="16" t="s">
        <v>212</v>
      </c>
      <c r="E95" s="16" t="s">
        <v>62</v>
      </c>
      <c r="F95" s="16" t="s">
        <v>2315</v>
      </c>
      <c r="G95" s="16" t="s">
        <v>71</v>
      </c>
      <c r="H95" s="16" t="s">
        <v>26</v>
      </c>
      <c r="I95" s="16"/>
      <c r="J95" s="16" t="s">
        <v>27</v>
      </c>
      <c r="K95" s="16" t="s">
        <v>214</v>
      </c>
      <c r="L95" s="16" t="s">
        <v>75</v>
      </c>
      <c r="M95" s="17">
        <v>259</v>
      </c>
      <c r="N95" s="23">
        <v>1.29</v>
      </c>
      <c r="O95" s="16" t="s">
        <v>1063</v>
      </c>
      <c r="P95" s="16" t="s">
        <v>63</v>
      </c>
      <c r="Q95" s="16" t="s">
        <v>29</v>
      </c>
      <c r="R95" s="16" t="s">
        <v>29</v>
      </c>
      <c r="S95" s="12" t="s">
        <v>2099</v>
      </c>
      <c r="T95" s="13">
        <v>45902</v>
      </c>
      <c r="U95" s="19"/>
      <c r="V95" s="53">
        <f>M95-U95-Y95-AA95</f>
        <v>-0.19999999999998863</v>
      </c>
      <c r="W95" s="22" t="s">
        <v>2325</v>
      </c>
      <c r="X95" s="16" t="s">
        <v>29</v>
      </c>
      <c r="Y95" s="19">
        <v>259.2</v>
      </c>
      <c r="Z95" s="14">
        <v>45903</v>
      </c>
    </row>
    <row r="96" spans="1:28" s="28" customFormat="1" ht="20.25" hidden="1" customHeight="1">
      <c r="A96" s="11">
        <v>45887</v>
      </c>
      <c r="B96" s="16" t="s">
        <v>2307</v>
      </c>
      <c r="C96" s="16" t="s">
        <v>267</v>
      </c>
      <c r="D96" s="16" t="s">
        <v>212</v>
      </c>
      <c r="E96" s="16" t="s">
        <v>62</v>
      </c>
      <c r="F96" s="16" t="s">
        <v>2316</v>
      </c>
      <c r="G96" s="16" t="s">
        <v>71</v>
      </c>
      <c r="H96" s="16" t="s">
        <v>31</v>
      </c>
      <c r="I96" s="16"/>
      <c r="J96" s="16" t="s">
        <v>27</v>
      </c>
      <c r="K96" s="16" t="s">
        <v>2480</v>
      </c>
      <c r="L96" s="16" t="s">
        <v>75</v>
      </c>
      <c r="M96" s="17">
        <v>619</v>
      </c>
      <c r="N96" s="23">
        <v>1.29</v>
      </c>
      <c r="O96" s="16" t="s">
        <v>67</v>
      </c>
      <c r="P96" s="16" t="s">
        <v>63</v>
      </c>
      <c r="Q96" s="16" t="s">
        <v>29</v>
      </c>
      <c r="R96" s="16" t="s">
        <v>29</v>
      </c>
      <c r="S96" s="12" t="s">
        <v>2099</v>
      </c>
      <c r="T96" s="13">
        <v>45902</v>
      </c>
      <c r="U96" s="19"/>
      <c r="V96" s="53">
        <f>M96-U96-Y96-AA96</f>
        <v>-9.7000000000000171</v>
      </c>
      <c r="W96" s="22" t="s">
        <v>2326</v>
      </c>
      <c r="X96" s="16" t="s">
        <v>29</v>
      </c>
      <c r="Y96" s="19">
        <v>412.1</v>
      </c>
      <c r="Z96" s="14">
        <v>45903</v>
      </c>
      <c r="AA96" s="19">
        <v>216.6</v>
      </c>
      <c r="AB96" s="252">
        <v>45911</v>
      </c>
    </row>
    <row r="97" spans="1:28" s="28" customFormat="1" ht="20.25" hidden="1" customHeight="1">
      <c r="A97" s="11">
        <v>45887</v>
      </c>
      <c r="B97" s="16" t="s">
        <v>2308</v>
      </c>
      <c r="C97" s="16" t="s">
        <v>267</v>
      </c>
      <c r="D97" s="16" t="s">
        <v>212</v>
      </c>
      <c r="E97" s="16" t="s">
        <v>62</v>
      </c>
      <c r="F97" s="16" t="s">
        <v>2317</v>
      </c>
      <c r="G97" s="16" t="s">
        <v>71</v>
      </c>
      <c r="H97" s="16" t="s">
        <v>31</v>
      </c>
      <c r="I97" s="16"/>
      <c r="J97" s="16" t="s">
        <v>27</v>
      </c>
      <c r="K97" s="16" t="s">
        <v>214</v>
      </c>
      <c r="L97" s="16" t="s">
        <v>75</v>
      </c>
      <c r="M97" s="17">
        <v>1459</v>
      </c>
      <c r="N97" s="23">
        <v>1.29</v>
      </c>
      <c r="O97" s="16" t="s">
        <v>67</v>
      </c>
      <c r="P97" s="16" t="s">
        <v>63</v>
      </c>
      <c r="Q97" s="16" t="s">
        <v>29</v>
      </c>
      <c r="R97" s="16" t="s">
        <v>29</v>
      </c>
      <c r="S97" s="12" t="s">
        <v>2099</v>
      </c>
      <c r="T97" s="13">
        <v>45902</v>
      </c>
      <c r="U97" s="19"/>
      <c r="V97" s="53">
        <f>M97-U97-Y97-AA97</f>
        <v>-9.9999999999909051E-2</v>
      </c>
      <c r="W97" s="22" t="s">
        <v>2327</v>
      </c>
      <c r="X97" s="16" t="s">
        <v>29</v>
      </c>
      <c r="Y97" s="19">
        <v>1459.1</v>
      </c>
      <c r="Z97" s="14">
        <v>45903</v>
      </c>
    </row>
    <row r="98" spans="1:28" s="28" customFormat="1" ht="20.25" hidden="1" customHeight="1">
      <c r="A98" s="11">
        <v>45891</v>
      </c>
      <c r="B98" s="16" t="s">
        <v>2369</v>
      </c>
      <c r="C98" s="16" t="s">
        <v>298</v>
      </c>
      <c r="D98" s="16" t="s">
        <v>212</v>
      </c>
      <c r="E98" s="16" t="s">
        <v>62</v>
      </c>
      <c r="F98" s="16" t="s">
        <v>2370</v>
      </c>
      <c r="G98" s="16" t="s">
        <v>71</v>
      </c>
      <c r="H98" s="16" t="s">
        <v>31</v>
      </c>
      <c r="I98" s="16"/>
      <c r="J98" s="16" t="s">
        <v>27</v>
      </c>
      <c r="K98" s="16" t="s">
        <v>1012</v>
      </c>
      <c r="L98" s="16" t="s">
        <v>35</v>
      </c>
      <c r="M98" s="17">
        <v>176</v>
      </c>
      <c r="N98" s="23">
        <v>1.31</v>
      </c>
      <c r="O98" s="16" t="s">
        <v>67</v>
      </c>
      <c r="P98" s="16"/>
      <c r="Q98" s="16"/>
      <c r="R98" s="16"/>
      <c r="S98" s="12" t="s">
        <v>2074</v>
      </c>
      <c r="T98" s="13">
        <v>45925</v>
      </c>
      <c r="U98" s="19"/>
      <c r="V98" s="53">
        <f>M98-U98-Y98-AA98</f>
        <v>-1.6999999999999886</v>
      </c>
      <c r="W98" s="22" t="s">
        <v>2371</v>
      </c>
      <c r="X98" s="16"/>
      <c r="Y98" s="19">
        <v>177.7</v>
      </c>
      <c r="Z98" s="14">
        <v>45915</v>
      </c>
    </row>
    <row r="99" spans="1:28" s="28" customFormat="1" ht="20.25" hidden="1" customHeight="1">
      <c r="A99" s="11">
        <v>45894</v>
      </c>
      <c r="B99" s="16" t="s">
        <v>2380</v>
      </c>
      <c r="C99" s="16" t="s">
        <v>228</v>
      </c>
      <c r="D99" s="16" t="s">
        <v>212</v>
      </c>
      <c r="E99" s="16" t="s">
        <v>62</v>
      </c>
      <c r="F99" s="16" t="s">
        <v>2383</v>
      </c>
      <c r="G99" s="16" t="s">
        <v>71</v>
      </c>
      <c r="H99" s="16" t="s">
        <v>31</v>
      </c>
      <c r="I99" s="16"/>
      <c r="J99" s="16" t="s">
        <v>27</v>
      </c>
      <c r="K99" s="16" t="s">
        <v>683</v>
      </c>
      <c r="L99" s="16" t="s">
        <v>75</v>
      </c>
      <c r="M99" s="17">
        <v>104</v>
      </c>
      <c r="N99" s="23">
        <v>1.31</v>
      </c>
      <c r="O99" s="16" t="s">
        <v>1063</v>
      </c>
      <c r="P99" s="16" t="s">
        <v>63</v>
      </c>
      <c r="Q99" s="16" t="s">
        <v>29</v>
      </c>
      <c r="R99" s="16" t="s">
        <v>29</v>
      </c>
      <c r="S99" s="12" t="s">
        <v>2098</v>
      </c>
      <c r="T99" s="13">
        <v>45908</v>
      </c>
      <c r="U99" s="19"/>
      <c r="V99" s="53">
        <f>M99-U99-Y99-AA99</f>
        <v>0</v>
      </c>
      <c r="W99" s="22" t="s">
        <v>2386</v>
      </c>
      <c r="X99" s="16"/>
      <c r="Y99" s="19">
        <f>70.4+33.6</f>
        <v>104</v>
      </c>
      <c r="Z99" s="14">
        <v>45917</v>
      </c>
    </row>
    <row r="100" spans="1:28" s="28" customFormat="1" ht="20.25" hidden="1" customHeight="1">
      <c r="A100" s="11">
        <v>45894</v>
      </c>
      <c r="B100" s="16" t="s">
        <v>2381</v>
      </c>
      <c r="C100" s="16" t="s">
        <v>228</v>
      </c>
      <c r="D100" s="16" t="s">
        <v>212</v>
      </c>
      <c r="E100" s="16" t="s">
        <v>62</v>
      </c>
      <c r="F100" s="16" t="s">
        <v>2384</v>
      </c>
      <c r="G100" s="16" t="s">
        <v>71</v>
      </c>
      <c r="H100" s="16" t="s">
        <v>31</v>
      </c>
      <c r="I100" s="16"/>
      <c r="J100" s="16" t="s">
        <v>27</v>
      </c>
      <c r="K100" s="16" t="s">
        <v>1048</v>
      </c>
      <c r="L100" s="16" t="s">
        <v>75</v>
      </c>
      <c r="M100" s="17">
        <v>173</v>
      </c>
      <c r="N100" s="23">
        <v>1.31</v>
      </c>
      <c r="O100" s="16" t="s">
        <v>67</v>
      </c>
      <c r="P100" s="16" t="s">
        <v>63</v>
      </c>
      <c r="Q100" s="16" t="s">
        <v>29</v>
      </c>
      <c r="R100" s="16" t="s">
        <v>29</v>
      </c>
      <c r="S100" s="12" t="s">
        <v>2098</v>
      </c>
      <c r="T100" s="13">
        <v>45908</v>
      </c>
      <c r="U100" s="332"/>
      <c r="V100" s="53">
        <f>M100-U100-Y100-AA100</f>
        <v>-7.5999999999999943</v>
      </c>
      <c r="W100" s="22" t="s">
        <v>2387</v>
      </c>
      <c r="X100" s="16"/>
      <c r="Y100" s="19">
        <v>56.5</v>
      </c>
      <c r="Z100" s="14">
        <v>45917</v>
      </c>
      <c r="AA100" s="332">
        <v>124.1</v>
      </c>
      <c r="AB100" s="252">
        <v>45931</v>
      </c>
    </row>
    <row r="101" spans="1:28" s="28" customFormat="1" ht="20.25" hidden="1" customHeight="1">
      <c r="A101" s="11">
        <v>45894</v>
      </c>
      <c r="B101" s="16" t="s">
        <v>2381</v>
      </c>
      <c r="C101" s="16" t="s">
        <v>228</v>
      </c>
      <c r="D101" s="16" t="s">
        <v>212</v>
      </c>
      <c r="E101" s="16" t="s">
        <v>62</v>
      </c>
      <c r="F101" s="16" t="s">
        <v>2384</v>
      </c>
      <c r="G101" s="16" t="s">
        <v>71</v>
      </c>
      <c r="H101" s="16" t="s">
        <v>31</v>
      </c>
      <c r="I101" s="16"/>
      <c r="J101" s="16" t="s">
        <v>27</v>
      </c>
      <c r="K101" s="16" t="s">
        <v>483</v>
      </c>
      <c r="L101" s="16" t="s">
        <v>75</v>
      </c>
      <c r="M101" s="17">
        <v>414</v>
      </c>
      <c r="N101" s="23">
        <v>1.31</v>
      </c>
      <c r="O101" s="16" t="s">
        <v>67</v>
      </c>
      <c r="P101" s="16" t="s">
        <v>63</v>
      </c>
      <c r="Q101" s="16" t="s">
        <v>29</v>
      </c>
      <c r="R101" s="16" t="s">
        <v>29</v>
      </c>
      <c r="S101" s="12" t="s">
        <v>2098</v>
      </c>
      <c r="T101" s="13">
        <v>45908</v>
      </c>
      <c r="U101" s="332"/>
      <c r="V101" s="53">
        <f>M101-U101-Y101-AA101</f>
        <v>-7.1999999999999886</v>
      </c>
      <c r="W101" s="22" t="s">
        <v>2388</v>
      </c>
      <c r="X101" s="16"/>
      <c r="Y101" s="332">
        <f>216+205.2</f>
        <v>421.2</v>
      </c>
      <c r="Z101" s="14">
        <v>45931</v>
      </c>
    </row>
    <row r="102" spans="1:28" s="28" customFormat="1" ht="20.25" hidden="1" customHeight="1">
      <c r="A102" s="11">
        <v>45894</v>
      </c>
      <c r="B102" s="16" t="s">
        <v>2382</v>
      </c>
      <c r="C102" s="16" t="s">
        <v>228</v>
      </c>
      <c r="D102" s="16" t="s">
        <v>212</v>
      </c>
      <c r="E102" s="16" t="s">
        <v>62</v>
      </c>
      <c r="F102" s="16" t="s">
        <v>2385</v>
      </c>
      <c r="G102" s="16" t="s">
        <v>71</v>
      </c>
      <c r="H102" s="16" t="s">
        <v>31</v>
      </c>
      <c r="I102" s="16"/>
      <c r="J102" s="16" t="s">
        <v>27</v>
      </c>
      <c r="K102" s="16" t="s">
        <v>230</v>
      </c>
      <c r="L102" s="16" t="s">
        <v>75</v>
      </c>
      <c r="M102" s="17">
        <v>341</v>
      </c>
      <c r="N102" s="23">
        <v>1.31</v>
      </c>
      <c r="O102" s="16" t="s">
        <v>67</v>
      </c>
      <c r="P102" s="16" t="s">
        <v>63</v>
      </c>
      <c r="Q102" s="16" t="s">
        <v>29</v>
      </c>
      <c r="R102" s="16" t="s">
        <v>29</v>
      </c>
      <c r="S102" s="12" t="s">
        <v>2098</v>
      </c>
      <c r="T102" s="13">
        <v>45908</v>
      </c>
      <c r="U102" s="19"/>
      <c r="V102" s="53">
        <f>M102-U102-Y102-AA102</f>
        <v>0</v>
      </c>
      <c r="W102" s="22" t="s">
        <v>2390</v>
      </c>
      <c r="X102" s="16"/>
      <c r="Y102" s="19">
        <v>341</v>
      </c>
      <c r="Z102" s="14">
        <v>45901</v>
      </c>
    </row>
    <row r="103" spans="1:28" s="28" customFormat="1" ht="20.25" hidden="1" customHeight="1">
      <c r="A103" s="11">
        <v>45896</v>
      </c>
      <c r="B103" s="16" t="s">
        <v>2416</v>
      </c>
      <c r="C103" s="16" t="s">
        <v>304</v>
      </c>
      <c r="D103" s="16" t="s">
        <v>212</v>
      </c>
      <c r="E103" s="16" t="s">
        <v>62</v>
      </c>
      <c r="F103" s="16" t="s">
        <v>2418</v>
      </c>
      <c r="G103" s="16" t="s">
        <v>71</v>
      </c>
      <c r="H103" s="16" t="s">
        <v>31</v>
      </c>
      <c r="I103" s="16"/>
      <c r="J103" s="16" t="s">
        <v>27</v>
      </c>
      <c r="K103" s="16" t="s">
        <v>1573</v>
      </c>
      <c r="L103" s="16" t="s">
        <v>35</v>
      </c>
      <c r="M103" s="17">
        <v>50</v>
      </c>
      <c r="N103" s="23">
        <v>1.29</v>
      </c>
      <c r="O103" s="16" t="s">
        <v>67</v>
      </c>
      <c r="P103" s="16" t="s">
        <v>63</v>
      </c>
      <c r="Q103" s="16" t="s">
        <v>29</v>
      </c>
      <c r="R103" s="16" t="s">
        <v>29</v>
      </c>
      <c r="S103" s="12" t="s">
        <v>2098</v>
      </c>
      <c r="T103" s="13">
        <v>45908</v>
      </c>
      <c r="U103" s="19"/>
      <c r="V103" s="53">
        <f>M103-U103-Y103-AA103</f>
        <v>-2.6000000000000014</v>
      </c>
      <c r="W103" s="22" t="s">
        <v>2420</v>
      </c>
      <c r="X103" s="16" t="s">
        <v>1806</v>
      </c>
      <c r="Y103" s="19">
        <v>52.6</v>
      </c>
      <c r="Z103" s="14">
        <v>45911</v>
      </c>
    </row>
    <row r="104" spans="1:28" s="28" customFormat="1" ht="20.25" hidden="1" customHeight="1">
      <c r="A104" s="11">
        <v>45896</v>
      </c>
      <c r="B104" s="16" t="s">
        <v>2417</v>
      </c>
      <c r="C104" s="16" t="s">
        <v>304</v>
      </c>
      <c r="D104" s="16" t="s">
        <v>212</v>
      </c>
      <c r="E104" s="16" t="s">
        <v>62</v>
      </c>
      <c r="F104" s="16" t="s">
        <v>2419</v>
      </c>
      <c r="G104" s="16" t="s">
        <v>71</v>
      </c>
      <c r="H104" s="16" t="s">
        <v>26</v>
      </c>
      <c r="I104" s="16"/>
      <c r="J104" s="16" t="s">
        <v>27</v>
      </c>
      <c r="K104" s="16" t="s">
        <v>645</v>
      </c>
      <c r="L104" s="16" t="s">
        <v>75</v>
      </c>
      <c r="M104" s="17">
        <v>71</v>
      </c>
      <c r="N104" s="23">
        <v>1.29</v>
      </c>
      <c r="O104" s="16" t="s">
        <v>67</v>
      </c>
      <c r="P104" s="16" t="s">
        <v>63</v>
      </c>
      <c r="Q104" s="16" t="s">
        <v>29</v>
      </c>
      <c r="R104" s="16" t="s">
        <v>29</v>
      </c>
      <c r="S104" s="12" t="s">
        <v>2098</v>
      </c>
      <c r="T104" s="13">
        <v>45908</v>
      </c>
      <c r="U104" s="19"/>
      <c r="V104" s="53">
        <f>M104-U104-Y104-AA104</f>
        <v>-3.2000000000000028</v>
      </c>
      <c r="W104" s="22" t="s">
        <v>2421</v>
      </c>
      <c r="X104" s="16" t="s">
        <v>342</v>
      </c>
      <c r="Y104" s="19">
        <v>74.2</v>
      </c>
      <c r="Z104" s="14">
        <v>45911</v>
      </c>
    </row>
    <row r="105" spans="1:28" s="282" customFormat="1" ht="20.25" hidden="1" customHeight="1">
      <c r="A105" s="272">
        <v>45897</v>
      </c>
      <c r="B105" s="273" t="s">
        <v>2434</v>
      </c>
      <c r="C105" s="273" t="s">
        <v>243</v>
      </c>
      <c r="D105" s="273" t="s">
        <v>212</v>
      </c>
      <c r="E105" s="273" t="s">
        <v>62</v>
      </c>
      <c r="F105" s="273" t="s">
        <v>2438</v>
      </c>
      <c r="G105" s="273" t="s">
        <v>71</v>
      </c>
      <c r="H105" s="273" t="s">
        <v>31</v>
      </c>
      <c r="I105" s="273"/>
      <c r="J105" s="273" t="s">
        <v>27</v>
      </c>
      <c r="K105" s="273" t="s">
        <v>623</v>
      </c>
      <c r="L105" s="273" t="s">
        <v>75</v>
      </c>
      <c r="M105" s="274"/>
      <c r="N105" s="275">
        <v>1.31</v>
      </c>
      <c r="O105" s="273" t="s">
        <v>67</v>
      </c>
      <c r="P105" s="273" t="s">
        <v>63</v>
      </c>
      <c r="Q105" s="273" t="s">
        <v>2126</v>
      </c>
      <c r="R105" s="273" t="s">
        <v>2186</v>
      </c>
      <c r="S105" s="276" t="s">
        <v>2429</v>
      </c>
      <c r="T105" s="277">
        <v>45911</v>
      </c>
      <c r="U105" s="278"/>
      <c r="V105" s="279">
        <f>M105-U105-Y105-AA105</f>
        <v>0</v>
      </c>
      <c r="W105" s="280" t="s">
        <v>2442</v>
      </c>
      <c r="X105" s="273" t="s">
        <v>29</v>
      </c>
      <c r="Y105" s="322"/>
      <c r="Z105" s="322"/>
    </row>
    <row r="106" spans="1:28" s="28" customFormat="1" ht="20.25" hidden="1" customHeight="1">
      <c r="A106" s="11">
        <v>45897</v>
      </c>
      <c r="B106" s="16" t="s">
        <v>2435</v>
      </c>
      <c r="C106" s="16" t="s">
        <v>267</v>
      </c>
      <c r="D106" s="16" t="s">
        <v>212</v>
      </c>
      <c r="E106" s="16" t="s">
        <v>62</v>
      </c>
      <c r="F106" s="16" t="s">
        <v>2439</v>
      </c>
      <c r="G106" s="16" t="s">
        <v>71</v>
      </c>
      <c r="H106" s="16" t="s">
        <v>31</v>
      </c>
      <c r="I106" s="16"/>
      <c r="J106" s="16" t="s">
        <v>27</v>
      </c>
      <c r="K106" s="16" t="s">
        <v>351</v>
      </c>
      <c r="L106" s="16" t="s">
        <v>35</v>
      </c>
      <c r="M106" s="17">
        <v>100</v>
      </c>
      <c r="N106" s="23">
        <v>1.29</v>
      </c>
      <c r="O106" s="16" t="s">
        <v>67</v>
      </c>
      <c r="P106" s="16" t="s">
        <v>63</v>
      </c>
      <c r="Q106" s="16" t="s">
        <v>29</v>
      </c>
      <c r="R106" s="16" t="s">
        <v>29</v>
      </c>
      <c r="S106" s="12" t="s">
        <v>2429</v>
      </c>
      <c r="T106" s="13">
        <v>45911</v>
      </c>
      <c r="U106" s="19"/>
      <c r="V106" s="53">
        <f>M106-U106-Y106-AA106</f>
        <v>-0.90000000000000568</v>
      </c>
      <c r="W106" s="22" t="s">
        <v>2443</v>
      </c>
      <c r="X106" s="16" t="s">
        <v>2446</v>
      </c>
      <c r="Y106" s="19">
        <v>100.9</v>
      </c>
      <c r="Z106" s="14">
        <v>45903</v>
      </c>
    </row>
    <row r="107" spans="1:28" s="28" customFormat="1" ht="20.25" hidden="1" customHeight="1">
      <c r="A107" s="11">
        <v>45897</v>
      </c>
      <c r="B107" s="16" t="s">
        <v>2436</v>
      </c>
      <c r="C107" s="16" t="s">
        <v>267</v>
      </c>
      <c r="D107" s="16" t="s">
        <v>212</v>
      </c>
      <c r="E107" s="16" t="s">
        <v>62</v>
      </c>
      <c r="F107" s="16" t="s">
        <v>2440</v>
      </c>
      <c r="G107" s="16" t="s">
        <v>71</v>
      </c>
      <c r="H107" s="16" t="s">
        <v>31</v>
      </c>
      <c r="I107" s="16"/>
      <c r="J107" s="16" t="s">
        <v>27</v>
      </c>
      <c r="K107" s="16" t="s">
        <v>683</v>
      </c>
      <c r="L107" s="16" t="s">
        <v>75</v>
      </c>
      <c r="M107" s="17">
        <v>2900</v>
      </c>
      <c r="N107" s="23">
        <v>1.29</v>
      </c>
      <c r="O107" s="16" t="s">
        <v>1063</v>
      </c>
      <c r="P107" s="16" t="s">
        <v>63</v>
      </c>
      <c r="Q107" s="16" t="s">
        <v>29</v>
      </c>
      <c r="R107" s="16" t="s">
        <v>29</v>
      </c>
      <c r="S107" s="12" t="s">
        <v>2429</v>
      </c>
      <c r="T107" s="13">
        <v>45911</v>
      </c>
      <c r="U107" s="19"/>
      <c r="V107" s="53">
        <f>M107-U107-Y107-AA107</f>
        <v>-1.5</v>
      </c>
      <c r="W107" s="22" t="s">
        <v>2444</v>
      </c>
      <c r="X107" s="16" t="s">
        <v>594</v>
      </c>
      <c r="Y107" s="19">
        <f>1437.3+1464.2</f>
        <v>2901.5</v>
      </c>
      <c r="Z107" s="14">
        <v>45911</v>
      </c>
    </row>
    <row r="108" spans="1:28" s="28" customFormat="1" ht="20.25" hidden="1" customHeight="1">
      <c r="A108" s="11">
        <v>45897</v>
      </c>
      <c r="B108" s="16" t="s">
        <v>2437</v>
      </c>
      <c r="C108" s="16" t="s">
        <v>400</v>
      </c>
      <c r="D108" s="16" t="s">
        <v>212</v>
      </c>
      <c r="E108" s="16" t="s">
        <v>62</v>
      </c>
      <c r="F108" s="16" t="s">
        <v>2441</v>
      </c>
      <c r="G108" s="16" t="s">
        <v>71</v>
      </c>
      <c r="H108" s="16" t="s">
        <v>31</v>
      </c>
      <c r="I108" s="16"/>
      <c r="J108" s="16" t="s">
        <v>27</v>
      </c>
      <c r="K108" s="16" t="s">
        <v>1601</v>
      </c>
      <c r="L108" s="16" t="s">
        <v>35</v>
      </c>
      <c r="M108" s="17">
        <v>1032</v>
      </c>
      <c r="N108" s="23">
        <v>1.31</v>
      </c>
      <c r="O108" s="16" t="s">
        <v>67</v>
      </c>
      <c r="P108" s="16" t="s">
        <v>63</v>
      </c>
      <c r="Q108" s="16" t="s">
        <v>474</v>
      </c>
      <c r="R108" s="16" t="s">
        <v>475</v>
      </c>
      <c r="S108" s="12" t="s">
        <v>2429</v>
      </c>
      <c r="T108" s="13">
        <v>45911</v>
      </c>
      <c r="U108" s="19"/>
      <c r="V108" s="53">
        <f>M108-U108-Y108-AA108</f>
        <v>0</v>
      </c>
      <c r="W108" s="22" t="s">
        <v>2445</v>
      </c>
      <c r="X108" s="16" t="s">
        <v>29</v>
      </c>
      <c r="Y108" s="9">
        <v>1032</v>
      </c>
      <c r="Z108" s="14">
        <v>45897</v>
      </c>
    </row>
    <row r="109" spans="1:28" s="28" customFormat="1" ht="20.25" hidden="1" customHeight="1">
      <c r="A109" s="11">
        <v>45898</v>
      </c>
      <c r="B109" s="16" t="s">
        <v>2473</v>
      </c>
      <c r="C109" s="16" t="s">
        <v>267</v>
      </c>
      <c r="D109" s="16" t="s">
        <v>212</v>
      </c>
      <c r="E109" s="16" t="s">
        <v>62</v>
      </c>
      <c r="F109" s="16" t="s">
        <v>2475</v>
      </c>
      <c r="G109" s="16" t="s">
        <v>71</v>
      </c>
      <c r="H109" s="16" t="s">
        <v>31</v>
      </c>
      <c r="I109" s="16"/>
      <c r="J109" s="16" t="s">
        <v>27</v>
      </c>
      <c r="K109" s="16" t="s">
        <v>683</v>
      </c>
      <c r="L109" s="16" t="s">
        <v>75</v>
      </c>
      <c r="M109" s="17">
        <v>130</v>
      </c>
      <c r="N109" s="23">
        <v>1.29</v>
      </c>
      <c r="O109" s="16" t="s">
        <v>1063</v>
      </c>
      <c r="P109" s="16" t="s">
        <v>63</v>
      </c>
      <c r="Q109" s="16" t="s">
        <v>29</v>
      </c>
      <c r="R109" s="16" t="s">
        <v>29</v>
      </c>
      <c r="S109" s="12" t="s">
        <v>2429</v>
      </c>
      <c r="T109" s="13">
        <v>45911</v>
      </c>
      <c r="U109" s="19"/>
      <c r="V109" s="53">
        <f>M109-U109-Y109-AA109</f>
        <v>-0.69999999999998863</v>
      </c>
      <c r="W109" s="22" t="s">
        <v>2477</v>
      </c>
      <c r="X109" s="16" t="s">
        <v>2479</v>
      </c>
      <c r="Y109" s="19">
        <v>130.69999999999999</v>
      </c>
      <c r="Z109" s="14">
        <v>45911</v>
      </c>
    </row>
    <row r="110" spans="1:28" s="28" customFormat="1" ht="20.25" hidden="1" customHeight="1">
      <c r="A110" s="11">
        <v>45898</v>
      </c>
      <c r="B110" s="16" t="s">
        <v>2474</v>
      </c>
      <c r="C110" s="16" t="s">
        <v>267</v>
      </c>
      <c r="D110" s="16" t="s">
        <v>212</v>
      </c>
      <c r="E110" s="16" t="s">
        <v>62</v>
      </c>
      <c r="F110" s="16" t="s">
        <v>2476</v>
      </c>
      <c r="G110" s="16" t="s">
        <v>71</v>
      </c>
      <c r="H110" s="16" t="s">
        <v>26</v>
      </c>
      <c r="I110" s="16"/>
      <c r="J110" s="16" t="s">
        <v>27</v>
      </c>
      <c r="K110" s="16" t="s">
        <v>693</v>
      </c>
      <c r="L110" s="16" t="s">
        <v>75</v>
      </c>
      <c r="M110" s="17">
        <v>37</v>
      </c>
      <c r="N110" s="23">
        <v>1.29</v>
      </c>
      <c r="O110" s="16" t="s">
        <v>67</v>
      </c>
      <c r="P110" s="16" t="s">
        <v>63</v>
      </c>
      <c r="Q110" s="16" t="s">
        <v>29</v>
      </c>
      <c r="R110" s="16" t="s">
        <v>29</v>
      </c>
      <c r="S110" s="12" t="s">
        <v>1803</v>
      </c>
      <c r="T110" s="13">
        <v>45912</v>
      </c>
      <c r="U110" s="19"/>
      <c r="V110" s="53">
        <f>M110-U110-Y110-AA110</f>
        <v>-1.2999999999999972</v>
      </c>
      <c r="W110" s="22" t="s">
        <v>2478</v>
      </c>
      <c r="X110" s="16" t="s">
        <v>2446</v>
      </c>
      <c r="Y110" s="19">
        <v>38.299999999999997</v>
      </c>
      <c r="Z110" s="14">
        <v>45903</v>
      </c>
    </row>
    <row r="111" spans="1:28" s="28" customFormat="1" ht="20.25" hidden="1" customHeight="1">
      <c r="A111" s="11">
        <v>45901</v>
      </c>
      <c r="B111" s="16" t="s">
        <v>2507</v>
      </c>
      <c r="C111" s="16" t="s">
        <v>267</v>
      </c>
      <c r="D111" s="16" t="s">
        <v>212</v>
      </c>
      <c r="E111" s="16" t="s">
        <v>62</v>
      </c>
      <c r="F111" s="16" t="s">
        <v>2510</v>
      </c>
      <c r="G111" s="16" t="s">
        <v>71</v>
      </c>
      <c r="H111" s="16" t="s">
        <v>26</v>
      </c>
      <c r="I111" s="16"/>
      <c r="J111" s="16" t="s">
        <v>27</v>
      </c>
      <c r="K111" s="16" t="s">
        <v>223</v>
      </c>
      <c r="L111" s="16" t="s">
        <v>75</v>
      </c>
      <c r="M111" s="17">
        <v>35</v>
      </c>
      <c r="N111" s="23">
        <v>1.29</v>
      </c>
      <c r="O111" s="16" t="s">
        <v>67</v>
      </c>
      <c r="P111" s="16" t="s">
        <v>63</v>
      </c>
      <c r="Q111" s="16" t="s">
        <v>29</v>
      </c>
      <c r="R111" s="16" t="s">
        <v>29</v>
      </c>
      <c r="S111" s="12" t="s">
        <v>2378</v>
      </c>
      <c r="T111" s="13">
        <v>45915</v>
      </c>
      <c r="U111" s="19"/>
      <c r="V111" s="53">
        <f>M111-U111-Y111-AA111</f>
        <v>-1.8999999999999995</v>
      </c>
      <c r="W111" s="22" t="s">
        <v>2513</v>
      </c>
      <c r="X111" s="16" t="s">
        <v>1021</v>
      </c>
      <c r="Y111" s="19">
        <v>29.2</v>
      </c>
      <c r="Z111" s="14">
        <v>45911</v>
      </c>
      <c r="AA111" s="19">
        <v>7.7</v>
      </c>
      <c r="AB111" s="252">
        <v>45922</v>
      </c>
    </row>
    <row r="112" spans="1:28" s="28" customFormat="1" ht="20.25" hidden="1" customHeight="1">
      <c r="A112" s="11">
        <v>45901</v>
      </c>
      <c r="B112" s="16" t="s">
        <v>2508</v>
      </c>
      <c r="C112" s="16" t="s">
        <v>267</v>
      </c>
      <c r="D112" s="16" t="s">
        <v>212</v>
      </c>
      <c r="E112" s="16" t="s">
        <v>62</v>
      </c>
      <c r="F112" s="16" t="s">
        <v>2511</v>
      </c>
      <c r="G112" s="16" t="s">
        <v>71</v>
      </c>
      <c r="H112" s="16" t="s">
        <v>26</v>
      </c>
      <c r="I112" s="16"/>
      <c r="J112" s="16" t="s">
        <v>27</v>
      </c>
      <c r="K112" s="16" t="s">
        <v>214</v>
      </c>
      <c r="L112" s="16" t="s">
        <v>75</v>
      </c>
      <c r="M112" s="17">
        <v>877</v>
      </c>
      <c r="N112" s="23">
        <v>1.29</v>
      </c>
      <c r="O112" s="16" t="s">
        <v>67</v>
      </c>
      <c r="P112" s="16" t="s">
        <v>63</v>
      </c>
      <c r="Q112" s="16" t="s">
        <v>29</v>
      </c>
      <c r="R112" s="16" t="s">
        <v>29</v>
      </c>
      <c r="S112" s="12" t="s">
        <v>2378</v>
      </c>
      <c r="T112" s="13">
        <v>45915</v>
      </c>
      <c r="U112" s="19"/>
      <c r="V112" s="53">
        <f>M112-U112-Y112-AA112</f>
        <v>-1.7999999999999545</v>
      </c>
      <c r="W112" s="22" t="s">
        <v>2514</v>
      </c>
      <c r="X112" s="16"/>
      <c r="Y112" s="19">
        <v>878.8</v>
      </c>
      <c r="Z112" s="14">
        <v>45911</v>
      </c>
    </row>
    <row r="113" spans="1:28" s="28" customFormat="1" ht="20.25" hidden="1" customHeight="1">
      <c r="A113" s="11">
        <v>45901</v>
      </c>
      <c r="B113" s="16" t="s">
        <v>2509</v>
      </c>
      <c r="C113" s="16" t="s">
        <v>267</v>
      </c>
      <c r="D113" s="16" t="s">
        <v>212</v>
      </c>
      <c r="E113" s="16" t="s">
        <v>62</v>
      </c>
      <c r="F113" s="16" t="s">
        <v>2512</v>
      </c>
      <c r="G113" s="16" t="s">
        <v>71</v>
      </c>
      <c r="H113" s="16" t="s">
        <v>31</v>
      </c>
      <c r="I113" s="16"/>
      <c r="J113" s="16" t="s">
        <v>27</v>
      </c>
      <c r="K113" s="16" t="s">
        <v>214</v>
      </c>
      <c r="L113" s="16" t="s">
        <v>75</v>
      </c>
      <c r="M113" s="17">
        <v>408</v>
      </c>
      <c r="N113" s="23">
        <v>1.29</v>
      </c>
      <c r="O113" s="16" t="s">
        <v>67</v>
      </c>
      <c r="P113" s="16" t="s">
        <v>63</v>
      </c>
      <c r="Q113" s="16" t="s">
        <v>29</v>
      </c>
      <c r="R113" s="16" t="s">
        <v>29</v>
      </c>
      <c r="S113" s="12" t="s">
        <v>2378</v>
      </c>
      <c r="T113" s="13">
        <v>45915</v>
      </c>
      <c r="U113" s="19"/>
      <c r="V113" s="53">
        <f>M113-U113-Y113-AA113</f>
        <v>-0.19999999999998863</v>
      </c>
      <c r="W113" s="22" t="s">
        <v>2515</v>
      </c>
      <c r="X113" s="16"/>
      <c r="Y113" s="19">
        <v>408.2</v>
      </c>
      <c r="Z113" s="14">
        <v>45911</v>
      </c>
    </row>
    <row r="114" spans="1:28" s="28" customFormat="1" ht="13.5" hidden="1" customHeight="1">
      <c r="A114" s="11">
        <v>45902</v>
      </c>
      <c r="B114" s="16" t="s">
        <v>2524</v>
      </c>
      <c r="C114" s="16" t="s">
        <v>304</v>
      </c>
      <c r="D114" s="16" t="s">
        <v>212</v>
      </c>
      <c r="E114" s="16" t="s">
        <v>62</v>
      </c>
      <c r="F114" s="16" t="s">
        <v>2541</v>
      </c>
      <c r="G114" s="16" t="s">
        <v>71</v>
      </c>
      <c r="H114" s="16" t="s">
        <v>26</v>
      </c>
      <c r="I114" s="16"/>
      <c r="J114" s="16" t="s">
        <v>27</v>
      </c>
      <c r="K114" s="16" t="s">
        <v>1687</v>
      </c>
      <c r="L114" s="16" t="s">
        <v>35</v>
      </c>
      <c r="M114" s="17">
        <v>60</v>
      </c>
      <c r="N114" s="23">
        <v>1.29</v>
      </c>
      <c r="O114" s="16" t="s">
        <v>67</v>
      </c>
      <c r="P114" s="16" t="s">
        <v>63</v>
      </c>
      <c r="Q114" s="16" t="s">
        <v>29</v>
      </c>
      <c r="R114" s="16" t="s">
        <v>29</v>
      </c>
      <c r="S114" s="12" t="s">
        <v>2400</v>
      </c>
      <c r="T114" s="13">
        <v>45916</v>
      </c>
      <c r="U114" s="19"/>
      <c r="V114" s="53">
        <f>M114-U114-Y114-AA114</f>
        <v>0</v>
      </c>
      <c r="W114" s="22" t="s">
        <v>2531</v>
      </c>
      <c r="X114" s="16" t="s">
        <v>342</v>
      </c>
      <c r="Y114" s="19">
        <v>60</v>
      </c>
      <c r="Z114" s="14">
        <v>45911</v>
      </c>
    </row>
    <row r="115" spans="1:28" s="36" customFormat="1" ht="13.5" hidden="1" customHeight="1">
      <c r="A115" s="7">
        <v>45902</v>
      </c>
      <c r="B115" s="19" t="s">
        <v>2525</v>
      </c>
      <c r="C115" s="19" t="s">
        <v>267</v>
      </c>
      <c r="D115" s="19" t="s">
        <v>212</v>
      </c>
      <c r="E115" s="19" t="s">
        <v>62</v>
      </c>
      <c r="F115" s="19" t="s">
        <v>2528</v>
      </c>
      <c r="G115" s="19" t="s">
        <v>71</v>
      </c>
      <c r="H115" s="19" t="s">
        <v>31</v>
      </c>
      <c r="I115" s="16"/>
      <c r="J115" s="16" t="s">
        <v>27</v>
      </c>
      <c r="K115" s="19" t="s">
        <v>2530</v>
      </c>
      <c r="L115" s="16" t="s">
        <v>75</v>
      </c>
      <c r="M115" s="20">
        <v>270</v>
      </c>
      <c r="N115" s="25">
        <v>1.29</v>
      </c>
      <c r="O115" s="19" t="s">
        <v>67</v>
      </c>
      <c r="P115" s="19" t="s">
        <v>63</v>
      </c>
      <c r="Q115" s="19" t="s">
        <v>29</v>
      </c>
      <c r="R115" s="19" t="s">
        <v>29</v>
      </c>
      <c r="S115" s="45" t="s">
        <v>2521</v>
      </c>
      <c r="T115" s="8">
        <v>45923</v>
      </c>
      <c r="U115" s="19"/>
      <c r="V115" s="55">
        <f>M115-U115-Y115-AA115</f>
        <v>-4.0999999999999943</v>
      </c>
      <c r="W115" s="15" t="s">
        <v>2532</v>
      </c>
      <c r="X115" s="19" t="s">
        <v>29</v>
      </c>
      <c r="Y115" s="19">
        <v>186</v>
      </c>
      <c r="Z115" s="18">
        <v>45911</v>
      </c>
      <c r="AA115" s="19">
        <v>88.1</v>
      </c>
      <c r="AB115" s="123">
        <v>45932</v>
      </c>
    </row>
    <row r="116" spans="1:28" s="28" customFormat="1" ht="13.5" hidden="1" customHeight="1">
      <c r="A116" s="11">
        <v>45902</v>
      </c>
      <c r="B116" s="16" t="s">
        <v>2526</v>
      </c>
      <c r="C116" s="16" t="s">
        <v>267</v>
      </c>
      <c r="D116" s="16" t="s">
        <v>212</v>
      </c>
      <c r="E116" s="16" t="s">
        <v>62</v>
      </c>
      <c r="F116" s="16" t="s">
        <v>2529</v>
      </c>
      <c r="G116" s="16" t="s">
        <v>71</v>
      </c>
      <c r="H116" s="16" t="s">
        <v>31</v>
      </c>
      <c r="I116" s="16"/>
      <c r="J116" s="16" t="s">
        <v>27</v>
      </c>
      <c r="K116" s="16" t="s">
        <v>214</v>
      </c>
      <c r="L116" s="16" t="s">
        <v>75</v>
      </c>
      <c r="M116" s="17">
        <v>101</v>
      </c>
      <c r="N116" s="23">
        <v>1.29</v>
      </c>
      <c r="O116" s="16" t="s">
        <v>67</v>
      </c>
      <c r="P116" s="16" t="s">
        <v>63</v>
      </c>
      <c r="Q116" s="16" t="s">
        <v>29</v>
      </c>
      <c r="R116" s="16" t="s">
        <v>29</v>
      </c>
      <c r="S116" s="12" t="s">
        <v>2400</v>
      </c>
      <c r="T116" s="13">
        <v>45916</v>
      </c>
      <c r="U116" s="331"/>
      <c r="V116" s="53">
        <f>M116-U116-Y116-AA116</f>
        <v>-0.5</v>
      </c>
      <c r="W116" s="22" t="s">
        <v>2533</v>
      </c>
      <c r="X116" s="16" t="s">
        <v>29</v>
      </c>
      <c r="Y116" s="19">
        <v>101.5</v>
      </c>
      <c r="Z116" s="14">
        <v>45911</v>
      </c>
    </row>
    <row r="117" spans="1:28" s="28" customFormat="1" ht="13.5" hidden="1" customHeight="1">
      <c r="A117" s="11">
        <v>45902</v>
      </c>
      <c r="B117" s="16" t="s">
        <v>2527</v>
      </c>
      <c r="C117" s="16" t="s">
        <v>304</v>
      </c>
      <c r="D117" s="16" t="s">
        <v>212</v>
      </c>
      <c r="E117" s="16" t="s">
        <v>62</v>
      </c>
      <c r="F117" s="16" t="s">
        <v>2542</v>
      </c>
      <c r="G117" s="16" t="s">
        <v>71</v>
      </c>
      <c r="H117" s="16" t="s">
        <v>31</v>
      </c>
      <c r="I117" s="16"/>
      <c r="J117" s="16" t="s">
        <v>27</v>
      </c>
      <c r="K117" s="16" t="s">
        <v>1717</v>
      </c>
      <c r="L117" s="16" t="s">
        <v>75</v>
      </c>
      <c r="M117" s="17">
        <v>80</v>
      </c>
      <c r="N117" s="23">
        <v>1.29</v>
      </c>
      <c r="O117" s="16" t="s">
        <v>67</v>
      </c>
      <c r="P117" s="16" t="s">
        <v>63</v>
      </c>
      <c r="Q117" s="16" t="s">
        <v>29</v>
      </c>
      <c r="R117" s="16" t="s">
        <v>29</v>
      </c>
      <c r="S117" s="12" t="s">
        <v>2521</v>
      </c>
      <c r="T117" s="13">
        <v>45923</v>
      </c>
      <c r="U117" s="19"/>
      <c r="V117" s="53">
        <f>M117-U117-Y117-AA117</f>
        <v>-2.0999999999999943</v>
      </c>
      <c r="W117" s="22" t="s">
        <v>2534</v>
      </c>
      <c r="X117" s="16" t="s">
        <v>29</v>
      </c>
      <c r="Y117" s="19">
        <v>82.1</v>
      </c>
      <c r="Z117" s="14">
        <v>45911</v>
      </c>
    </row>
    <row r="118" spans="1:28" s="28" customFormat="1" ht="13.5" hidden="1" customHeight="1">
      <c r="A118" s="11">
        <v>45903</v>
      </c>
      <c r="B118" s="16" t="s">
        <v>2550</v>
      </c>
      <c r="C118" s="16" t="s">
        <v>267</v>
      </c>
      <c r="D118" s="16" t="s">
        <v>212</v>
      </c>
      <c r="E118" s="16" t="s">
        <v>62</v>
      </c>
      <c r="F118" s="16" t="s">
        <v>2553</v>
      </c>
      <c r="G118" s="16" t="s">
        <v>71</v>
      </c>
      <c r="H118" s="16" t="s">
        <v>31</v>
      </c>
      <c r="I118" s="16"/>
      <c r="J118" s="16" t="s">
        <v>27</v>
      </c>
      <c r="K118" s="16" t="s">
        <v>1573</v>
      </c>
      <c r="L118" s="16" t="s">
        <v>75</v>
      </c>
      <c r="M118" s="17">
        <v>18</v>
      </c>
      <c r="N118" s="23">
        <v>1.29</v>
      </c>
      <c r="O118" s="16" t="s">
        <v>67</v>
      </c>
      <c r="P118" s="16" t="s">
        <v>63</v>
      </c>
      <c r="Q118" s="16" t="s">
        <v>29</v>
      </c>
      <c r="R118" s="16" t="s">
        <v>29</v>
      </c>
      <c r="S118" s="12" t="s">
        <v>2234</v>
      </c>
      <c r="T118" s="13">
        <v>45910</v>
      </c>
      <c r="U118" s="19"/>
      <c r="V118" s="53">
        <f>M118-U118-Y118-AA118</f>
        <v>-1.3999999999999986</v>
      </c>
      <c r="W118" s="22" t="s">
        <v>2557</v>
      </c>
      <c r="X118" s="16" t="s">
        <v>29</v>
      </c>
      <c r="Y118" s="19">
        <v>19.399999999999999</v>
      </c>
      <c r="Z118" s="14">
        <v>45911</v>
      </c>
    </row>
    <row r="119" spans="1:28" s="28" customFormat="1" ht="13.5" hidden="1" customHeight="1">
      <c r="A119" s="11">
        <v>45903</v>
      </c>
      <c r="B119" s="16" t="s">
        <v>2551</v>
      </c>
      <c r="C119" s="16" t="s">
        <v>267</v>
      </c>
      <c r="D119" s="16" t="s">
        <v>212</v>
      </c>
      <c r="E119" s="16" t="s">
        <v>62</v>
      </c>
      <c r="F119" s="16" t="s">
        <v>2554</v>
      </c>
      <c r="G119" s="16" t="s">
        <v>71</v>
      </c>
      <c r="H119" s="16" t="s">
        <v>31</v>
      </c>
      <c r="I119" s="16"/>
      <c r="J119" s="16" t="s">
        <v>27</v>
      </c>
      <c r="K119" s="16" t="s">
        <v>306</v>
      </c>
      <c r="L119" s="16" t="s">
        <v>75</v>
      </c>
      <c r="M119" s="17">
        <v>28</v>
      </c>
      <c r="N119" s="23">
        <v>1.29</v>
      </c>
      <c r="O119" s="16" t="s">
        <v>67</v>
      </c>
      <c r="P119" s="16" t="s">
        <v>63</v>
      </c>
      <c r="Q119" s="16" t="s">
        <v>29</v>
      </c>
      <c r="R119" s="16" t="s">
        <v>1509</v>
      </c>
      <c r="S119" s="12" t="s">
        <v>2556</v>
      </c>
      <c r="T119" s="13">
        <v>45917</v>
      </c>
      <c r="U119" s="19"/>
      <c r="V119" s="53">
        <f>M119-U119-Y119-AA119</f>
        <v>0</v>
      </c>
      <c r="W119" s="22" t="s">
        <v>2558</v>
      </c>
      <c r="X119" s="16" t="s">
        <v>29</v>
      </c>
      <c r="Y119" s="19">
        <v>28</v>
      </c>
      <c r="Z119" s="14">
        <v>45911</v>
      </c>
    </row>
    <row r="120" spans="1:28" s="28" customFormat="1" ht="27" hidden="1" customHeight="1">
      <c r="A120" s="11">
        <v>45903</v>
      </c>
      <c r="B120" s="16" t="s">
        <v>2552</v>
      </c>
      <c r="C120" s="16" t="s">
        <v>304</v>
      </c>
      <c r="D120" s="16" t="s">
        <v>212</v>
      </c>
      <c r="E120" s="16" t="s">
        <v>62</v>
      </c>
      <c r="F120" s="16" t="s">
        <v>2555</v>
      </c>
      <c r="G120" s="16" t="s">
        <v>71</v>
      </c>
      <c r="H120" s="16" t="s">
        <v>31</v>
      </c>
      <c r="I120" s="16"/>
      <c r="J120" s="16" t="s">
        <v>27</v>
      </c>
      <c r="K120" s="16" t="s">
        <v>1796</v>
      </c>
      <c r="L120" s="16" t="s">
        <v>75</v>
      </c>
      <c r="M120" s="17">
        <v>100</v>
      </c>
      <c r="N120" s="23">
        <v>1.29</v>
      </c>
      <c r="O120" s="16" t="s">
        <v>67</v>
      </c>
      <c r="P120" s="16" t="s">
        <v>63</v>
      </c>
      <c r="Q120" s="16" t="s">
        <v>29</v>
      </c>
      <c r="R120" s="16" t="s">
        <v>29</v>
      </c>
      <c r="S120" s="12" t="s">
        <v>2556</v>
      </c>
      <c r="T120" s="13">
        <v>45917</v>
      </c>
      <c r="U120" s="19"/>
      <c r="V120" s="53">
        <f>M120-U120-Y120-AA120</f>
        <v>-0.90000000000000568</v>
      </c>
      <c r="W120" s="22" t="s">
        <v>2559</v>
      </c>
      <c r="X120" s="16" t="s">
        <v>2560</v>
      </c>
      <c r="Y120" s="19">
        <v>100.9</v>
      </c>
      <c r="Z120" s="14">
        <v>45911</v>
      </c>
    </row>
    <row r="121" spans="1:28" s="28" customFormat="1" ht="13.5" hidden="1" customHeight="1">
      <c r="A121" s="11">
        <v>45904</v>
      </c>
      <c r="B121" s="16" t="s">
        <v>2564</v>
      </c>
      <c r="C121" s="16" t="s">
        <v>298</v>
      </c>
      <c r="D121" s="16" t="s">
        <v>212</v>
      </c>
      <c r="E121" s="16" t="s">
        <v>62</v>
      </c>
      <c r="F121" s="16" t="s">
        <v>2565</v>
      </c>
      <c r="G121" s="16" t="s">
        <v>71</v>
      </c>
      <c r="H121" s="16" t="s">
        <v>31</v>
      </c>
      <c r="I121" s="16"/>
      <c r="J121" s="16" t="s">
        <v>27</v>
      </c>
      <c r="K121" s="16" t="s">
        <v>214</v>
      </c>
      <c r="L121" s="16" t="s">
        <v>75</v>
      </c>
      <c r="M121" s="17">
        <v>40</v>
      </c>
      <c r="N121" s="23">
        <v>1.31</v>
      </c>
      <c r="O121" s="16" t="s">
        <v>1063</v>
      </c>
      <c r="P121" s="16" t="s">
        <v>63</v>
      </c>
      <c r="Q121" s="16" t="s">
        <v>29</v>
      </c>
      <c r="R121" s="16" t="s">
        <v>2070</v>
      </c>
      <c r="S121" s="12" t="s">
        <v>2430</v>
      </c>
      <c r="T121" s="13">
        <v>45918</v>
      </c>
      <c r="U121" s="19"/>
      <c r="V121" s="53">
        <f>M121-U121-Y121-AA121</f>
        <v>-1.7000000000000028</v>
      </c>
      <c r="W121" s="22" t="s">
        <v>2566</v>
      </c>
      <c r="X121" s="16"/>
      <c r="Y121" s="19">
        <v>41.7</v>
      </c>
      <c r="Z121" s="14">
        <v>45915</v>
      </c>
    </row>
    <row r="122" spans="1:28" s="28" customFormat="1" ht="13.5" hidden="1" customHeight="1">
      <c r="A122" s="11">
        <v>45904</v>
      </c>
      <c r="B122" s="16" t="s">
        <v>2564</v>
      </c>
      <c r="C122" s="16" t="s">
        <v>298</v>
      </c>
      <c r="D122" s="16" t="s">
        <v>212</v>
      </c>
      <c r="E122" s="16" t="s">
        <v>62</v>
      </c>
      <c r="F122" s="16" t="s">
        <v>2565</v>
      </c>
      <c r="G122" s="16" t="s">
        <v>71</v>
      </c>
      <c r="H122" s="16" t="s">
        <v>31</v>
      </c>
      <c r="I122" s="16"/>
      <c r="J122" s="16" t="s">
        <v>27</v>
      </c>
      <c r="K122" s="16" t="s">
        <v>214</v>
      </c>
      <c r="L122" s="16" t="s">
        <v>75</v>
      </c>
      <c r="M122" s="17">
        <v>243</v>
      </c>
      <c r="N122" s="23">
        <v>1.31</v>
      </c>
      <c r="O122" s="16" t="s">
        <v>1063</v>
      </c>
      <c r="P122" s="16" t="s">
        <v>63</v>
      </c>
      <c r="Q122" s="16" t="s">
        <v>29</v>
      </c>
      <c r="R122" s="16" t="s">
        <v>2070</v>
      </c>
      <c r="S122" s="12" t="s">
        <v>2430</v>
      </c>
      <c r="T122" s="13">
        <v>45918</v>
      </c>
      <c r="U122" s="19"/>
      <c r="V122" s="53">
        <f>M122-U122-Y122-AA122</f>
        <v>-1.5</v>
      </c>
      <c r="W122" s="22" t="s">
        <v>2567</v>
      </c>
      <c r="X122" s="16"/>
      <c r="Y122" s="19">
        <v>244.5</v>
      </c>
      <c r="Z122" s="14">
        <v>45915</v>
      </c>
    </row>
    <row r="123" spans="1:28" s="36" customFormat="1" ht="13.5" hidden="1" customHeight="1">
      <c r="A123" s="7">
        <v>45910</v>
      </c>
      <c r="B123" s="19" t="s">
        <v>2614</v>
      </c>
      <c r="C123" s="19" t="s">
        <v>267</v>
      </c>
      <c r="D123" s="19" t="s">
        <v>212</v>
      </c>
      <c r="E123" s="19" t="s">
        <v>62</v>
      </c>
      <c r="F123" s="19" t="s">
        <v>2617</v>
      </c>
      <c r="G123" s="19" t="s">
        <v>71</v>
      </c>
      <c r="H123" s="19" t="s">
        <v>31</v>
      </c>
      <c r="I123" s="301"/>
      <c r="J123" s="301" t="s">
        <v>27</v>
      </c>
      <c r="K123" s="19" t="s">
        <v>2620</v>
      </c>
      <c r="L123" s="301" t="s">
        <v>35</v>
      </c>
      <c r="M123" s="20">
        <v>478</v>
      </c>
      <c r="N123" s="25">
        <v>1.29</v>
      </c>
      <c r="O123" s="19" t="s">
        <v>67</v>
      </c>
      <c r="P123" s="19" t="s">
        <v>63</v>
      </c>
      <c r="Q123" s="19" t="s">
        <v>29</v>
      </c>
      <c r="R123" s="19" t="s">
        <v>29</v>
      </c>
      <c r="S123" s="45" t="s">
        <v>1801</v>
      </c>
      <c r="T123" s="8">
        <v>45924</v>
      </c>
      <c r="U123" s="19"/>
      <c r="V123" s="55">
        <f>M123-U123-Y123-AA123</f>
        <v>-0.39999999999997726</v>
      </c>
      <c r="W123" s="15" t="s">
        <v>2621</v>
      </c>
      <c r="X123" s="19"/>
      <c r="Y123" s="19">
        <f>204.1+274.3</f>
        <v>478.4</v>
      </c>
      <c r="Z123" s="18">
        <v>45922</v>
      </c>
    </row>
    <row r="124" spans="1:28" s="28" customFormat="1" ht="13.5" hidden="1" customHeight="1">
      <c r="A124" s="11">
        <v>45910</v>
      </c>
      <c r="B124" s="16" t="s">
        <v>2615</v>
      </c>
      <c r="C124" s="16" t="s">
        <v>304</v>
      </c>
      <c r="D124" s="16" t="s">
        <v>212</v>
      </c>
      <c r="E124" s="16" t="s">
        <v>62</v>
      </c>
      <c r="F124" s="16" t="s">
        <v>2618</v>
      </c>
      <c r="G124" s="16" t="s">
        <v>71</v>
      </c>
      <c r="H124" s="16" t="s">
        <v>26</v>
      </c>
      <c r="I124" s="16"/>
      <c r="J124" s="16" t="s">
        <v>27</v>
      </c>
      <c r="K124" s="16" t="s">
        <v>214</v>
      </c>
      <c r="L124" s="16" t="s">
        <v>35</v>
      </c>
      <c r="M124" s="17">
        <v>330</v>
      </c>
      <c r="N124" s="23">
        <v>1.29</v>
      </c>
      <c r="O124" s="16" t="s">
        <v>1063</v>
      </c>
      <c r="P124" s="16" t="s">
        <v>63</v>
      </c>
      <c r="Q124" s="16" t="s">
        <v>29</v>
      </c>
      <c r="R124" s="16" t="s">
        <v>29</v>
      </c>
      <c r="S124" s="12" t="s">
        <v>1801</v>
      </c>
      <c r="T124" s="13">
        <v>45924</v>
      </c>
      <c r="U124" s="19"/>
      <c r="V124" s="53">
        <f>M124-U124-Y124-AA124</f>
        <v>-6.5</v>
      </c>
      <c r="W124" s="22" t="s">
        <v>2622</v>
      </c>
      <c r="X124" s="16"/>
      <c r="Y124" s="19">
        <v>336.5</v>
      </c>
      <c r="Z124" s="14">
        <v>45932</v>
      </c>
    </row>
    <row r="125" spans="1:28" s="28" customFormat="1" ht="13.5" hidden="1" customHeight="1">
      <c r="A125" s="11">
        <v>45910</v>
      </c>
      <c r="B125" s="16" t="s">
        <v>2616</v>
      </c>
      <c r="C125" s="16" t="s">
        <v>304</v>
      </c>
      <c r="D125" s="16" t="s">
        <v>212</v>
      </c>
      <c r="E125" s="16" t="s">
        <v>62</v>
      </c>
      <c r="F125" s="16" t="s">
        <v>2619</v>
      </c>
      <c r="G125" s="16" t="s">
        <v>71</v>
      </c>
      <c r="H125" s="16" t="s">
        <v>26</v>
      </c>
      <c r="I125" s="16"/>
      <c r="J125" s="16" t="s">
        <v>27</v>
      </c>
      <c r="K125" s="16" t="s">
        <v>214</v>
      </c>
      <c r="L125" s="16" t="s">
        <v>35</v>
      </c>
      <c r="M125" s="17">
        <v>20</v>
      </c>
      <c r="N125" s="23">
        <v>1.29</v>
      </c>
      <c r="O125" s="16" t="s">
        <v>1063</v>
      </c>
      <c r="P125" s="16" t="s">
        <v>63</v>
      </c>
      <c r="Q125" s="16" t="s">
        <v>29</v>
      </c>
      <c r="R125" s="16" t="s">
        <v>29</v>
      </c>
      <c r="S125" s="12" t="s">
        <v>1801</v>
      </c>
      <c r="T125" s="13">
        <v>45924</v>
      </c>
      <c r="U125" s="19"/>
      <c r="V125" s="53">
        <f>M125-U125-Y125-AA125</f>
        <v>0</v>
      </c>
      <c r="W125" s="22" t="s">
        <v>2623</v>
      </c>
      <c r="X125" s="16"/>
      <c r="Y125" s="19">
        <v>20</v>
      </c>
      <c r="Z125" s="14">
        <v>45932</v>
      </c>
    </row>
    <row r="126" spans="1:28" s="28" customFormat="1" ht="13.5" hidden="1" customHeight="1">
      <c r="A126" s="11">
        <v>45916</v>
      </c>
      <c r="B126" s="16" t="s">
        <v>2688</v>
      </c>
      <c r="C126" s="16" t="s">
        <v>304</v>
      </c>
      <c r="D126" s="16" t="s">
        <v>212</v>
      </c>
      <c r="E126" s="16" t="s">
        <v>62</v>
      </c>
      <c r="F126" s="16" t="s">
        <v>2691</v>
      </c>
      <c r="G126" s="16" t="s">
        <v>71</v>
      </c>
      <c r="H126" s="16" t="s">
        <v>31</v>
      </c>
      <c r="I126" s="16"/>
      <c r="J126" s="16" t="s">
        <v>27</v>
      </c>
      <c r="K126" s="16" t="s">
        <v>214</v>
      </c>
      <c r="L126" s="16" t="s">
        <v>35</v>
      </c>
      <c r="M126" s="17">
        <v>60</v>
      </c>
      <c r="N126" s="23">
        <v>1.29</v>
      </c>
      <c r="O126" s="16" t="s">
        <v>67</v>
      </c>
      <c r="P126" s="16" t="s">
        <v>63</v>
      </c>
      <c r="Q126" s="16" t="s">
        <v>29</v>
      </c>
      <c r="R126" s="16" t="s">
        <v>29</v>
      </c>
      <c r="S126" s="12" t="s">
        <v>2097</v>
      </c>
      <c r="T126" s="13">
        <v>45930</v>
      </c>
      <c r="U126" s="19"/>
      <c r="V126" s="53">
        <f>M126-U126-Y126-AA126</f>
        <v>-0.39999999999999858</v>
      </c>
      <c r="W126" s="22" t="s">
        <v>2694</v>
      </c>
      <c r="X126" s="16"/>
      <c r="Y126" s="19">
        <v>60.4</v>
      </c>
      <c r="Z126" s="14">
        <v>45932</v>
      </c>
    </row>
    <row r="127" spans="1:28" s="28" customFormat="1" ht="13.5" hidden="1" customHeight="1">
      <c r="A127" s="11">
        <v>45916</v>
      </c>
      <c r="B127" s="16" t="s">
        <v>2689</v>
      </c>
      <c r="C127" s="16" t="s">
        <v>228</v>
      </c>
      <c r="D127" s="16" t="s">
        <v>212</v>
      </c>
      <c r="E127" s="16" t="s">
        <v>62</v>
      </c>
      <c r="F127" s="16" t="s">
        <v>2692</v>
      </c>
      <c r="G127" s="16" t="s">
        <v>71</v>
      </c>
      <c r="H127" s="16" t="s">
        <v>31</v>
      </c>
      <c r="I127" s="16"/>
      <c r="J127" s="16" t="s">
        <v>27</v>
      </c>
      <c r="K127" s="16" t="s">
        <v>218</v>
      </c>
      <c r="L127" s="16" t="s">
        <v>35</v>
      </c>
      <c r="M127" s="17">
        <v>70.900000000000006</v>
      </c>
      <c r="N127" s="23">
        <v>1.31</v>
      </c>
      <c r="O127" s="16" t="s">
        <v>67</v>
      </c>
      <c r="P127" s="16" t="s">
        <v>63</v>
      </c>
      <c r="Q127" s="16" t="s">
        <v>29</v>
      </c>
      <c r="R127" s="16" t="s">
        <v>29</v>
      </c>
      <c r="S127" s="12" t="s">
        <v>2097</v>
      </c>
      <c r="T127" s="13">
        <v>45930</v>
      </c>
      <c r="U127" s="332"/>
      <c r="V127" s="53">
        <f>M127-U127-Y127-AA127</f>
        <v>-0.79999999999999716</v>
      </c>
      <c r="W127" s="22" t="s">
        <v>2695</v>
      </c>
      <c r="X127" s="16"/>
      <c r="Y127" s="332">
        <v>71.7</v>
      </c>
      <c r="Z127" s="14">
        <v>45931</v>
      </c>
    </row>
    <row r="128" spans="1:28" s="28" customFormat="1" ht="13.5" hidden="1" customHeight="1">
      <c r="A128" s="11">
        <v>45916</v>
      </c>
      <c r="B128" s="16" t="s">
        <v>2690</v>
      </c>
      <c r="C128" s="16" t="s">
        <v>228</v>
      </c>
      <c r="D128" s="16" t="s">
        <v>212</v>
      </c>
      <c r="E128" s="16" t="s">
        <v>62</v>
      </c>
      <c r="F128" s="16" t="s">
        <v>2693</v>
      </c>
      <c r="G128" s="16" t="s">
        <v>71</v>
      </c>
      <c r="H128" s="16" t="s">
        <v>31</v>
      </c>
      <c r="I128" s="16"/>
      <c r="J128" s="16" t="s">
        <v>27</v>
      </c>
      <c r="K128" s="16" t="s">
        <v>2462</v>
      </c>
      <c r="L128" s="16" t="s">
        <v>35</v>
      </c>
      <c r="M128" s="17">
        <v>57.6</v>
      </c>
      <c r="N128" s="23">
        <v>1.31</v>
      </c>
      <c r="O128" s="16" t="s">
        <v>67</v>
      </c>
      <c r="P128" s="16" t="s">
        <v>63</v>
      </c>
      <c r="Q128" s="16" t="s">
        <v>29</v>
      </c>
      <c r="R128" s="16" t="s">
        <v>29</v>
      </c>
      <c r="S128" s="12" t="s">
        <v>2097</v>
      </c>
      <c r="T128" s="13">
        <v>45930</v>
      </c>
      <c r="U128" s="332"/>
      <c r="V128" s="53">
        <f>M128-U128-Y128-AA128</f>
        <v>-3.6000000000000014</v>
      </c>
      <c r="W128" s="22" t="s">
        <v>2696</v>
      </c>
      <c r="X128" s="16"/>
      <c r="Y128" s="332">
        <v>61.2</v>
      </c>
      <c r="Z128" s="14">
        <v>45931</v>
      </c>
    </row>
    <row r="129" spans="1:30" s="28" customFormat="1" ht="13.5" hidden="1" customHeight="1">
      <c r="A129" s="11">
        <v>45918</v>
      </c>
      <c r="B129" s="16" t="s">
        <v>2722</v>
      </c>
      <c r="C129" s="16" t="s">
        <v>304</v>
      </c>
      <c r="D129" s="16" t="s">
        <v>212</v>
      </c>
      <c r="E129" s="16" t="s">
        <v>62</v>
      </c>
      <c r="F129" s="16" t="s">
        <v>2723</v>
      </c>
      <c r="G129" s="16" t="s">
        <v>71</v>
      </c>
      <c r="H129" s="16" t="s">
        <v>31</v>
      </c>
      <c r="I129" s="16"/>
      <c r="J129" s="16" t="s">
        <v>27</v>
      </c>
      <c r="K129" s="16" t="s">
        <v>214</v>
      </c>
      <c r="L129" s="16" t="s">
        <v>35</v>
      </c>
      <c r="M129" s="17">
        <v>230</v>
      </c>
      <c r="N129" s="23">
        <v>1.29</v>
      </c>
      <c r="O129" s="16" t="s">
        <v>1063</v>
      </c>
      <c r="P129" s="16" t="s">
        <v>63</v>
      </c>
      <c r="Q129" s="16" t="s">
        <v>29</v>
      </c>
      <c r="R129" s="16" t="s">
        <v>29</v>
      </c>
      <c r="S129" s="12" t="s">
        <v>2633</v>
      </c>
      <c r="T129" s="13">
        <v>45932</v>
      </c>
      <c r="U129" s="19"/>
      <c r="V129" s="53">
        <f>M129-U129-Y129-AA129</f>
        <v>-0.69999999999998863</v>
      </c>
      <c r="W129" s="22" t="s">
        <v>2724</v>
      </c>
      <c r="X129" s="16" t="s">
        <v>29</v>
      </c>
      <c r="Y129" s="19">
        <v>230.7</v>
      </c>
      <c r="Z129" s="14">
        <v>45932</v>
      </c>
    </row>
    <row r="130" spans="1:30" s="28" customFormat="1" ht="27" hidden="1" customHeight="1">
      <c r="A130" s="11">
        <v>45919</v>
      </c>
      <c r="B130" s="16" t="s">
        <v>2742</v>
      </c>
      <c r="C130" s="16" t="s">
        <v>2092</v>
      </c>
      <c r="D130" s="16" t="s">
        <v>212</v>
      </c>
      <c r="E130" s="16" t="s">
        <v>62</v>
      </c>
      <c r="F130" s="16">
        <v>4000031686</v>
      </c>
      <c r="G130" s="16" t="s">
        <v>71</v>
      </c>
      <c r="H130" s="16" t="s">
        <v>26</v>
      </c>
      <c r="I130" s="16"/>
      <c r="J130" s="16" t="s">
        <v>27</v>
      </c>
      <c r="K130" s="16" t="s">
        <v>214</v>
      </c>
      <c r="L130" s="16" t="s">
        <v>35</v>
      </c>
      <c r="M130" s="17">
        <v>1256.0999999999999</v>
      </c>
      <c r="N130" s="23">
        <v>1.3</v>
      </c>
      <c r="O130" s="16" t="s">
        <v>1063</v>
      </c>
      <c r="P130" s="16" t="s">
        <v>63</v>
      </c>
      <c r="Q130" s="16" t="s">
        <v>29</v>
      </c>
      <c r="R130" s="16" t="s">
        <v>29</v>
      </c>
      <c r="S130" s="12" t="s">
        <v>2611</v>
      </c>
      <c r="T130" s="13">
        <v>45933</v>
      </c>
      <c r="U130" s="19"/>
      <c r="V130" s="53">
        <f>M130-U130-Y130-AA130</f>
        <v>-1.7000000000000455</v>
      </c>
      <c r="W130" s="22" t="s">
        <v>2743</v>
      </c>
      <c r="X130" s="16" t="s">
        <v>29</v>
      </c>
      <c r="Y130" s="19">
        <v>1257.8</v>
      </c>
      <c r="Z130" s="14">
        <v>45933</v>
      </c>
    </row>
    <row r="131" spans="1:30" s="28" customFormat="1" ht="13.5" hidden="1" customHeight="1">
      <c r="A131" s="11">
        <v>45923</v>
      </c>
      <c r="B131" s="16" t="s">
        <v>2822</v>
      </c>
      <c r="C131" s="16" t="s">
        <v>304</v>
      </c>
      <c r="D131" s="16" t="s">
        <v>212</v>
      </c>
      <c r="E131" s="16" t="s">
        <v>62</v>
      </c>
      <c r="F131" s="16" t="s">
        <v>2823</v>
      </c>
      <c r="G131" s="16" t="s">
        <v>71</v>
      </c>
      <c r="H131" s="16" t="s">
        <v>31</v>
      </c>
      <c r="I131" s="16"/>
      <c r="J131" s="16" t="s">
        <v>27</v>
      </c>
      <c r="K131" s="16" t="s">
        <v>1573</v>
      </c>
      <c r="L131" s="16" t="s">
        <v>35</v>
      </c>
      <c r="M131" s="17">
        <v>337</v>
      </c>
      <c r="N131" s="23">
        <v>1.29</v>
      </c>
      <c r="O131" s="16" t="s">
        <v>67</v>
      </c>
      <c r="P131" s="16" t="s">
        <v>63</v>
      </c>
      <c r="Q131" s="16" t="s">
        <v>29</v>
      </c>
      <c r="R131" s="16" t="s">
        <v>29</v>
      </c>
      <c r="S131" s="12" t="s">
        <v>2683</v>
      </c>
      <c r="T131" s="13">
        <v>45944</v>
      </c>
      <c r="U131" s="19"/>
      <c r="V131" s="53">
        <f>M131-U131-Y131-AA131</f>
        <v>-5.6843418860808015E-14</v>
      </c>
      <c r="W131" s="22" t="s">
        <v>2824</v>
      </c>
      <c r="X131" s="16"/>
      <c r="Y131" s="19">
        <f>153.9+131.8+51.3</f>
        <v>337.00000000000006</v>
      </c>
      <c r="Z131" s="14">
        <v>45936</v>
      </c>
    </row>
    <row r="132" spans="1:30" s="28" customFormat="1" ht="13.5" hidden="1" customHeight="1">
      <c r="A132" s="11">
        <v>45930</v>
      </c>
      <c r="B132" s="16" t="s">
        <v>3098</v>
      </c>
      <c r="C132" s="16" t="s">
        <v>267</v>
      </c>
      <c r="D132" s="16" t="s">
        <v>212</v>
      </c>
      <c r="E132" s="16" t="s">
        <v>62</v>
      </c>
      <c r="F132" s="16" t="s">
        <v>3100</v>
      </c>
      <c r="G132" s="16" t="s">
        <v>71</v>
      </c>
      <c r="H132" s="16" t="s">
        <v>31</v>
      </c>
      <c r="I132" s="1"/>
      <c r="J132" s="1" t="s">
        <v>27</v>
      </c>
      <c r="K132" s="16" t="s">
        <v>760</v>
      </c>
      <c r="L132" s="1" t="s">
        <v>35</v>
      </c>
      <c r="M132" s="17">
        <v>230</v>
      </c>
      <c r="N132" s="23">
        <v>1.29</v>
      </c>
      <c r="O132" s="16" t="s">
        <v>67</v>
      </c>
      <c r="P132" s="16" t="s">
        <v>63</v>
      </c>
      <c r="Q132" s="16" t="s">
        <v>29</v>
      </c>
      <c r="R132" s="16" t="s">
        <v>29</v>
      </c>
      <c r="S132" s="12" t="s">
        <v>2499</v>
      </c>
      <c r="T132" s="13">
        <v>45940</v>
      </c>
      <c r="U132" s="19"/>
      <c r="V132" s="53">
        <f>M132-U132-Y132-AA132-AC132-AE132-AG132</f>
        <v>-0.90000000000000568</v>
      </c>
      <c r="W132" s="22" t="s">
        <v>3102</v>
      </c>
      <c r="X132" s="16"/>
      <c r="Y132" s="19">
        <v>230.9</v>
      </c>
      <c r="Z132" s="14">
        <v>45944</v>
      </c>
    </row>
    <row r="133" spans="1:30" s="28" customFormat="1" ht="13.5" hidden="1" customHeight="1">
      <c r="A133" s="11">
        <v>45930</v>
      </c>
      <c r="B133" s="16" t="s">
        <v>3099</v>
      </c>
      <c r="C133" s="16" t="s">
        <v>267</v>
      </c>
      <c r="D133" s="16" t="s">
        <v>212</v>
      </c>
      <c r="E133" s="16" t="s">
        <v>62</v>
      </c>
      <c r="F133" s="16" t="s">
        <v>3101</v>
      </c>
      <c r="G133" s="16" t="s">
        <v>71</v>
      </c>
      <c r="H133" s="16" t="s">
        <v>31</v>
      </c>
      <c r="I133" s="1"/>
      <c r="J133" s="1" t="s">
        <v>27</v>
      </c>
      <c r="K133" s="16" t="s">
        <v>214</v>
      </c>
      <c r="L133" s="1" t="s">
        <v>35</v>
      </c>
      <c r="M133" s="17">
        <v>100</v>
      </c>
      <c r="N133" s="23">
        <v>1.29</v>
      </c>
      <c r="O133" s="16" t="s">
        <v>67</v>
      </c>
      <c r="P133" s="16" t="s">
        <v>63</v>
      </c>
      <c r="Q133" s="16" t="s">
        <v>29</v>
      </c>
      <c r="R133" s="16" t="s">
        <v>29</v>
      </c>
      <c r="S133" s="12" t="s">
        <v>2499</v>
      </c>
      <c r="T133" s="13">
        <v>45940</v>
      </c>
      <c r="U133" s="19"/>
      <c r="V133" s="53">
        <f>M133-U133-Y133-AA133-AC133-AE133-AG133</f>
        <v>-3.9000000000000057</v>
      </c>
      <c r="W133" s="22" t="s">
        <v>3103</v>
      </c>
      <c r="X133" s="16"/>
      <c r="Y133" s="19">
        <v>103.9</v>
      </c>
      <c r="Z133" s="14">
        <v>45944</v>
      </c>
    </row>
    <row r="134" spans="1:30" s="28" customFormat="1" ht="13.5" hidden="1" customHeight="1">
      <c r="A134" s="11">
        <v>45931</v>
      </c>
      <c r="B134" s="16" t="s">
        <v>3107</v>
      </c>
      <c r="C134" s="16" t="s">
        <v>304</v>
      </c>
      <c r="D134" s="16" t="s">
        <v>212</v>
      </c>
      <c r="E134" s="9" t="s">
        <v>62</v>
      </c>
      <c r="F134" s="16" t="s">
        <v>3110</v>
      </c>
      <c r="G134" s="16" t="s">
        <v>71</v>
      </c>
      <c r="H134" s="16" t="s">
        <v>31</v>
      </c>
      <c r="I134" s="1"/>
      <c r="J134" s="1" t="s">
        <v>27</v>
      </c>
      <c r="K134" s="16" t="s">
        <v>3112</v>
      </c>
      <c r="L134" s="1" t="s">
        <v>35</v>
      </c>
      <c r="M134" s="17">
        <v>500</v>
      </c>
      <c r="N134" s="23">
        <v>1.29</v>
      </c>
      <c r="O134" s="16" t="s">
        <v>67</v>
      </c>
      <c r="P134" s="16" t="s">
        <v>63</v>
      </c>
      <c r="Q134" s="16" t="s">
        <v>29</v>
      </c>
      <c r="R134" s="16" t="s">
        <v>29</v>
      </c>
      <c r="S134" s="12" t="s">
        <v>2867</v>
      </c>
      <c r="T134" s="13">
        <v>45945</v>
      </c>
      <c r="U134" s="19"/>
      <c r="V134" s="53">
        <f>M134-Y134-AA134-AC134-AE134-AG134</f>
        <v>-2.6999999999999886</v>
      </c>
      <c r="W134" s="22" t="s">
        <v>3117</v>
      </c>
      <c r="X134" s="16" t="s">
        <v>29</v>
      </c>
      <c r="Y134" s="19">
        <v>502.7</v>
      </c>
      <c r="Z134" s="14">
        <v>45939</v>
      </c>
    </row>
    <row r="135" spans="1:30" s="282" customFormat="1" ht="13.5" hidden="1" customHeight="1">
      <c r="A135" s="272">
        <v>45933</v>
      </c>
      <c r="B135" s="273" t="s">
        <v>3166</v>
      </c>
      <c r="C135" s="273" t="s">
        <v>304</v>
      </c>
      <c r="D135" s="273" t="s">
        <v>212</v>
      </c>
      <c r="E135" s="273" t="s">
        <v>62</v>
      </c>
      <c r="F135" s="273" t="s">
        <v>3168</v>
      </c>
      <c r="G135" s="273" t="s">
        <v>71</v>
      </c>
      <c r="H135" s="273" t="s">
        <v>26</v>
      </c>
      <c r="I135" s="273"/>
      <c r="J135" s="273" t="s">
        <v>27</v>
      </c>
      <c r="K135" s="273" t="s">
        <v>3170</v>
      </c>
      <c r="L135" s="273" t="s">
        <v>35</v>
      </c>
      <c r="M135" s="274"/>
      <c r="N135" s="275">
        <v>1.29</v>
      </c>
      <c r="O135" s="273" t="s">
        <v>67</v>
      </c>
      <c r="P135" s="273" t="s">
        <v>63</v>
      </c>
      <c r="Q135" s="273" t="s">
        <v>29</v>
      </c>
      <c r="R135" s="273" t="s">
        <v>29</v>
      </c>
      <c r="S135" s="276" t="s">
        <v>2989</v>
      </c>
      <c r="T135" s="277"/>
      <c r="U135" s="278"/>
      <c r="V135" s="279">
        <f>M135-Z135-AB135-AD135-AF135-AH135-AJ135-AL135-AN135-AP135-AR135-AT135-AV135-AX135-AZ135-BB135-BD135-BF135-BH135-U135</f>
        <v>0</v>
      </c>
      <c r="W135" s="280" t="s">
        <v>3171</v>
      </c>
      <c r="X135" s="273" t="s">
        <v>3175</v>
      </c>
      <c r="Y135" s="322"/>
      <c r="Z135" s="322"/>
    </row>
    <row r="136" spans="1:30" s="28" customFormat="1" ht="13.5" hidden="1" customHeight="1">
      <c r="A136" s="11">
        <v>45933</v>
      </c>
      <c r="B136" s="16" t="s">
        <v>3167</v>
      </c>
      <c r="C136" s="16" t="s">
        <v>304</v>
      </c>
      <c r="D136" s="16" t="s">
        <v>212</v>
      </c>
      <c r="E136" s="16" t="s">
        <v>62</v>
      </c>
      <c r="F136" s="16" t="s">
        <v>3169</v>
      </c>
      <c r="G136" s="16" t="s">
        <v>71</v>
      </c>
      <c r="H136" s="16" t="s">
        <v>26</v>
      </c>
      <c r="I136" s="1"/>
      <c r="J136" s="1" t="s">
        <v>27</v>
      </c>
      <c r="K136" s="16" t="s">
        <v>3170</v>
      </c>
      <c r="L136" s="1" t="s">
        <v>35</v>
      </c>
      <c r="M136" s="17">
        <v>53</v>
      </c>
      <c r="N136" s="23">
        <v>1.29</v>
      </c>
      <c r="O136" s="16" t="s">
        <v>67</v>
      </c>
      <c r="P136" s="16" t="s">
        <v>63</v>
      </c>
      <c r="Q136" s="16" t="s">
        <v>29</v>
      </c>
      <c r="R136" s="16" t="s">
        <v>29</v>
      </c>
      <c r="S136" s="12" t="s">
        <v>2989</v>
      </c>
      <c r="T136" s="13">
        <v>45947</v>
      </c>
      <c r="U136" s="19"/>
      <c r="V136" s="53">
        <f>M136-U136-Y136-AA136-AC136-AE136-AG136</f>
        <v>-0.79999999999999716</v>
      </c>
      <c r="W136" s="22" t="s">
        <v>3172</v>
      </c>
      <c r="X136" s="16" t="s">
        <v>29</v>
      </c>
      <c r="Y136" s="19">
        <v>53.8</v>
      </c>
      <c r="Z136" s="14">
        <v>45944</v>
      </c>
    </row>
    <row r="137" spans="1:30" s="28" customFormat="1" ht="27" hidden="1" customHeight="1">
      <c r="A137" s="11">
        <v>45937</v>
      </c>
      <c r="B137" s="16" t="s">
        <v>3196</v>
      </c>
      <c r="C137" s="16" t="s">
        <v>1568</v>
      </c>
      <c r="D137" s="16" t="s">
        <v>212</v>
      </c>
      <c r="E137" s="16" t="s">
        <v>62</v>
      </c>
      <c r="F137" s="16" t="s">
        <v>2490</v>
      </c>
      <c r="G137" s="16" t="s">
        <v>71</v>
      </c>
      <c r="H137" s="16" t="s">
        <v>31</v>
      </c>
      <c r="I137" s="1"/>
      <c r="J137" s="1" t="s">
        <v>27</v>
      </c>
      <c r="K137" s="16" t="s">
        <v>1012</v>
      </c>
      <c r="L137" s="1" t="s">
        <v>35</v>
      </c>
      <c r="M137" s="17">
        <v>452.2</v>
      </c>
      <c r="N137" s="23">
        <v>1.29</v>
      </c>
      <c r="O137" s="16" t="s">
        <v>67</v>
      </c>
      <c r="P137" s="16" t="s">
        <v>63</v>
      </c>
      <c r="Q137" s="16" t="s">
        <v>29</v>
      </c>
      <c r="R137" s="16" t="s">
        <v>29</v>
      </c>
      <c r="S137" s="12" t="s">
        <v>3059</v>
      </c>
      <c r="T137" s="13">
        <v>45951</v>
      </c>
      <c r="U137" s="19"/>
      <c r="V137" s="53">
        <f>M137-U137-Y137-AA137-AC137-AE137-AG137</f>
        <v>-0.59999999999999432</v>
      </c>
      <c r="W137" s="22" t="s">
        <v>3200</v>
      </c>
      <c r="X137" s="16" t="s">
        <v>29</v>
      </c>
      <c r="Y137" s="19">
        <v>40.9</v>
      </c>
      <c r="Z137" s="14">
        <v>45947</v>
      </c>
      <c r="AA137" s="19">
        <v>187.9</v>
      </c>
      <c r="AB137" s="252">
        <v>45954</v>
      </c>
      <c r="AC137" s="19">
        <v>224</v>
      </c>
      <c r="AD137" s="252">
        <v>45975</v>
      </c>
    </row>
    <row r="138" spans="1:30" s="28" customFormat="1" ht="27" hidden="1" customHeight="1">
      <c r="A138" s="11">
        <v>45937</v>
      </c>
      <c r="B138" s="16" t="s">
        <v>3196</v>
      </c>
      <c r="C138" s="16" t="s">
        <v>1568</v>
      </c>
      <c r="D138" s="16" t="s">
        <v>212</v>
      </c>
      <c r="E138" s="16" t="s">
        <v>62</v>
      </c>
      <c r="F138" s="16" t="s">
        <v>2490</v>
      </c>
      <c r="G138" s="16" t="s">
        <v>71</v>
      </c>
      <c r="H138" s="16" t="s">
        <v>31</v>
      </c>
      <c r="I138" s="1"/>
      <c r="J138" s="1" t="s">
        <v>27</v>
      </c>
      <c r="K138" s="16" t="s">
        <v>623</v>
      </c>
      <c r="L138" s="1" t="s">
        <v>35</v>
      </c>
      <c r="M138" s="17">
        <v>10</v>
      </c>
      <c r="N138" s="23">
        <v>1.29</v>
      </c>
      <c r="O138" s="16" t="s">
        <v>67</v>
      </c>
      <c r="P138" s="16" t="s">
        <v>63</v>
      </c>
      <c r="Q138" s="16" t="s">
        <v>29</v>
      </c>
      <c r="R138" s="16" t="s">
        <v>29</v>
      </c>
      <c r="S138" s="12" t="s">
        <v>3059</v>
      </c>
      <c r="T138" s="13">
        <v>45951</v>
      </c>
      <c r="U138" s="19"/>
      <c r="V138" s="53">
        <f>M138-U138-Y138-AA138-AC138-AE138-AG138</f>
        <v>-0.19999999999999929</v>
      </c>
      <c r="W138" s="22" t="s">
        <v>3201</v>
      </c>
      <c r="X138" s="16" t="s">
        <v>29</v>
      </c>
      <c r="Y138" s="19">
        <v>10.199999999999999</v>
      </c>
      <c r="Z138" s="14">
        <v>45944</v>
      </c>
    </row>
    <row r="139" spans="1:30" s="28" customFormat="1" ht="27" hidden="1" customHeight="1">
      <c r="A139" s="11">
        <v>45937</v>
      </c>
      <c r="B139" s="16" t="s">
        <v>3197</v>
      </c>
      <c r="C139" s="16" t="s">
        <v>1568</v>
      </c>
      <c r="D139" s="16" t="s">
        <v>212</v>
      </c>
      <c r="E139" s="16" t="s">
        <v>62</v>
      </c>
      <c r="F139" s="16" t="s">
        <v>3198</v>
      </c>
      <c r="G139" s="16" t="s">
        <v>71</v>
      </c>
      <c r="H139" s="16" t="s">
        <v>31</v>
      </c>
      <c r="I139" s="1"/>
      <c r="J139" s="1" t="s">
        <v>27</v>
      </c>
      <c r="K139" s="16" t="s">
        <v>3199</v>
      </c>
      <c r="L139" s="1" t="s">
        <v>35</v>
      </c>
      <c r="M139" s="17">
        <v>17.309999999999999</v>
      </c>
      <c r="N139" s="23">
        <v>1.29</v>
      </c>
      <c r="O139" s="16" t="s">
        <v>67</v>
      </c>
      <c r="P139" s="16" t="s">
        <v>63</v>
      </c>
      <c r="Q139" s="16" t="s">
        <v>29</v>
      </c>
      <c r="R139" s="16" t="s">
        <v>29</v>
      </c>
      <c r="S139" s="12" t="s">
        <v>3059</v>
      </c>
      <c r="T139" s="13">
        <v>45951</v>
      </c>
      <c r="U139" s="19"/>
      <c r="V139" s="53">
        <f>M139-U139-Y139-AA139-AC139-AE139-AG139</f>
        <v>-2.3900000000000006</v>
      </c>
      <c r="W139" s="22" t="s">
        <v>3202</v>
      </c>
      <c r="X139" s="16" t="s">
        <v>29</v>
      </c>
      <c r="Y139" s="19">
        <v>19.7</v>
      </c>
      <c r="Z139" s="14">
        <v>45965</v>
      </c>
    </row>
    <row r="140" spans="1:30" s="28" customFormat="1" ht="13.5" hidden="1" customHeight="1">
      <c r="A140" s="11">
        <v>45940</v>
      </c>
      <c r="B140" s="16" t="s">
        <v>3252</v>
      </c>
      <c r="C140" s="16" t="s">
        <v>298</v>
      </c>
      <c r="D140" s="16" t="s">
        <v>212</v>
      </c>
      <c r="E140" s="16" t="s">
        <v>62</v>
      </c>
      <c r="F140" s="16" t="s">
        <v>3255</v>
      </c>
      <c r="G140" s="16" t="s">
        <v>71</v>
      </c>
      <c r="H140" s="16" t="s">
        <v>31</v>
      </c>
      <c r="I140" s="16"/>
      <c r="J140" s="16" t="s">
        <v>27</v>
      </c>
      <c r="K140" s="16" t="s">
        <v>975</v>
      </c>
      <c r="L140" s="16" t="s">
        <v>35</v>
      </c>
      <c r="M140" s="17">
        <v>270</v>
      </c>
      <c r="N140" s="23">
        <v>1.29</v>
      </c>
      <c r="O140" s="16" t="s">
        <v>67</v>
      </c>
      <c r="P140" s="16" t="s">
        <v>63</v>
      </c>
      <c r="Q140" s="16" t="s">
        <v>29</v>
      </c>
      <c r="R140" s="16" t="s">
        <v>29</v>
      </c>
      <c r="S140" s="12" t="s">
        <v>3057</v>
      </c>
      <c r="T140" s="13">
        <v>45954</v>
      </c>
      <c r="U140" s="19"/>
      <c r="V140" s="53">
        <f>M140-U140-Y140-AA140-AC140-AE140-AG140</f>
        <v>-3.5</v>
      </c>
      <c r="W140" s="22" t="s">
        <v>3258</v>
      </c>
      <c r="X140" s="16"/>
      <c r="Y140" s="19">
        <v>273.5</v>
      </c>
      <c r="Z140" s="14">
        <v>45960</v>
      </c>
    </row>
    <row r="141" spans="1:30" s="28" customFormat="1" ht="13.5" hidden="1" customHeight="1">
      <c r="A141" s="11">
        <v>45940</v>
      </c>
      <c r="B141" s="16" t="s">
        <v>3253</v>
      </c>
      <c r="C141" s="16" t="s">
        <v>298</v>
      </c>
      <c r="D141" s="16" t="s">
        <v>212</v>
      </c>
      <c r="E141" s="16" t="s">
        <v>62</v>
      </c>
      <c r="F141" s="16" t="s">
        <v>3256</v>
      </c>
      <c r="G141" s="16" t="s">
        <v>71</v>
      </c>
      <c r="H141" s="16" t="s">
        <v>31</v>
      </c>
      <c r="I141" s="16"/>
      <c r="J141" s="16" t="s">
        <v>27</v>
      </c>
      <c r="K141" s="16" t="s">
        <v>975</v>
      </c>
      <c r="L141" s="16" t="s">
        <v>35</v>
      </c>
      <c r="M141" s="17">
        <v>285</v>
      </c>
      <c r="N141" s="23">
        <v>1.29</v>
      </c>
      <c r="O141" s="16" t="s">
        <v>67</v>
      </c>
      <c r="P141" s="16" t="s">
        <v>63</v>
      </c>
      <c r="Q141" s="16" t="s">
        <v>29</v>
      </c>
      <c r="R141" s="16" t="s">
        <v>29</v>
      </c>
      <c r="S141" s="12" t="s">
        <v>3057</v>
      </c>
      <c r="T141" s="13">
        <v>45954</v>
      </c>
      <c r="U141" s="19"/>
      <c r="V141" s="53">
        <f>M141-U141-Y141-AA141-AC141-AE141-AG141</f>
        <v>0</v>
      </c>
      <c r="W141" s="22" t="s">
        <v>3259</v>
      </c>
      <c r="X141" s="16"/>
      <c r="Y141" s="19">
        <v>285</v>
      </c>
      <c r="Z141" s="14">
        <v>45960</v>
      </c>
    </row>
    <row r="142" spans="1:30" s="28" customFormat="1" ht="13.5" hidden="1" customHeight="1">
      <c r="A142" s="11">
        <v>45940</v>
      </c>
      <c r="B142" s="16" t="s">
        <v>3254</v>
      </c>
      <c r="C142" s="16" t="s">
        <v>298</v>
      </c>
      <c r="D142" s="16" t="s">
        <v>212</v>
      </c>
      <c r="E142" s="16" t="s">
        <v>62</v>
      </c>
      <c r="F142" s="16" t="s">
        <v>3257</v>
      </c>
      <c r="G142" s="16" t="s">
        <v>71</v>
      </c>
      <c r="H142" s="16" t="s">
        <v>31</v>
      </c>
      <c r="I142" s="16"/>
      <c r="J142" s="16" t="s">
        <v>27</v>
      </c>
      <c r="K142" s="16" t="s">
        <v>975</v>
      </c>
      <c r="L142" s="16" t="s">
        <v>35</v>
      </c>
      <c r="M142" s="17">
        <v>20</v>
      </c>
      <c r="N142" s="23">
        <v>1.29</v>
      </c>
      <c r="O142" s="16" t="s">
        <v>67</v>
      </c>
      <c r="P142" s="16" t="s">
        <v>63</v>
      </c>
      <c r="Q142" s="16" t="s">
        <v>29</v>
      </c>
      <c r="R142" s="16" t="s">
        <v>29</v>
      </c>
      <c r="S142" s="12" t="s">
        <v>3057</v>
      </c>
      <c r="T142" s="13">
        <v>45954</v>
      </c>
      <c r="U142" s="19"/>
      <c r="V142" s="53">
        <f>M142-U142-Y142-AA142-AC142-AE142-AG142</f>
        <v>-2.1999999999999993</v>
      </c>
      <c r="W142" s="22" t="s">
        <v>3260</v>
      </c>
      <c r="X142" s="16"/>
      <c r="Y142" s="19">
        <v>22.2</v>
      </c>
      <c r="Z142" s="14">
        <v>45960</v>
      </c>
    </row>
    <row r="143" spans="1:30" s="28" customFormat="1" ht="13.5" hidden="1" customHeight="1">
      <c r="A143" s="11">
        <v>45945</v>
      </c>
      <c r="B143" s="16" t="s">
        <v>3342</v>
      </c>
      <c r="C143" s="16" t="s">
        <v>267</v>
      </c>
      <c r="D143" s="16" t="s">
        <v>212</v>
      </c>
      <c r="E143" s="16" t="s">
        <v>62</v>
      </c>
      <c r="F143" s="16" t="s">
        <v>3343</v>
      </c>
      <c r="G143" s="16" t="s">
        <v>71</v>
      </c>
      <c r="H143" s="16" t="s">
        <v>31</v>
      </c>
      <c r="I143" s="16"/>
      <c r="J143" s="16" t="s">
        <v>27</v>
      </c>
      <c r="K143" s="16" t="s">
        <v>3330</v>
      </c>
      <c r="L143" s="16" t="s">
        <v>35</v>
      </c>
      <c r="M143" s="17">
        <v>65</v>
      </c>
      <c r="N143" s="23">
        <v>1.29</v>
      </c>
      <c r="O143" s="16" t="s">
        <v>67</v>
      </c>
      <c r="P143" s="16" t="s">
        <v>63</v>
      </c>
      <c r="Q143" s="16" t="s">
        <v>29</v>
      </c>
      <c r="R143" s="16" t="s">
        <v>29</v>
      </c>
      <c r="S143" s="12" t="s">
        <v>79</v>
      </c>
      <c r="T143" s="13">
        <v>45959</v>
      </c>
      <c r="U143" s="19"/>
      <c r="V143" s="53">
        <f>M143-U143-Y143-AA143-AC143-AE143-AG143</f>
        <v>-1.9000000000000057</v>
      </c>
      <c r="W143" s="22" t="s">
        <v>3344</v>
      </c>
      <c r="X143" s="16" t="s">
        <v>29</v>
      </c>
      <c r="Y143" s="19">
        <v>66.900000000000006</v>
      </c>
      <c r="Z143" s="14">
        <v>45952</v>
      </c>
    </row>
    <row r="144" spans="1:30" s="28" customFormat="1" ht="13.5" hidden="1" customHeight="1">
      <c r="A144" s="11">
        <v>45946</v>
      </c>
      <c r="B144" s="16" t="s">
        <v>3357</v>
      </c>
      <c r="C144" s="16" t="s">
        <v>304</v>
      </c>
      <c r="D144" s="16" t="s">
        <v>212</v>
      </c>
      <c r="E144" s="16" t="s">
        <v>62</v>
      </c>
      <c r="F144" s="16" t="s">
        <v>3365</v>
      </c>
      <c r="G144" s="16" t="s">
        <v>71</v>
      </c>
      <c r="H144" s="16" t="s">
        <v>26</v>
      </c>
      <c r="I144" s="16"/>
      <c r="J144" s="16" t="s">
        <v>27</v>
      </c>
      <c r="K144" s="16" t="s">
        <v>239</v>
      </c>
      <c r="L144" s="16" t="s">
        <v>35</v>
      </c>
      <c r="M144" s="17">
        <v>20</v>
      </c>
      <c r="N144" s="23">
        <v>1.29</v>
      </c>
      <c r="O144" s="16" t="s">
        <v>1063</v>
      </c>
      <c r="P144" s="16" t="s">
        <v>63</v>
      </c>
      <c r="Q144" s="16" t="s">
        <v>29</v>
      </c>
      <c r="R144" s="16" t="s">
        <v>2985</v>
      </c>
      <c r="S144" s="12" t="s">
        <v>3128</v>
      </c>
      <c r="T144" s="13"/>
      <c r="U144" s="19"/>
      <c r="V144" s="53">
        <f>M144-U144-Y144-AA144-AC144-AE144-AG144</f>
        <v>-0.30000000000000071</v>
      </c>
      <c r="W144" s="22" t="s">
        <v>3372</v>
      </c>
      <c r="X144" s="16"/>
      <c r="Y144" s="19">
        <v>20.3</v>
      </c>
      <c r="Z144" s="14">
        <v>45946</v>
      </c>
    </row>
    <row r="145" spans="1:28" s="28" customFormat="1" ht="13.5" hidden="1" customHeight="1">
      <c r="A145" s="11">
        <v>45946</v>
      </c>
      <c r="B145" s="16" t="s">
        <v>3358</v>
      </c>
      <c r="C145" s="16" t="s">
        <v>267</v>
      </c>
      <c r="D145" s="16" t="s">
        <v>212</v>
      </c>
      <c r="E145" s="16" t="s">
        <v>62</v>
      </c>
      <c r="F145" s="16" t="s">
        <v>2968</v>
      </c>
      <c r="G145" s="16" t="s">
        <v>71</v>
      </c>
      <c r="H145" s="16" t="s">
        <v>31</v>
      </c>
      <c r="I145" s="16"/>
      <c r="J145" s="16" t="s">
        <v>27</v>
      </c>
      <c r="K145" s="16" t="s">
        <v>2976</v>
      </c>
      <c r="L145" s="16" t="s">
        <v>35</v>
      </c>
      <c r="M145" s="17">
        <v>370</v>
      </c>
      <c r="N145" s="23">
        <v>1.29</v>
      </c>
      <c r="O145" s="16" t="s">
        <v>67</v>
      </c>
      <c r="P145" s="16" t="s">
        <v>63</v>
      </c>
      <c r="Q145" s="16" t="s">
        <v>29</v>
      </c>
      <c r="R145" s="16" t="s">
        <v>29</v>
      </c>
      <c r="S145" s="12" t="s">
        <v>3350</v>
      </c>
      <c r="T145" s="13">
        <v>45959</v>
      </c>
      <c r="U145" s="19"/>
      <c r="V145" s="53">
        <f>M145-U145-Y145-AA145-AC145-AE145-AG145</f>
        <v>-0.89999999999997726</v>
      </c>
      <c r="W145" s="22" t="s">
        <v>3373</v>
      </c>
      <c r="X145" s="16"/>
      <c r="Y145" s="19">
        <v>370.9</v>
      </c>
      <c r="Z145" s="14">
        <v>45952</v>
      </c>
    </row>
    <row r="146" spans="1:28" s="28" customFormat="1" ht="13.5" hidden="1" customHeight="1">
      <c r="A146" s="11">
        <v>45946</v>
      </c>
      <c r="B146" s="16" t="s">
        <v>3359</v>
      </c>
      <c r="C146" s="16" t="s">
        <v>304</v>
      </c>
      <c r="D146" s="16" t="s">
        <v>212</v>
      </c>
      <c r="E146" s="16" t="s">
        <v>62</v>
      </c>
      <c r="F146" s="16" t="s">
        <v>3366</v>
      </c>
      <c r="G146" s="16" t="s">
        <v>71</v>
      </c>
      <c r="H146" s="16" t="s">
        <v>31</v>
      </c>
      <c r="I146" s="1"/>
      <c r="J146" s="1" t="s">
        <v>27</v>
      </c>
      <c r="K146" s="16" t="s">
        <v>223</v>
      </c>
      <c r="L146" s="1" t="s">
        <v>35</v>
      </c>
      <c r="M146" s="17">
        <v>50</v>
      </c>
      <c r="N146" s="23">
        <v>1.29</v>
      </c>
      <c r="O146" s="16" t="s">
        <v>67</v>
      </c>
      <c r="P146" s="16" t="s">
        <v>63</v>
      </c>
      <c r="Q146" s="16" t="s">
        <v>29</v>
      </c>
      <c r="R146" s="16" t="s">
        <v>29</v>
      </c>
      <c r="S146" s="12" t="s">
        <v>3350</v>
      </c>
      <c r="T146" s="13">
        <v>45959</v>
      </c>
      <c r="U146" s="19"/>
      <c r="V146" s="53">
        <f>M146-U146-Y146-AA146-AC146-AE146-AG146</f>
        <v>-1.5</v>
      </c>
      <c r="W146" s="22" t="s">
        <v>3374</v>
      </c>
      <c r="X146" s="16"/>
      <c r="Y146" s="19">
        <v>51.5</v>
      </c>
      <c r="Z146" s="14">
        <v>45958</v>
      </c>
    </row>
    <row r="147" spans="1:28" s="28" customFormat="1" ht="13.5" hidden="1" customHeight="1">
      <c r="A147" s="11">
        <v>45946</v>
      </c>
      <c r="B147" s="16" t="s">
        <v>3360</v>
      </c>
      <c r="C147" s="16" t="s">
        <v>304</v>
      </c>
      <c r="D147" s="16" t="s">
        <v>212</v>
      </c>
      <c r="E147" s="16" t="s">
        <v>62</v>
      </c>
      <c r="F147" s="16" t="s">
        <v>3367</v>
      </c>
      <c r="G147" s="16" t="s">
        <v>71</v>
      </c>
      <c r="H147" s="16" t="s">
        <v>31</v>
      </c>
      <c r="I147" s="16"/>
      <c r="J147" s="16" t="s">
        <v>27</v>
      </c>
      <c r="K147" s="16" t="s">
        <v>3330</v>
      </c>
      <c r="L147" s="16" t="s">
        <v>35</v>
      </c>
      <c r="M147" s="17">
        <v>130</v>
      </c>
      <c r="N147" s="23">
        <v>1.29</v>
      </c>
      <c r="O147" s="16" t="s">
        <v>67</v>
      </c>
      <c r="P147" s="16" t="s">
        <v>63</v>
      </c>
      <c r="Q147" s="16" t="s">
        <v>29</v>
      </c>
      <c r="R147" s="16" t="s">
        <v>29</v>
      </c>
      <c r="S147" s="12" t="s">
        <v>3350</v>
      </c>
      <c r="T147" s="13">
        <v>45959</v>
      </c>
      <c r="U147" s="19"/>
      <c r="V147" s="53">
        <f>M147-U147-Y147-AA147-AC147-AE147-AG147</f>
        <v>-0.19999999999998863</v>
      </c>
      <c r="W147" s="22" t="s">
        <v>3375</v>
      </c>
      <c r="X147" s="16"/>
      <c r="Y147" s="19">
        <v>130.19999999999999</v>
      </c>
      <c r="Z147" s="14">
        <v>45952</v>
      </c>
    </row>
    <row r="148" spans="1:28" s="28" customFormat="1" ht="13.5" hidden="1" customHeight="1">
      <c r="A148" s="11">
        <v>45946</v>
      </c>
      <c r="B148" s="16" t="s">
        <v>3361</v>
      </c>
      <c r="C148" s="16" t="s">
        <v>304</v>
      </c>
      <c r="D148" s="16" t="s">
        <v>212</v>
      </c>
      <c r="E148" s="16" t="s">
        <v>62</v>
      </c>
      <c r="F148" s="16" t="s">
        <v>3368</v>
      </c>
      <c r="G148" s="16" t="s">
        <v>71</v>
      </c>
      <c r="H148" s="16" t="s">
        <v>31</v>
      </c>
      <c r="I148" s="1"/>
      <c r="J148" s="1" t="s">
        <v>27</v>
      </c>
      <c r="K148" s="16" t="s">
        <v>223</v>
      </c>
      <c r="L148" s="1" t="s">
        <v>35</v>
      </c>
      <c r="M148" s="17">
        <v>110</v>
      </c>
      <c r="N148" s="23">
        <v>1.29</v>
      </c>
      <c r="O148" s="16" t="s">
        <v>67</v>
      </c>
      <c r="P148" s="16" t="s">
        <v>63</v>
      </c>
      <c r="Q148" s="16" t="s">
        <v>29</v>
      </c>
      <c r="R148" s="16" t="s">
        <v>29</v>
      </c>
      <c r="S148" s="12" t="s">
        <v>3350</v>
      </c>
      <c r="T148" s="13">
        <v>45959</v>
      </c>
      <c r="U148" s="19"/>
      <c r="V148" s="53">
        <f>M148-U148-Y148-AA148-AC148-AE148-AG148</f>
        <v>-5</v>
      </c>
      <c r="W148" s="22" t="s">
        <v>3376</v>
      </c>
      <c r="X148" s="16"/>
      <c r="Y148" s="19">
        <f>21+94</f>
        <v>115</v>
      </c>
      <c r="Z148" s="14">
        <v>45958</v>
      </c>
    </row>
    <row r="149" spans="1:28" s="28" customFormat="1" ht="13.5" hidden="1" customHeight="1">
      <c r="A149" s="11">
        <v>45946</v>
      </c>
      <c r="B149" s="16" t="s">
        <v>3362</v>
      </c>
      <c r="C149" s="16" t="s">
        <v>304</v>
      </c>
      <c r="D149" s="16" t="s">
        <v>212</v>
      </c>
      <c r="E149" s="16" t="s">
        <v>62</v>
      </c>
      <c r="F149" s="16" t="s">
        <v>3369</v>
      </c>
      <c r="G149" s="16" t="s">
        <v>71</v>
      </c>
      <c r="H149" s="16" t="s">
        <v>26</v>
      </c>
      <c r="I149" s="16"/>
      <c r="J149" s="16" t="s">
        <v>27</v>
      </c>
      <c r="K149" s="16" t="s">
        <v>3162</v>
      </c>
      <c r="L149" s="16" t="s">
        <v>35</v>
      </c>
      <c r="M149" s="17">
        <v>120</v>
      </c>
      <c r="N149" s="23">
        <v>1.29</v>
      </c>
      <c r="O149" s="16" t="s">
        <v>67</v>
      </c>
      <c r="P149" s="16" t="s">
        <v>63</v>
      </c>
      <c r="Q149" s="16" t="s">
        <v>29</v>
      </c>
      <c r="R149" s="16" t="s">
        <v>29</v>
      </c>
      <c r="S149" s="12" t="s">
        <v>3350</v>
      </c>
      <c r="T149" s="13">
        <v>45959</v>
      </c>
      <c r="U149" s="19"/>
      <c r="V149" s="53">
        <f>M149-U149-Y149-AA149-AC149-AE149-AG149</f>
        <v>-0.40000000000000568</v>
      </c>
      <c r="W149" s="22" t="s">
        <v>3377</v>
      </c>
      <c r="X149" s="16"/>
      <c r="Y149" s="19">
        <v>120.4</v>
      </c>
      <c r="Z149" s="14">
        <v>45952</v>
      </c>
    </row>
    <row r="150" spans="1:28" s="28" customFormat="1" ht="13.5" hidden="1" customHeight="1">
      <c r="A150" s="11">
        <v>45946</v>
      </c>
      <c r="B150" s="16" t="s">
        <v>3363</v>
      </c>
      <c r="C150" s="16" t="s">
        <v>304</v>
      </c>
      <c r="D150" s="16" t="s">
        <v>212</v>
      </c>
      <c r="E150" s="16" t="s">
        <v>62</v>
      </c>
      <c r="F150" s="16" t="s">
        <v>3370</v>
      </c>
      <c r="G150" s="16" t="s">
        <v>71</v>
      </c>
      <c r="H150" s="16" t="s">
        <v>31</v>
      </c>
      <c r="I150" s="16"/>
      <c r="J150" s="16" t="s">
        <v>27</v>
      </c>
      <c r="K150" s="16" t="s">
        <v>3330</v>
      </c>
      <c r="L150" s="16" t="s">
        <v>35</v>
      </c>
      <c r="M150" s="17">
        <v>20</v>
      </c>
      <c r="N150" s="23">
        <v>1.29</v>
      </c>
      <c r="O150" s="16" t="s">
        <v>67</v>
      </c>
      <c r="P150" s="16" t="s">
        <v>63</v>
      </c>
      <c r="Q150" s="16" t="s">
        <v>29</v>
      </c>
      <c r="R150" s="16" t="s">
        <v>29</v>
      </c>
      <c r="S150" s="12" t="s">
        <v>3350</v>
      </c>
      <c r="T150" s="13">
        <v>45959</v>
      </c>
      <c r="U150" s="19"/>
      <c r="V150" s="53">
        <f>M150-U150-Y150-AA150-AC150-AE150-AG150</f>
        <v>-0.10000000000000142</v>
      </c>
      <c r="W150" s="22" t="s">
        <v>3378</v>
      </c>
      <c r="X150" s="16"/>
      <c r="Y150" s="19">
        <v>20.100000000000001</v>
      </c>
      <c r="Z150" s="14">
        <v>45952</v>
      </c>
    </row>
    <row r="151" spans="1:28" s="28" customFormat="1" ht="13.5" hidden="1" customHeight="1">
      <c r="A151" s="11">
        <v>45946</v>
      </c>
      <c r="B151" s="16" t="s">
        <v>3364</v>
      </c>
      <c r="C151" s="16" t="s">
        <v>304</v>
      </c>
      <c r="D151" s="16" t="s">
        <v>212</v>
      </c>
      <c r="E151" s="16" t="s">
        <v>62</v>
      </c>
      <c r="F151" s="16" t="s">
        <v>3371</v>
      </c>
      <c r="G151" s="16" t="s">
        <v>71</v>
      </c>
      <c r="H151" s="16" t="s">
        <v>31</v>
      </c>
      <c r="I151" s="1"/>
      <c r="J151" s="1" t="s">
        <v>27</v>
      </c>
      <c r="K151" s="16" t="s">
        <v>2355</v>
      </c>
      <c r="L151" s="1" t="s">
        <v>35</v>
      </c>
      <c r="M151" s="17">
        <v>130</v>
      </c>
      <c r="N151" s="23">
        <v>1.29</v>
      </c>
      <c r="O151" s="16" t="s">
        <v>67</v>
      </c>
      <c r="P151" s="16" t="s">
        <v>63</v>
      </c>
      <c r="Q151" s="16" t="s">
        <v>29</v>
      </c>
      <c r="R151" s="16" t="s">
        <v>29</v>
      </c>
      <c r="S151" s="12" t="s">
        <v>3350</v>
      </c>
      <c r="T151" s="13">
        <v>45959</v>
      </c>
      <c r="U151" s="19"/>
      <c r="V151" s="53">
        <f>M151-U151-Y151-AA151-AC151-AE151-AG151</f>
        <v>-0.40000000000000568</v>
      </c>
      <c r="W151" s="22" t="s">
        <v>3379</v>
      </c>
      <c r="X151" s="16"/>
      <c r="Y151" s="19">
        <v>130.4</v>
      </c>
      <c r="Z151" s="14">
        <v>45958</v>
      </c>
    </row>
    <row r="152" spans="1:28" s="28" customFormat="1" ht="13.5" hidden="1" customHeight="1">
      <c r="A152" s="11">
        <v>45947</v>
      </c>
      <c r="B152" s="16" t="s">
        <v>3384</v>
      </c>
      <c r="C152" s="16" t="s">
        <v>304</v>
      </c>
      <c r="D152" s="16" t="s">
        <v>212</v>
      </c>
      <c r="E152" s="16" t="s">
        <v>62</v>
      </c>
      <c r="F152" s="16" t="s">
        <v>3385</v>
      </c>
      <c r="G152" s="16" t="s">
        <v>71</v>
      </c>
      <c r="H152" s="16" t="s">
        <v>31</v>
      </c>
      <c r="I152" s="16"/>
      <c r="J152" s="16" t="s">
        <v>27</v>
      </c>
      <c r="K152" s="16" t="s">
        <v>2230</v>
      </c>
      <c r="L152" s="16" t="s">
        <v>35</v>
      </c>
      <c r="M152" s="17">
        <v>90</v>
      </c>
      <c r="N152" s="23">
        <v>1.29</v>
      </c>
      <c r="O152" s="16" t="s">
        <v>67</v>
      </c>
      <c r="P152" s="16" t="s">
        <v>63</v>
      </c>
      <c r="Q152" s="16" t="s">
        <v>29</v>
      </c>
      <c r="R152" s="16" t="s">
        <v>29</v>
      </c>
      <c r="S152" s="12" t="s">
        <v>2563</v>
      </c>
      <c r="T152" s="13">
        <v>45952</v>
      </c>
      <c r="U152" s="19"/>
      <c r="V152" s="53">
        <f>M152-U152-Y152-AA152-AC152-AE152-AG152</f>
        <v>-2.4000000000000057</v>
      </c>
      <c r="W152" s="22" t="s">
        <v>3386</v>
      </c>
      <c r="X152" s="16" t="s">
        <v>29</v>
      </c>
      <c r="Y152" s="19">
        <v>92.4</v>
      </c>
      <c r="Z152" s="14">
        <v>45952</v>
      </c>
    </row>
    <row r="153" spans="1:28" s="28" customFormat="1" ht="13.5" hidden="1" customHeight="1">
      <c r="A153" s="11">
        <v>45950</v>
      </c>
      <c r="B153" s="16" t="s">
        <v>3401</v>
      </c>
      <c r="C153" s="16" t="s">
        <v>304</v>
      </c>
      <c r="D153" s="16" t="s">
        <v>212</v>
      </c>
      <c r="E153" s="16" t="s">
        <v>62</v>
      </c>
      <c r="F153" s="16" t="s">
        <v>3402</v>
      </c>
      <c r="G153" s="16" t="s">
        <v>71</v>
      </c>
      <c r="H153" s="16" t="s">
        <v>31</v>
      </c>
      <c r="I153" s="1"/>
      <c r="J153" s="1" t="s">
        <v>27</v>
      </c>
      <c r="K153" s="16" t="s">
        <v>1796</v>
      </c>
      <c r="L153" s="1" t="s">
        <v>35</v>
      </c>
      <c r="M153" s="17">
        <v>15</v>
      </c>
      <c r="N153" s="23">
        <v>1.29</v>
      </c>
      <c r="O153" s="16" t="s">
        <v>67</v>
      </c>
      <c r="P153" s="16" t="s">
        <v>63</v>
      </c>
      <c r="Q153" s="16" t="s">
        <v>29</v>
      </c>
      <c r="R153" s="16" t="s">
        <v>29</v>
      </c>
      <c r="S153" s="12" t="s">
        <v>3216</v>
      </c>
      <c r="T153" s="13">
        <v>45952</v>
      </c>
      <c r="U153" s="19"/>
      <c r="V153" s="53">
        <f>M153-U153-Y153-AA153-AC153-AE153-AG153</f>
        <v>-4.1000000000000014</v>
      </c>
      <c r="W153" s="22" t="s">
        <v>3403</v>
      </c>
      <c r="X153" s="16" t="s">
        <v>29</v>
      </c>
      <c r="Y153" s="19">
        <v>19.100000000000001</v>
      </c>
      <c r="Z153" s="14">
        <v>45958</v>
      </c>
    </row>
    <row r="154" spans="1:28" s="28" customFormat="1" ht="13.5" hidden="1" customHeight="1">
      <c r="A154" s="11">
        <v>45951</v>
      </c>
      <c r="B154" s="16" t="s">
        <v>3408</v>
      </c>
      <c r="C154" s="16" t="s">
        <v>382</v>
      </c>
      <c r="D154" s="16" t="s">
        <v>212</v>
      </c>
      <c r="E154" s="16" t="s">
        <v>62</v>
      </c>
      <c r="F154" s="16" t="s">
        <v>3409</v>
      </c>
      <c r="G154" s="16" t="s">
        <v>71</v>
      </c>
      <c r="H154" s="16" t="s">
        <v>31</v>
      </c>
      <c r="I154" s="16"/>
      <c r="J154" s="16" t="s">
        <v>27</v>
      </c>
      <c r="K154" s="16" t="s">
        <v>2977</v>
      </c>
      <c r="L154" s="16" t="s">
        <v>35</v>
      </c>
      <c r="M154" s="17">
        <v>27</v>
      </c>
      <c r="N154" s="23">
        <v>1.29</v>
      </c>
      <c r="O154" s="16" t="s">
        <v>67</v>
      </c>
      <c r="P154" s="16" t="s">
        <v>63</v>
      </c>
      <c r="Q154" s="16" t="s">
        <v>29</v>
      </c>
      <c r="R154" s="16" t="s">
        <v>29</v>
      </c>
      <c r="S154" s="12" t="s">
        <v>3277</v>
      </c>
      <c r="T154" s="13">
        <v>45965</v>
      </c>
      <c r="U154" s="19"/>
      <c r="V154" s="53">
        <f>M154-U154-Y154-AA154-AC154-AE154-AG154</f>
        <v>0</v>
      </c>
      <c r="W154" s="22" t="s">
        <v>3410</v>
      </c>
      <c r="X154" s="16" t="s">
        <v>29</v>
      </c>
      <c r="Y154" s="19">
        <v>27</v>
      </c>
      <c r="Z154" s="14">
        <v>45968</v>
      </c>
    </row>
    <row r="155" spans="1:28" s="28" customFormat="1" ht="13.5" hidden="1" customHeight="1">
      <c r="A155" s="11">
        <v>45952</v>
      </c>
      <c r="B155" s="16" t="s">
        <v>3432</v>
      </c>
      <c r="C155" s="16" t="s">
        <v>304</v>
      </c>
      <c r="D155" s="16" t="s">
        <v>212</v>
      </c>
      <c r="E155" s="16" t="s">
        <v>62</v>
      </c>
      <c r="F155" s="16" t="s">
        <v>3434</v>
      </c>
      <c r="G155" s="16" t="s">
        <v>71</v>
      </c>
      <c r="H155" s="16" t="s">
        <v>31</v>
      </c>
      <c r="I155" s="1"/>
      <c r="J155" s="1" t="s">
        <v>27</v>
      </c>
      <c r="K155" s="16" t="s">
        <v>1996</v>
      </c>
      <c r="L155" s="1" t="s">
        <v>35</v>
      </c>
      <c r="M155" s="17">
        <v>135</v>
      </c>
      <c r="N155" s="23">
        <v>1.29</v>
      </c>
      <c r="O155" s="16" t="s">
        <v>67</v>
      </c>
      <c r="P155" s="16" t="s">
        <v>63</v>
      </c>
      <c r="Q155" s="16" t="s">
        <v>29</v>
      </c>
      <c r="R155" s="16" t="s">
        <v>29</v>
      </c>
      <c r="S155" s="12" t="s">
        <v>3335</v>
      </c>
      <c r="T155" s="13">
        <v>45966</v>
      </c>
      <c r="U155" s="19"/>
      <c r="V155" s="53">
        <f>M155-U155-Y155-AA155-AC155-AE155-AG155</f>
        <v>-3</v>
      </c>
      <c r="W155" s="22" t="s">
        <v>3436</v>
      </c>
      <c r="X155" s="16"/>
      <c r="Y155" s="19">
        <v>138</v>
      </c>
      <c r="Z155" s="14">
        <v>45967</v>
      </c>
    </row>
    <row r="156" spans="1:28" s="28" customFormat="1" ht="13.5" hidden="1" customHeight="1">
      <c r="A156" s="11">
        <v>45952</v>
      </c>
      <c r="B156" s="16" t="s">
        <v>3433</v>
      </c>
      <c r="C156" s="16" t="s">
        <v>304</v>
      </c>
      <c r="D156" s="16" t="s">
        <v>212</v>
      </c>
      <c r="E156" s="16" t="s">
        <v>62</v>
      </c>
      <c r="F156" s="16" t="s">
        <v>3435</v>
      </c>
      <c r="G156" s="16" t="s">
        <v>71</v>
      </c>
      <c r="H156" s="16" t="s">
        <v>26</v>
      </c>
      <c r="I156" s="1"/>
      <c r="J156" s="1" t="s">
        <v>27</v>
      </c>
      <c r="K156" s="16" t="s">
        <v>3170</v>
      </c>
      <c r="L156" s="1" t="s">
        <v>75</v>
      </c>
      <c r="M156" s="17">
        <v>70</v>
      </c>
      <c r="N156" s="23">
        <v>1.29</v>
      </c>
      <c r="O156" s="16" t="s">
        <v>67</v>
      </c>
      <c r="P156" s="16" t="s">
        <v>63</v>
      </c>
      <c r="Q156" s="16" t="s">
        <v>29</v>
      </c>
      <c r="R156" s="16" t="s">
        <v>29</v>
      </c>
      <c r="S156" s="12" t="s">
        <v>3335</v>
      </c>
      <c r="T156" s="13">
        <v>45966</v>
      </c>
      <c r="U156" s="19"/>
      <c r="V156" s="53">
        <f>M156-U156-Y156-AA156-AC156-AE156-AG156</f>
        <v>-2.2999999999999972</v>
      </c>
      <c r="W156" s="22" t="s">
        <v>3437</v>
      </c>
      <c r="X156" s="16"/>
      <c r="Y156" s="19">
        <v>72.3</v>
      </c>
      <c r="Z156" s="14">
        <v>45967</v>
      </c>
    </row>
    <row r="157" spans="1:28" s="28" customFormat="1" ht="13.5" hidden="1" customHeight="1">
      <c r="A157" s="11">
        <v>45953</v>
      </c>
      <c r="B157" s="16" t="s">
        <v>3438</v>
      </c>
      <c r="C157" s="16" t="s">
        <v>267</v>
      </c>
      <c r="D157" s="16" t="s">
        <v>212</v>
      </c>
      <c r="E157" s="16" t="s">
        <v>62</v>
      </c>
      <c r="F157" s="16" t="s">
        <v>3439</v>
      </c>
      <c r="G157" s="16" t="s">
        <v>71</v>
      </c>
      <c r="H157" s="16" t="s">
        <v>31</v>
      </c>
      <c r="I157" s="1"/>
      <c r="J157" s="1" t="s">
        <v>27</v>
      </c>
      <c r="K157" s="16" t="s">
        <v>1717</v>
      </c>
      <c r="L157" s="1" t="s">
        <v>35</v>
      </c>
      <c r="M157" s="17">
        <v>150</v>
      </c>
      <c r="N157" s="23">
        <v>1.29</v>
      </c>
      <c r="O157" s="16" t="s">
        <v>67</v>
      </c>
      <c r="P157" s="16" t="s">
        <v>63</v>
      </c>
      <c r="Q157" s="16" t="s">
        <v>29</v>
      </c>
      <c r="R157" s="16" t="s">
        <v>29</v>
      </c>
      <c r="S157" s="12" t="s">
        <v>3057</v>
      </c>
      <c r="T157" s="13">
        <v>45954</v>
      </c>
      <c r="U157" s="19"/>
      <c r="V157" s="53">
        <f>M157-U157-Y157-AA157-AC157-AE157-AG157</f>
        <v>1</v>
      </c>
      <c r="W157" s="22" t="s">
        <v>3440</v>
      </c>
      <c r="X157" s="16"/>
      <c r="Y157" s="19">
        <v>149</v>
      </c>
      <c r="Z157" s="14">
        <v>45958</v>
      </c>
    </row>
    <row r="158" spans="1:28" s="28" customFormat="1" ht="13.5" hidden="1" customHeight="1">
      <c r="A158" s="11">
        <v>45954</v>
      </c>
      <c r="B158" s="16" t="s">
        <v>3448</v>
      </c>
      <c r="C158" s="16" t="s">
        <v>304</v>
      </c>
      <c r="D158" s="16" t="s">
        <v>212</v>
      </c>
      <c r="E158" s="16" t="s">
        <v>62</v>
      </c>
      <c r="F158" s="16" t="s">
        <v>3451</v>
      </c>
      <c r="G158" s="16" t="s">
        <v>71</v>
      </c>
      <c r="H158" s="16" t="s">
        <v>31</v>
      </c>
      <c r="I158" s="1"/>
      <c r="J158" s="1" t="s">
        <v>27</v>
      </c>
      <c r="K158" s="16" t="s">
        <v>537</v>
      </c>
      <c r="L158" s="1" t="s">
        <v>35</v>
      </c>
      <c r="M158" s="17">
        <v>52</v>
      </c>
      <c r="N158" s="23">
        <v>1.29</v>
      </c>
      <c r="O158" s="16" t="s">
        <v>67</v>
      </c>
      <c r="P158" s="16" t="s">
        <v>63</v>
      </c>
      <c r="Q158" s="16" t="s">
        <v>29</v>
      </c>
      <c r="R158" s="16" t="s">
        <v>29</v>
      </c>
      <c r="S158" s="12" t="s">
        <v>3382</v>
      </c>
      <c r="T158" s="13">
        <v>45968</v>
      </c>
      <c r="U158" s="19"/>
      <c r="V158" s="53">
        <f>M158-U158-Y158-AA158-AC158-AE158-AG158</f>
        <v>-0.79999999999999716</v>
      </c>
      <c r="W158" s="22" t="s">
        <v>3456</v>
      </c>
      <c r="X158" s="16" t="s">
        <v>29</v>
      </c>
      <c r="Y158" s="19">
        <v>52.8</v>
      </c>
      <c r="Z158" s="14">
        <v>45972</v>
      </c>
    </row>
    <row r="159" spans="1:28" s="28" customFormat="1" ht="13.5" hidden="1" customHeight="1">
      <c r="A159" s="11">
        <v>45954</v>
      </c>
      <c r="B159" s="16" t="s">
        <v>3449</v>
      </c>
      <c r="C159" s="16" t="s">
        <v>304</v>
      </c>
      <c r="D159" s="16" t="s">
        <v>212</v>
      </c>
      <c r="E159" s="16" t="s">
        <v>62</v>
      </c>
      <c r="F159" s="16" t="s">
        <v>3452</v>
      </c>
      <c r="G159" s="16" t="s">
        <v>71</v>
      </c>
      <c r="H159" s="16" t="s">
        <v>31</v>
      </c>
      <c r="I159" s="1"/>
      <c r="J159" s="1" t="s">
        <v>27</v>
      </c>
      <c r="K159" s="16" t="s">
        <v>537</v>
      </c>
      <c r="L159" s="1" t="s">
        <v>35</v>
      </c>
      <c r="M159" s="17">
        <v>95</v>
      </c>
      <c r="N159" s="23">
        <v>1.29</v>
      </c>
      <c r="O159" s="16" t="s">
        <v>67</v>
      </c>
      <c r="P159" s="16" t="s">
        <v>63</v>
      </c>
      <c r="Q159" s="16" t="s">
        <v>29</v>
      </c>
      <c r="R159" s="16" t="s">
        <v>29</v>
      </c>
      <c r="S159" s="12" t="s">
        <v>3382</v>
      </c>
      <c r="T159" s="13">
        <v>45968</v>
      </c>
      <c r="U159" s="19"/>
      <c r="V159" s="53">
        <f>M159-U159-Y159-AA159-AC159-AE159-AG159</f>
        <v>-3.4999999999999964</v>
      </c>
      <c r="W159" s="22" t="s">
        <v>3457</v>
      </c>
      <c r="X159" s="16" t="s">
        <v>29</v>
      </c>
      <c r="Y159" s="19">
        <v>88.8</v>
      </c>
      <c r="Z159" s="14">
        <v>45967</v>
      </c>
      <c r="AA159" s="19">
        <v>9.6999999999999993</v>
      </c>
      <c r="AB159" s="252">
        <v>45975</v>
      </c>
    </row>
    <row r="160" spans="1:28" s="28" customFormat="1" ht="13.5" hidden="1" customHeight="1">
      <c r="A160" s="11">
        <v>45954</v>
      </c>
      <c r="B160" s="16" t="s">
        <v>3450</v>
      </c>
      <c r="C160" s="16" t="s">
        <v>1568</v>
      </c>
      <c r="D160" s="16" t="s">
        <v>212</v>
      </c>
      <c r="E160" s="16" t="s">
        <v>62</v>
      </c>
      <c r="F160" s="16" t="s">
        <v>3453</v>
      </c>
      <c r="G160" s="16" t="s">
        <v>71</v>
      </c>
      <c r="H160" s="16" t="s">
        <v>31</v>
      </c>
      <c r="I160" s="1"/>
      <c r="J160" s="1" t="s">
        <v>27</v>
      </c>
      <c r="K160" s="16" t="s">
        <v>1458</v>
      </c>
      <c r="L160" s="1" t="s">
        <v>35</v>
      </c>
      <c r="M160" s="17">
        <v>132.46</v>
      </c>
      <c r="N160" s="23">
        <v>1.29</v>
      </c>
      <c r="O160" s="16" t="s">
        <v>67</v>
      </c>
      <c r="P160" s="16" t="s">
        <v>63</v>
      </c>
      <c r="Q160" s="16" t="s">
        <v>29</v>
      </c>
      <c r="R160" s="16" t="s">
        <v>29</v>
      </c>
      <c r="S160" s="12" t="s">
        <v>3382</v>
      </c>
      <c r="T160" s="13">
        <v>45968</v>
      </c>
      <c r="U160" s="19"/>
      <c r="V160" s="53">
        <f>M160-U160-Y160-AA160-AC160-AE160-AG160</f>
        <v>-0.84000000000000341</v>
      </c>
      <c r="W160" s="22" t="s">
        <v>3458</v>
      </c>
      <c r="X160" s="16" t="s">
        <v>29</v>
      </c>
      <c r="Y160" s="19">
        <v>133.30000000000001</v>
      </c>
      <c r="Z160" s="14">
        <v>45968</v>
      </c>
    </row>
    <row r="161" spans="1:28" s="28" customFormat="1" ht="13.5" hidden="1" customHeight="1">
      <c r="A161" s="11">
        <v>45954</v>
      </c>
      <c r="B161" s="16" t="s">
        <v>3450</v>
      </c>
      <c r="C161" s="16" t="s">
        <v>1568</v>
      </c>
      <c r="D161" s="16" t="s">
        <v>212</v>
      </c>
      <c r="E161" s="16" t="s">
        <v>62</v>
      </c>
      <c r="F161" s="16" t="s">
        <v>3453</v>
      </c>
      <c r="G161" s="16" t="s">
        <v>71</v>
      </c>
      <c r="H161" s="16" t="s">
        <v>26</v>
      </c>
      <c r="I161" s="1"/>
      <c r="J161" s="1" t="s">
        <v>27</v>
      </c>
      <c r="K161" s="16" t="s">
        <v>3199</v>
      </c>
      <c r="L161" s="1" t="s">
        <v>35</v>
      </c>
      <c r="M161" s="17">
        <v>56.05</v>
      </c>
      <c r="N161" s="23">
        <v>1.29</v>
      </c>
      <c r="O161" s="16" t="s">
        <v>67</v>
      </c>
      <c r="P161" s="16" t="s">
        <v>63</v>
      </c>
      <c r="Q161" s="16" t="s">
        <v>29</v>
      </c>
      <c r="R161" s="16" t="s">
        <v>29</v>
      </c>
      <c r="S161" s="12" t="s">
        <v>3382</v>
      </c>
      <c r="T161" s="13">
        <v>45968</v>
      </c>
      <c r="U161" s="19"/>
      <c r="V161" s="53">
        <f>M161-U161-Y161-AA161-AC161-AE161-AG161</f>
        <v>-0.85000000000000142</v>
      </c>
      <c r="W161" s="22" t="s">
        <v>3459</v>
      </c>
      <c r="X161" s="16" t="s">
        <v>29</v>
      </c>
      <c r="Y161" s="19">
        <v>56.9</v>
      </c>
      <c r="Z161" s="14">
        <v>45965</v>
      </c>
    </row>
    <row r="162" spans="1:28" s="28" customFormat="1" ht="13.5" hidden="1" customHeight="1">
      <c r="A162" s="11">
        <v>45954</v>
      </c>
      <c r="B162" s="16" t="s">
        <v>3450</v>
      </c>
      <c r="C162" s="16" t="s">
        <v>1568</v>
      </c>
      <c r="D162" s="16" t="s">
        <v>212</v>
      </c>
      <c r="E162" s="16" t="s">
        <v>62</v>
      </c>
      <c r="F162" s="16" t="s">
        <v>3453</v>
      </c>
      <c r="G162" s="16" t="s">
        <v>71</v>
      </c>
      <c r="H162" s="16" t="s">
        <v>31</v>
      </c>
      <c r="I162" s="1"/>
      <c r="J162" s="1" t="s">
        <v>27</v>
      </c>
      <c r="K162" s="16" t="s">
        <v>3454</v>
      </c>
      <c r="L162" s="1" t="s">
        <v>35</v>
      </c>
      <c r="M162" s="17">
        <v>184.62</v>
      </c>
      <c r="N162" s="23">
        <v>1.29</v>
      </c>
      <c r="O162" s="16" t="s">
        <v>67</v>
      </c>
      <c r="P162" s="16" t="s">
        <v>63</v>
      </c>
      <c r="Q162" s="16" t="s">
        <v>29</v>
      </c>
      <c r="R162" s="16" t="s">
        <v>29</v>
      </c>
      <c r="S162" s="12" t="s">
        <v>3382</v>
      </c>
      <c r="T162" s="13">
        <v>45968</v>
      </c>
      <c r="U162" s="19"/>
      <c r="V162" s="53">
        <f>M162-U162-Y162-AA162-AC162-AE162-AG162</f>
        <v>-1.7800000000000011</v>
      </c>
      <c r="W162" s="22" t="s">
        <v>3460</v>
      </c>
      <c r="X162" s="16" t="s">
        <v>29</v>
      </c>
      <c r="Y162" s="19">
        <v>186.4</v>
      </c>
      <c r="Z162" s="14">
        <v>45968</v>
      </c>
    </row>
    <row r="163" spans="1:28" s="28" customFormat="1" ht="13.5" hidden="1" customHeight="1">
      <c r="A163" s="11">
        <v>45954</v>
      </c>
      <c r="B163" s="16" t="s">
        <v>3450</v>
      </c>
      <c r="C163" s="16" t="s">
        <v>1568</v>
      </c>
      <c r="D163" s="16" t="s">
        <v>212</v>
      </c>
      <c r="E163" s="16" t="s">
        <v>62</v>
      </c>
      <c r="F163" s="16" t="s">
        <v>3453</v>
      </c>
      <c r="G163" s="16" t="s">
        <v>71</v>
      </c>
      <c r="H163" s="16" t="s">
        <v>26</v>
      </c>
      <c r="I163" s="1"/>
      <c r="J163" s="1" t="s">
        <v>27</v>
      </c>
      <c r="K163" s="16" t="s">
        <v>1458</v>
      </c>
      <c r="L163" s="1" t="s">
        <v>35</v>
      </c>
      <c r="M163" s="17">
        <v>449.86</v>
      </c>
      <c r="N163" s="23">
        <v>1.29</v>
      </c>
      <c r="O163" s="16" t="s">
        <v>67</v>
      </c>
      <c r="P163" s="16" t="s">
        <v>63</v>
      </c>
      <c r="Q163" s="16" t="s">
        <v>29</v>
      </c>
      <c r="R163" s="16" t="s">
        <v>29</v>
      </c>
      <c r="S163" s="12" t="s">
        <v>3382</v>
      </c>
      <c r="T163" s="13">
        <v>45968</v>
      </c>
      <c r="U163" s="19"/>
      <c r="V163" s="53">
        <f>M163-U163-Y163-AA163-AC163-AE163-AG163</f>
        <v>-3.999999999996362E-2</v>
      </c>
      <c r="W163" s="22" t="s">
        <v>3461</v>
      </c>
      <c r="X163" s="16" t="s">
        <v>29</v>
      </c>
      <c r="Y163" s="19">
        <v>449.9</v>
      </c>
      <c r="Z163" s="14">
        <v>45968</v>
      </c>
    </row>
    <row r="164" spans="1:28" s="28" customFormat="1" ht="27" hidden="1" customHeight="1">
      <c r="A164" s="11">
        <v>45954</v>
      </c>
      <c r="B164" s="16" t="s">
        <v>3450</v>
      </c>
      <c r="C164" s="16" t="s">
        <v>1568</v>
      </c>
      <c r="D164" s="16" t="s">
        <v>212</v>
      </c>
      <c r="E164" s="16" t="s">
        <v>62</v>
      </c>
      <c r="F164" s="16" t="s">
        <v>3453</v>
      </c>
      <c r="G164" s="16" t="s">
        <v>71</v>
      </c>
      <c r="H164" s="16" t="s">
        <v>26</v>
      </c>
      <c r="I164" s="1"/>
      <c r="J164" s="1" t="s">
        <v>27</v>
      </c>
      <c r="K164" s="16" t="s">
        <v>218</v>
      </c>
      <c r="L164" s="1" t="s">
        <v>35</v>
      </c>
      <c r="M164" s="17">
        <v>575.54</v>
      </c>
      <c r="N164" s="23">
        <v>1.29</v>
      </c>
      <c r="O164" s="16" t="s">
        <v>1063</v>
      </c>
      <c r="P164" s="16" t="s">
        <v>63</v>
      </c>
      <c r="Q164" s="16" t="s">
        <v>29</v>
      </c>
      <c r="R164" s="16" t="s">
        <v>29</v>
      </c>
      <c r="S164" s="12" t="s">
        <v>3382</v>
      </c>
      <c r="T164" s="13">
        <v>45968</v>
      </c>
      <c r="U164" s="19"/>
      <c r="V164" s="53">
        <f>M164-U164-Y164-AA164-AC164-AE164-AG164</f>
        <v>-1.1600000000000819</v>
      </c>
      <c r="W164" s="22" t="s">
        <v>3462</v>
      </c>
      <c r="X164" s="16" t="s">
        <v>29</v>
      </c>
      <c r="Y164" s="19">
        <v>576.70000000000005</v>
      </c>
      <c r="Z164" s="14">
        <v>45968</v>
      </c>
    </row>
    <row r="165" spans="1:28" s="28" customFormat="1" ht="13.5" hidden="1" customHeight="1">
      <c r="A165" s="11">
        <v>45954</v>
      </c>
      <c r="B165" s="16" t="s">
        <v>3450</v>
      </c>
      <c r="C165" s="16" t="s">
        <v>1568</v>
      </c>
      <c r="D165" s="16" t="s">
        <v>212</v>
      </c>
      <c r="E165" s="16" t="s">
        <v>62</v>
      </c>
      <c r="F165" s="16" t="s">
        <v>3453</v>
      </c>
      <c r="G165" s="16" t="s">
        <v>71</v>
      </c>
      <c r="H165" s="16" t="s">
        <v>31</v>
      </c>
      <c r="I165" s="1"/>
      <c r="J165" s="1" t="s">
        <v>27</v>
      </c>
      <c r="K165" s="16" t="s">
        <v>3455</v>
      </c>
      <c r="L165" s="1" t="s">
        <v>35</v>
      </c>
      <c r="M165" s="17">
        <v>53.56</v>
      </c>
      <c r="N165" s="23">
        <v>1.29</v>
      </c>
      <c r="O165" s="16" t="s">
        <v>67</v>
      </c>
      <c r="P165" s="16" t="s">
        <v>63</v>
      </c>
      <c r="Q165" s="16" t="s">
        <v>29</v>
      </c>
      <c r="R165" s="16" t="s">
        <v>29</v>
      </c>
      <c r="S165" s="12" t="s">
        <v>3382</v>
      </c>
      <c r="T165" s="13">
        <v>45968</v>
      </c>
      <c r="U165" s="19"/>
      <c r="V165" s="53">
        <f>M165-U165-Y165-AA165-AC165-AE165-AG165</f>
        <v>-0.43999999999999773</v>
      </c>
      <c r="W165" s="22" t="s">
        <v>3463</v>
      </c>
      <c r="X165" s="16" t="s">
        <v>29</v>
      </c>
      <c r="Y165" s="19">
        <v>54</v>
      </c>
      <c r="Z165" s="14">
        <v>45972</v>
      </c>
    </row>
    <row r="166" spans="1:28" s="28" customFormat="1" ht="13.5" hidden="1" customHeight="1">
      <c r="A166" s="11">
        <v>45954</v>
      </c>
      <c r="B166" s="16" t="s">
        <v>3450</v>
      </c>
      <c r="C166" s="16" t="s">
        <v>1568</v>
      </c>
      <c r="D166" s="16" t="s">
        <v>212</v>
      </c>
      <c r="E166" s="16" t="s">
        <v>62</v>
      </c>
      <c r="F166" s="16" t="s">
        <v>3453</v>
      </c>
      <c r="G166" s="16" t="s">
        <v>71</v>
      </c>
      <c r="H166" s="16" t="s">
        <v>31</v>
      </c>
      <c r="I166" s="1"/>
      <c r="J166" s="1" t="s">
        <v>27</v>
      </c>
      <c r="K166" s="16" t="s">
        <v>3162</v>
      </c>
      <c r="L166" s="1" t="s">
        <v>35</v>
      </c>
      <c r="M166" s="17">
        <v>462.67</v>
      </c>
      <c r="N166" s="23">
        <v>1.29</v>
      </c>
      <c r="O166" s="1" t="s">
        <v>67</v>
      </c>
      <c r="P166" s="1" t="s">
        <v>63</v>
      </c>
      <c r="Q166" s="1" t="s">
        <v>29</v>
      </c>
      <c r="R166" s="1" t="s">
        <v>29</v>
      </c>
      <c r="S166" s="121" t="s">
        <v>3382</v>
      </c>
      <c r="T166" s="13">
        <v>45968</v>
      </c>
      <c r="U166" s="19"/>
      <c r="V166" s="53">
        <f>M166-U166-Y166-AA166-AC166-AE166-AG166</f>
        <v>-2.8299999999999841</v>
      </c>
      <c r="W166" s="22" t="s">
        <v>3464</v>
      </c>
      <c r="X166" s="16" t="s">
        <v>29</v>
      </c>
      <c r="Y166" s="19">
        <v>172</v>
      </c>
      <c r="Z166" s="14">
        <v>45975</v>
      </c>
      <c r="AA166" s="19">
        <v>293.5</v>
      </c>
      <c r="AB166" s="252">
        <v>45986</v>
      </c>
    </row>
    <row r="167" spans="1:28" s="28" customFormat="1" ht="13.5" hidden="1" customHeight="1">
      <c r="A167" s="11">
        <v>45954</v>
      </c>
      <c r="B167" s="16" t="s">
        <v>3450</v>
      </c>
      <c r="C167" s="16" t="s">
        <v>1568</v>
      </c>
      <c r="D167" s="16" t="s">
        <v>212</v>
      </c>
      <c r="E167" s="16" t="s">
        <v>62</v>
      </c>
      <c r="F167" s="16" t="s">
        <v>3453</v>
      </c>
      <c r="G167" s="16" t="s">
        <v>71</v>
      </c>
      <c r="H167" s="16" t="s">
        <v>26</v>
      </c>
      <c r="I167" s="1"/>
      <c r="J167" s="1" t="s">
        <v>27</v>
      </c>
      <c r="K167" s="16" t="s">
        <v>3162</v>
      </c>
      <c r="L167" s="1" t="s">
        <v>35</v>
      </c>
      <c r="M167" s="17">
        <v>197.15</v>
      </c>
      <c r="N167" s="23">
        <v>1.29</v>
      </c>
      <c r="O167" s="1" t="s">
        <v>67</v>
      </c>
      <c r="P167" s="1" t="s">
        <v>63</v>
      </c>
      <c r="Q167" s="1" t="s">
        <v>29</v>
      </c>
      <c r="R167" s="1" t="s">
        <v>29</v>
      </c>
      <c r="S167" s="121" t="s">
        <v>3382</v>
      </c>
      <c r="T167" s="13">
        <v>45968</v>
      </c>
      <c r="U167" s="19"/>
      <c r="V167" s="53">
        <f>M167-U167-Y167-AA167-AC167-AE167-AG167</f>
        <v>-0.54999999999998295</v>
      </c>
      <c r="W167" s="22" t="s">
        <v>3465</v>
      </c>
      <c r="X167" s="16" t="s">
        <v>29</v>
      </c>
      <c r="Y167" s="19">
        <f>26+171.7</f>
        <v>197.7</v>
      </c>
      <c r="Z167" s="14">
        <v>45986</v>
      </c>
    </row>
    <row r="168" spans="1:28" s="28" customFormat="1" ht="13.5" hidden="1" customHeight="1">
      <c r="A168" s="11">
        <v>45954</v>
      </c>
      <c r="B168" s="16" t="s">
        <v>3450</v>
      </c>
      <c r="C168" s="16" t="s">
        <v>1568</v>
      </c>
      <c r="D168" s="16" t="s">
        <v>212</v>
      </c>
      <c r="E168" s="16" t="s">
        <v>62</v>
      </c>
      <c r="F168" s="16" t="s">
        <v>3453</v>
      </c>
      <c r="G168" s="16" t="s">
        <v>71</v>
      </c>
      <c r="H168" s="16" t="s">
        <v>31</v>
      </c>
      <c r="I168" s="1"/>
      <c r="J168" s="1" t="s">
        <v>27</v>
      </c>
      <c r="K168" s="16" t="s">
        <v>1346</v>
      </c>
      <c r="L168" s="1" t="s">
        <v>35</v>
      </c>
      <c r="M168" s="17">
        <v>113.71</v>
      </c>
      <c r="N168" s="23">
        <v>1.29</v>
      </c>
      <c r="O168" s="16" t="s">
        <v>67</v>
      </c>
      <c r="P168" s="16" t="s">
        <v>63</v>
      </c>
      <c r="Q168" s="16" t="s">
        <v>29</v>
      </c>
      <c r="R168" s="16" t="s">
        <v>29</v>
      </c>
      <c r="S168" s="12" t="s">
        <v>3382</v>
      </c>
      <c r="T168" s="13">
        <v>45968</v>
      </c>
      <c r="U168" s="19"/>
      <c r="V168" s="53">
        <f>M168-U168-Y168-AA168-AC168-AE168-AG168</f>
        <v>-0.29000000000000625</v>
      </c>
      <c r="W168" s="22" t="s">
        <v>3466</v>
      </c>
      <c r="X168" s="16" t="s">
        <v>29</v>
      </c>
      <c r="Y168" s="19">
        <v>114</v>
      </c>
      <c r="Z168" s="14">
        <v>45968</v>
      </c>
    </row>
    <row r="169" spans="1:28" s="28" customFormat="1" ht="13.5" hidden="1" customHeight="1">
      <c r="A169" s="11">
        <v>45957</v>
      </c>
      <c r="B169" s="16" t="s">
        <v>3474</v>
      </c>
      <c r="C169" s="16" t="s">
        <v>298</v>
      </c>
      <c r="D169" s="16" t="s">
        <v>212</v>
      </c>
      <c r="E169" s="16" t="s">
        <v>62</v>
      </c>
      <c r="F169" s="16" t="s">
        <v>3476</v>
      </c>
      <c r="G169" s="16" t="s">
        <v>71</v>
      </c>
      <c r="H169" s="16" t="s">
        <v>31</v>
      </c>
      <c r="I169" s="16"/>
      <c r="J169" s="16" t="s">
        <v>27</v>
      </c>
      <c r="K169" s="16" t="s">
        <v>1012</v>
      </c>
      <c r="L169" s="16" t="s">
        <v>35</v>
      </c>
      <c r="M169" s="17">
        <v>200</v>
      </c>
      <c r="N169" s="23">
        <v>1.29</v>
      </c>
      <c r="O169" s="16" t="s">
        <v>67</v>
      </c>
      <c r="P169" s="16" t="s">
        <v>63</v>
      </c>
      <c r="Q169" s="16" t="s">
        <v>29</v>
      </c>
      <c r="R169" s="16" t="s">
        <v>29</v>
      </c>
      <c r="S169" s="12" t="s">
        <v>3216</v>
      </c>
      <c r="T169" s="13">
        <v>45964</v>
      </c>
      <c r="U169" s="19"/>
      <c r="V169" s="53">
        <f>M169-U169-Y169-AA169-AC169-AE169-AG169</f>
        <v>-6.8000000000000114</v>
      </c>
      <c r="W169" s="22" t="s">
        <v>3478</v>
      </c>
      <c r="X169" s="16" t="s">
        <v>29</v>
      </c>
      <c r="Y169" s="19">
        <v>206.8</v>
      </c>
      <c r="Z169" s="14">
        <v>45960</v>
      </c>
    </row>
    <row r="170" spans="1:28" s="28" customFormat="1" ht="27" hidden="1" customHeight="1">
      <c r="A170" s="11">
        <v>45957</v>
      </c>
      <c r="B170" s="16" t="s">
        <v>3475</v>
      </c>
      <c r="C170" s="16" t="s">
        <v>2092</v>
      </c>
      <c r="D170" s="16" t="s">
        <v>212</v>
      </c>
      <c r="E170" s="16" t="s">
        <v>62</v>
      </c>
      <c r="F170" s="16" t="s">
        <v>3477</v>
      </c>
      <c r="G170" s="16" t="s">
        <v>71</v>
      </c>
      <c r="H170" s="16" t="s">
        <v>26</v>
      </c>
      <c r="I170" s="1"/>
      <c r="J170" s="1" t="s">
        <v>27</v>
      </c>
      <c r="K170" s="16" t="s">
        <v>913</v>
      </c>
      <c r="L170" s="1" t="s">
        <v>35</v>
      </c>
      <c r="M170" s="17">
        <v>1969</v>
      </c>
      <c r="N170" s="23">
        <v>1.29</v>
      </c>
      <c r="O170" s="16" t="s">
        <v>1063</v>
      </c>
      <c r="P170" s="16" t="s">
        <v>63</v>
      </c>
      <c r="Q170" s="16" t="s">
        <v>29</v>
      </c>
      <c r="R170" s="16" t="s">
        <v>29</v>
      </c>
      <c r="S170" s="12" t="s">
        <v>3397</v>
      </c>
      <c r="T170" s="13">
        <v>45971</v>
      </c>
      <c r="U170" s="19"/>
      <c r="V170" s="53">
        <f>M170-U170-Y170-AA170-AC170-AE170-AG170</f>
        <v>0</v>
      </c>
      <c r="W170" s="22" t="s">
        <v>3479</v>
      </c>
      <c r="X170" s="16" t="s">
        <v>2275</v>
      </c>
      <c r="Y170" s="9">
        <v>1969</v>
      </c>
      <c r="Z170" s="14">
        <v>45964</v>
      </c>
    </row>
    <row r="171" spans="1:28" s="28" customFormat="1" ht="20.25" hidden="1" customHeight="1">
      <c r="A171" s="11">
        <v>45958</v>
      </c>
      <c r="B171" s="16" t="s">
        <v>3501</v>
      </c>
      <c r="C171" s="16" t="s">
        <v>304</v>
      </c>
      <c r="D171" s="16" t="s">
        <v>212</v>
      </c>
      <c r="E171" s="16" t="s">
        <v>62</v>
      </c>
      <c r="F171" s="16" t="s">
        <v>3365</v>
      </c>
      <c r="G171" s="16" t="s">
        <v>71</v>
      </c>
      <c r="H171" s="16" t="s">
        <v>26</v>
      </c>
      <c r="I171" s="1"/>
      <c r="J171" s="1" t="s">
        <v>27</v>
      </c>
      <c r="K171" s="16" t="s">
        <v>913</v>
      </c>
      <c r="L171" s="1" t="s">
        <v>35</v>
      </c>
      <c r="M171" s="17">
        <v>220</v>
      </c>
      <c r="N171" s="23">
        <v>1.29</v>
      </c>
      <c r="O171" s="16" t="s">
        <v>1063</v>
      </c>
      <c r="P171" s="16" t="s">
        <v>63</v>
      </c>
      <c r="Q171" s="16" t="s">
        <v>29</v>
      </c>
      <c r="R171" s="16" t="s">
        <v>29</v>
      </c>
      <c r="S171" s="12" t="s">
        <v>3407</v>
      </c>
      <c r="T171" s="13">
        <v>45972</v>
      </c>
      <c r="U171" s="19"/>
      <c r="V171" s="53">
        <f>M171-U171-Y171-AA171-AC171-AE171-AG171</f>
        <v>-1.1999999999999886</v>
      </c>
      <c r="W171" s="22" t="s">
        <v>3506</v>
      </c>
      <c r="X171" s="16" t="s">
        <v>29</v>
      </c>
      <c r="Y171" s="19">
        <v>221.2</v>
      </c>
      <c r="Z171" s="14">
        <v>45967</v>
      </c>
    </row>
    <row r="172" spans="1:28" s="28" customFormat="1" ht="20.25" hidden="1" customHeight="1">
      <c r="A172" s="11">
        <v>45958</v>
      </c>
      <c r="B172" s="16" t="s">
        <v>3502</v>
      </c>
      <c r="C172" s="16" t="s">
        <v>267</v>
      </c>
      <c r="D172" s="16" t="s">
        <v>212</v>
      </c>
      <c r="E172" s="16" t="s">
        <v>62</v>
      </c>
      <c r="F172" s="16" t="s">
        <v>3504</v>
      </c>
      <c r="G172" s="16" t="s">
        <v>71</v>
      </c>
      <c r="H172" s="16" t="s">
        <v>26</v>
      </c>
      <c r="I172" s="1"/>
      <c r="J172" s="1" t="s">
        <v>27</v>
      </c>
      <c r="K172" s="16" t="s">
        <v>332</v>
      </c>
      <c r="L172" s="1" t="s">
        <v>35</v>
      </c>
      <c r="M172" s="17">
        <v>88</v>
      </c>
      <c r="N172" s="23">
        <v>1.29</v>
      </c>
      <c r="O172" s="16" t="s">
        <v>67</v>
      </c>
      <c r="P172" s="16" t="s">
        <v>63</v>
      </c>
      <c r="Q172" s="16" t="s">
        <v>29</v>
      </c>
      <c r="R172" s="16" t="s">
        <v>29</v>
      </c>
      <c r="S172" s="12" t="s">
        <v>3407</v>
      </c>
      <c r="T172" s="13">
        <v>45972</v>
      </c>
      <c r="U172" s="19"/>
      <c r="V172" s="53">
        <f>M172-U172-Y172-AA172-AC172-AE172-AG172</f>
        <v>0</v>
      </c>
      <c r="W172" s="22" t="s">
        <v>3507</v>
      </c>
      <c r="X172" s="16" t="s">
        <v>29</v>
      </c>
      <c r="Y172" s="19">
        <v>88</v>
      </c>
      <c r="Z172" s="14">
        <v>45967</v>
      </c>
    </row>
    <row r="173" spans="1:28" s="28" customFormat="1" ht="20.25" hidden="1" customHeight="1">
      <c r="A173" s="11">
        <v>45958</v>
      </c>
      <c r="B173" s="16" t="s">
        <v>3503</v>
      </c>
      <c r="C173" s="16" t="s">
        <v>267</v>
      </c>
      <c r="D173" s="16" t="s">
        <v>212</v>
      </c>
      <c r="E173" s="16" t="s">
        <v>62</v>
      </c>
      <c r="F173" s="16" t="s">
        <v>3505</v>
      </c>
      <c r="G173" s="16" t="s">
        <v>71</v>
      </c>
      <c r="H173" s="16" t="s">
        <v>26</v>
      </c>
      <c r="I173" s="1"/>
      <c r="J173" s="1" t="s">
        <v>27</v>
      </c>
      <c r="K173" s="16" t="s">
        <v>239</v>
      </c>
      <c r="L173" s="1" t="s">
        <v>35</v>
      </c>
      <c r="M173" s="17">
        <v>358</v>
      </c>
      <c r="N173" s="23">
        <v>1.29</v>
      </c>
      <c r="O173" s="16" t="s">
        <v>67</v>
      </c>
      <c r="P173" s="16" t="s">
        <v>63</v>
      </c>
      <c r="Q173" s="16" t="s">
        <v>29</v>
      </c>
      <c r="R173" s="16" t="s">
        <v>29</v>
      </c>
      <c r="S173" s="12" t="s">
        <v>3407</v>
      </c>
      <c r="T173" s="13">
        <v>45972</v>
      </c>
      <c r="U173" s="19"/>
      <c r="V173" s="53">
        <f>M173-U173-Y173-AA173-AC173-AE173-AG173</f>
        <v>-0.60000000000002274</v>
      </c>
      <c r="W173" s="22" t="s">
        <v>3508</v>
      </c>
      <c r="X173" s="16" t="s">
        <v>29</v>
      </c>
      <c r="Y173" s="19">
        <v>358.6</v>
      </c>
      <c r="Z173" s="14">
        <v>45967</v>
      </c>
    </row>
    <row r="174" spans="1:28" s="28" customFormat="1" ht="20.25" hidden="1" customHeight="1">
      <c r="A174" s="11">
        <v>45960</v>
      </c>
      <c r="B174" s="16" t="s">
        <v>3594</v>
      </c>
      <c r="C174" s="16" t="s">
        <v>267</v>
      </c>
      <c r="D174" s="16" t="s">
        <v>212</v>
      </c>
      <c r="E174" s="16" t="s">
        <v>62</v>
      </c>
      <c r="F174" s="16" t="s">
        <v>3596</v>
      </c>
      <c r="G174" s="16" t="s">
        <v>71</v>
      </c>
      <c r="H174" s="16" t="s">
        <v>31</v>
      </c>
      <c r="I174" s="1"/>
      <c r="J174" s="1" t="s">
        <v>27</v>
      </c>
      <c r="K174" s="16" t="s">
        <v>3598</v>
      </c>
      <c r="L174" s="1" t="s">
        <v>35</v>
      </c>
      <c r="M174" s="17">
        <v>70</v>
      </c>
      <c r="N174" s="23">
        <v>1.29</v>
      </c>
      <c r="O174" s="16" t="s">
        <v>67</v>
      </c>
      <c r="P174" s="16" t="s">
        <v>63</v>
      </c>
      <c r="Q174" s="16" t="s">
        <v>29</v>
      </c>
      <c r="R174" s="16" t="s">
        <v>29</v>
      </c>
      <c r="S174" s="12" t="s">
        <v>3489</v>
      </c>
      <c r="T174" s="13">
        <v>45974</v>
      </c>
      <c r="U174" s="19"/>
      <c r="V174" s="53">
        <f>M174-U174-Y174-AA174-AC174-AE174-AG174</f>
        <v>-2.9000000000000057</v>
      </c>
      <c r="W174" s="22" t="s">
        <v>3599</v>
      </c>
      <c r="X174" s="16"/>
      <c r="Y174" s="19">
        <v>72.900000000000006</v>
      </c>
      <c r="Z174" s="14">
        <v>45967</v>
      </c>
    </row>
    <row r="175" spans="1:28" s="28" customFormat="1" ht="20.25" hidden="1" customHeight="1">
      <c r="A175" s="11">
        <v>45960</v>
      </c>
      <c r="B175" s="16" t="s">
        <v>3595</v>
      </c>
      <c r="C175" s="16" t="s">
        <v>267</v>
      </c>
      <c r="D175" s="16" t="s">
        <v>212</v>
      </c>
      <c r="E175" s="16" t="s">
        <v>62</v>
      </c>
      <c r="F175" s="16" t="s">
        <v>3597</v>
      </c>
      <c r="G175" s="16" t="s">
        <v>71</v>
      </c>
      <c r="H175" s="16" t="s">
        <v>31</v>
      </c>
      <c r="I175" s="1"/>
      <c r="J175" s="1" t="s">
        <v>27</v>
      </c>
      <c r="K175" s="16" t="s">
        <v>2976</v>
      </c>
      <c r="L175" s="1" t="s">
        <v>35</v>
      </c>
      <c r="M175" s="17">
        <v>440</v>
      </c>
      <c r="N175" s="23">
        <v>1.29</v>
      </c>
      <c r="O175" s="16" t="s">
        <v>67</v>
      </c>
      <c r="P175" s="16" t="s">
        <v>63</v>
      </c>
      <c r="Q175" s="16" t="s">
        <v>29</v>
      </c>
      <c r="R175" s="16" t="s">
        <v>29</v>
      </c>
      <c r="S175" s="12" t="s">
        <v>3489</v>
      </c>
      <c r="T175" s="13">
        <v>45974</v>
      </c>
      <c r="U175" s="19"/>
      <c r="V175" s="53">
        <f>M175-U175-Y175-AA175-AC175-AE175-AG175</f>
        <v>-4.3000000000000114</v>
      </c>
      <c r="W175" s="22" t="s">
        <v>3600</v>
      </c>
      <c r="X175" s="16"/>
      <c r="Y175" s="19">
        <v>444.3</v>
      </c>
      <c r="Z175" s="14">
        <v>45972</v>
      </c>
    </row>
    <row r="176" spans="1:28" s="28" customFormat="1" ht="20.25" hidden="1" customHeight="1">
      <c r="A176" s="11">
        <v>45961</v>
      </c>
      <c r="B176" s="16" t="s">
        <v>3664</v>
      </c>
      <c r="C176" s="16" t="s">
        <v>267</v>
      </c>
      <c r="D176" s="16" t="s">
        <v>212</v>
      </c>
      <c r="E176" s="16" t="s">
        <v>62</v>
      </c>
      <c r="F176" s="16" t="s">
        <v>3666</v>
      </c>
      <c r="G176" s="16" t="s">
        <v>71</v>
      </c>
      <c r="H176" s="16" t="s">
        <v>26</v>
      </c>
      <c r="I176" s="1"/>
      <c r="J176" s="1" t="s">
        <v>27</v>
      </c>
      <c r="K176" s="16" t="s">
        <v>3668</v>
      </c>
      <c r="L176" s="1" t="s">
        <v>35</v>
      </c>
      <c r="M176" s="17">
        <v>180</v>
      </c>
      <c r="N176" s="6">
        <v>1.29</v>
      </c>
      <c r="O176" s="1" t="s">
        <v>67</v>
      </c>
      <c r="P176" s="1" t="s">
        <v>63</v>
      </c>
      <c r="Q176" s="1" t="s">
        <v>29</v>
      </c>
      <c r="R176" s="1" t="s">
        <v>29</v>
      </c>
      <c r="S176" s="121" t="s">
        <v>3622</v>
      </c>
      <c r="T176" s="5">
        <v>45975</v>
      </c>
      <c r="U176" s="19"/>
      <c r="V176" s="53">
        <f>M176-U176-Y176-AA176-AC176-AE176-AG176</f>
        <v>-5.0999999999999943</v>
      </c>
      <c r="W176" s="22" t="s">
        <v>3669</v>
      </c>
      <c r="X176" s="16"/>
      <c r="Y176" s="19">
        <v>185.1</v>
      </c>
      <c r="Z176" s="14">
        <v>45988</v>
      </c>
    </row>
    <row r="177" spans="1:28" s="28" customFormat="1" ht="20.25" hidden="1" customHeight="1">
      <c r="A177" s="11">
        <v>45961</v>
      </c>
      <c r="B177" s="16" t="s">
        <v>3665</v>
      </c>
      <c r="C177" s="16" t="s">
        <v>267</v>
      </c>
      <c r="D177" s="16" t="s">
        <v>212</v>
      </c>
      <c r="E177" s="16" t="s">
        <v>62</v>
      </c>
      <c r="F177" s="16" t="s">
        <v>3667</v>
      </c>
      <c r="G177" s="16" t="s">
        <v>71</v>
      </c>
      <c r="H177" s="16" t="s">
        <v>31</v>
      </c>
      <c r="I177" s="1"/>
      <c r="J177" s="1" t="s">
        <v>27</v>
      </c>
      <c r="K177" s="16" t="s">
        <v>2976</v>
      </c>
      <c r="L177" s="1" t="s">
        <v>35</v>
      </c>
      <c r="M177" s="17">
        <v>280</v>
      </c>
      <c r="N177" s="23">
        <v>1.29</v>
      </c>
      <c r="O177" s="16" t="s">
        <v>67</v>
      </c>
      <c r="P177" s="16" t="s">
        <v>63</v>
      </c>
      <c r="Q177" s="16" t="s">
        <v>29</v>
      </c>
      <c r="R177" s="16" t="s">
        <v>29</v>
      </c>
      <c r="S177" s="12" t="s">
        <v>3622</v>
      </c>
      <c r="T177" s="13">
        <v>45975</v>
      </c>
      <c r="U177" s="19"/>
      <c r="V177" s="53">
        <f>M177-U177-Y177-AA177-AC177-AE177-AG177</f>
        <v>0</v>
      </c>
      <c r="W177" s="22" t="s">
        <v>3670</v>
      </c>
      <c r="X177" s="16"/>
      <c r="Y177" s="19">
        <v>280</v>
      </c>
      <c r="Z177" s="14">
        <v>45972</v>
      </c>
    </row>
    <row r="178" spans="1:28" s="28" customFormat="1" ht="20.25" hidden="1" customHeight="1">
      <c r="A178" s="11">
        <v>45965</v>
      </c>
      <c r="B178" s="16" t="s">
        <v>3693</v>
      </c>
      <c r="C178" s="16" t="s">
        <v>304</v>
      </c>
      <c r="D178" s="16" t="s">
        <v>212</v>
      </c>
      <c r="E178" s="16" t="s">
        <v>62</v>
      </c>
      <c r="F178" s="16" t="s">
        <v>3697</v>
      </c>
      <c r="G178" s="16" t="s">
        <v>71</v>
      </c>
      <c r="H178" s="16" t="s">
        <v>31</v>
      </c>
      <c r="I178" s="1"/>
      <c r="J178" s="1" t="s">
        <v>27</v>
      </c>
      <c r="K178" s="16" t="s">
        <v>957</v>
      </c>
      <c r="L178" s="1" t="s">
        <v>35</v>
      </c>
      <c r="M178" s="17">
        <v>130</v>
      </c>
      <c r="N178" s="23">
        <v>1.29</v>
      </c>
      <c r="O178" s="16" t="s">
        <v>67</v>
      </c>
      <c r="P178" s="16" t="s">
        <v>63</v>
      </c>
      <c r="Q178" s="16" t="s">
        <v>29</v>
      </c>
      <c r="R178" s="16" t="s">
        <v>29</v>
      </c>
      <c r="S178" s="12" t="s">
        <v>3471</v>
      </c>
      <c r="T178" s="13">
        <v>45979</v>
      </c>
      <c r="U178" s="19"/>
      <c r="V178" s="53">
        <f>M178-U178-Y178-AA178-AC178-AE178-AG178</f>
        <v>-4.1999999999999886</v>
      </c>
      <c r="W178" s="22" t="s">
        <v>3701</v>
      </c>
      <c r="X178" s="16" t="s">
        <v>29</v>
      </c>
      <c r="Y178" s="19">
        <v>134.19999999999999</v>
      </c>
      <c r="Z178" s="14">
        <v>45975</v>
      </c>
    </row>
    <row r="179" spans="1:28" s="28" customFormat="1" ht="20.25" hidden="1" customHeight="1">
      <c r="A179" s="11">
        <v>45965</v>
      </c>
      <c r="B179" s="16" t="s">
        <v>3694</v>
      </c>
      <c r="C179" s="16" t="s">
        <v>267</v>
      </c>
      <c r="D179" s="16" t="s">
        <v>212</v>
      </c>
      <c r="E179" s="16" t="s">
        <v>62</v>
      </c>
      <c r="F179" s="16" t="s">
        <v>3698</v>
      </c>
      <c r="G179" s="16" t="s">
        <v>71</v>
      </c>
      <c r="H179" s="16" t="s">
        <v>26</v>
      </c>
      <c r="I179" s="1"/>
      <c r="J179" s="1" t="s">
        <v>27</v>
      </c>
      <c r="K179" s="16" t="s">
        <v>351</v>
      </c>
      <c r="L179" s="1" t="s">
        <v>35</v>
      </c>
      <c r="M179" s="17">
        <v>160</v>
      </c>
      <c r="N179" s="23">
        <v>1.29</v>
      </c>
      <c r="O179" s="16" t="s">
        <v>67</v>
      </c>
      <c r="P179" s="16" t="s">
        <v>63</v>
      </c>
      <c r="Q179" s="16" t="s">
        <v>29</v>
      </c>
      <c r="R179" s="16" t="s">
        <v>29</v>
      </c>
      <c r="S179" s="12" t="s">
        <v>3471</v>
      </c>
      <c r="T179" s="13">
        <v>45979</v>
      </c>
      <c r="U179" s="301"/>
      <c r="V179" s="53">
        <f>M179-U179-Y179-AA179-AC179-AE179-AG179</f>
        <v>-1.9000000000000057</v>
      </c>
      <c r="W179" s="22" t="s">
        <v>3702</v>
      </c>
      <c r="X179" s="16" t="s">
        <v>29</v>
      </c>
      <c r="Y179" s="301">
        <v>161.9</v>
      </c>
      <c r="Z179" s="14">
        <v>45972</v>
      </c>
    </row>
    <row r="180" spans="1:28" s="28" customFormat="1" ht="20.25" hidden="1" customHeight="1">
      <c r="A180" s="11">
        <v>45965</v>
      </c>
      <c r="B180" s="16" t="s">
        <v>3695</v>
      </c>
      <c r="C180" s="16" t="s">
        <v>267</v>
      </c>
      <c r="D180" s="16" t="s">
        <v>212</v>
      </c>
      <c r="E180" s="16" t="s">
        <v>62</v>
      </c>
      <c r="F180" s="16" t="s">
        <v>3699</v>
      </c>
      <c r="G180" s="16" t="s">
        <v>71</v>
      </c>
      <c r="H180" s="16" t="s">
        <v>26</v>
      </c>
      <c r="I180" s="1"/>
      <c r="J180" s="1" t="s">
        <v>27</v>
      </c>
      <c r="K180" s="16" t="s">
        <v>351</v>
      </c>
      <c r="L180" s="1" t="s">
        <v>35</v>
      </c>
      <c r="M180" s="17">
        <v>80</v>
      </c>
      <c r="N180" s="23">
        <v>1.29</v>
      </c>
      <c r="O180" s="16" t="s">
        <v>67</v>
      </c>
      <c r="P180" s="16" t="s">
        <v>63</v>
      </c>
      <c r="Q180" s="16" t="s">
        <v>29</v>
      </c>
      <c r="R180" s="16" t="s">
        <v>29</v>
      </c>
      <c r="S180" s="12" t="s">
        <v>3471</v>
      </c>
      <c r="T180" s="13">
        <v>45979</v>
      </c>
      <c r="U180" s="301"/>
      <c r="V180" s="53">
        <f>M180-U180-Y180-AA180-AC180-AE180-AG180</f>
        <v>-0.99999999999999467</v>
      </c>
      <c r="W180" s="22" t="s">
        <v>3703</v>
      </c>
      <c r="X180" s="16" t="s">
        <v>29</v>
      </c>
      <c r="Y180" s="301">
        <v>70.099999999999994</v>
      </c>
      <c r="Z180" s="14">
        <v>45972</v>
      </c>
      <c r="AA180" s="301">
        <v>10.9</v>
      </c>
      <c r="AB180" s="252">
        <v>45975</v>
      </c>
    </row>
    <row r="181" spans="1:28" s="28" customFormat="1" ht="20.25" hidden="1" customHeight="1">
      <c r="A181" s="11">
        <v>45965</v>
      </c>
      <c r="B181" s="16" t="s">
        <v>3696</v>
      </c>
      <c r="C181" s="16" t="s">
        <v>267</v>
      </c>
      <c r="D181" s="16" t="s">
        <v>212</v>
      </c>
      <c r="E181" s="16" t="s">
        <v>62</v>
      </c>
      <c r="F181" s="16" t="s">
        <v>3700</v>
      </c>
      <c r="G181" s="16" t="s">
        <v>71</v>
      </c>
      <c r="H181" s="16" t="s">
        <v>26</v>
      </c>
      <c r="I181" s="1"/>
      <c r="J181" s="1" t="s">
        <v>27</v>
      </c>
      <c r="K181" s="16" t="s">
        <v>3668</v>
      </c>
      <c r="L181" s="1" t="s">
        <v>35</v>
      </c>
      <c r="M181" s="17">
        <v>40</v>
      </c>
      <c r="N181" s="23">
        <v>1.29</v>
      </c>
      <c r="O181" s="16" t="s">
        <v>67</v>
      </c>
      <c r="P181" s="16" t="s">
        <v>63</v>
      </c>
      <c r="Q181" s="16" t="s">
        <v>29</v>
      </c>
      <c r="R181" s="16" t="s">
        <v>29</v>
      </c>
      <c r="S181" s="12" t="s">
        <v>3471</v>
      </c>
      <c r="T181" s="13">
        <v>45979</v>
      </c>
      <c r="U181" s="19"/>
      <c r="V181" s="53">
        <f>M181-U181-Y181-AA181-AC181-AE181-AG181</f>
        <v>-3.2999999999999972</v>
      </c>
      <c r="W181" s="22" t="s">
        <v>3704</v>
      </c>
      <c r="X181" s="16" t="s">
        <v>29</v>
      </c>
      <c r="Y181" s="19">
        <v>43.3</v>
      </c>
      <c r="Z181" s="14">
        <v>45995</v>
      </c>
    </row>
    <row r="182" spans="1:28" s="28" customFormat="1" ht="20.25" hidden="1" customHeight="1">
      <c r="A182" s="11">
        <v>45967</v>
      </c>
      <c r="B182" s="16" t="s">
        <v>3723</v>
      </c>
      <c r="C182" s="16" t="s">
        <v>304</v>
      </c>
      <c r="D182" s="16" t="s">
        <v>212</v>
      </c>
      <c r="E182" s="16" t="s">
        <v>62</v>
      </c>
      <c r="F182" s="16" t="s">
        <v>3727</v>
      </c>
      <c r="G182" s="16" t="s">
        <v>71</v>
      </c>
      <c r="H182" s="16" t="s">
        <v>31</v>
      </c>
      <c r="I182" s="1"/>
      <c r="J182" s="1" t="s">
        <v>27</v>
      </c>
      <c r="K182" s="16" t="s">
        <v>1337</v>
      </c>
      <c r="L182" s="1" t="s">
        <v>35</v>
      </c>
      <c r="M182" s="17">
        <v>150</v>
      </c>
      <c r="N182" s="23">
        <v>1.29</v>
      </c>
      <c r="O182" s="1" t="s">
        <v>67</v>
      </c>
      <c r="P182" s="1" t="s">
        <v>63</v>
      </c>
      <c r="Q182" s="1" t="s">
        <v>29</v>
      </c>
      <c r="R182" s="1" t="s">
        <v>29</v>
      </c>
      <c r="S182" s="121" t="s">
        <v>3488</v>
      </c>
      <c r="T182" s="13">
        <v>45978</v>
      </c>
      <c r="U182" s="19"/>
      <c r="V182" s="53">
        <f>M182-U182-Y182-AA182-AC182-AE182-AG182</f>
        <v>-1.0999999999999943</v>
      </c>
      <c r="W182" s="22" t="s">
        <v>3731</v>
      </c>
      <c r="X182" s="16"/>
      <c r="Y182" s="19">
        <v>151.1</v>
      </c>
      <c r="Z182" s="14">
        <v>45986</v>
      </c>
    </row>
    <row r="183" spans="1:28" s="28" customFormat="1" ht="20.25" hidden="1" customHeight="1">
      <c r="A183" s="11">
        <v>45967</v>
      </c>
      <c r="B183" s="16" t="s">
        <v>3724</v>
      </c>
      <c r="C183" s="16" t="s">
        <v>267</v>
      </c>
      <c r="D183" s="16" t="s">
        <v>212</v>
      </c>
      <c r="E183" s="16" t="s">
        <v>62</v>
      </c>
      <c r="F183" s="16" t="s">
        <v>3728</v>
      </c>
      <c r="G183" s="16" t="s">
        <v>71</v>
      </c>
      <c r="H183" s="16" t="s">
        <v>31</v>
      </c>
      <c r="I183" s="1"/>
      <c r="J183" s="1" t="s">
        <v>27</v>
      </c>
      <c r="K183" s="16" t="s">
        <v>372</v>
      </c>
      <c r="L183" s="1" t="s">
        <v>35</v>
      </c>
      <c r="M183" s="17">
        <v>28</v>
      </c>
      <c r="N183" s="23">
        <v>1.29</v>
      </c>
      <c r="O183" s="16" t="s">
        <v>67</v>
      </c>
      <c r="P183" s="16" t="s">
        <v>63</v>
      </c>
      <c r="Q183" s="16" t="s">
        <v>29</v>
      </c>
      <c r="R183" s="16" t="s">
        <v>29</v>
      </c>
      <c r="S183" s="12" t="s">
        <v>3488</v>
      </c>
      <c r="T183" s="13">
        <v>45978</v>
      </c>
      <c r="U183" s="19"/>
      <c r="V183" s="53">
        <f>M183-U183-Y183-AA183-AC183-AE183-AG183</f>
        <v>-1.6000000000000014</v>
      </c>
      <c r="W183" s="22" t="s">
        <v>3732</v>
      </c>
      <c r="X183" s="16"/>
      <c r="Y183" s="19">
        <v>29.6</v>
      </c>
      <c r="Z183" s="14">
        <v>45972</v>
      </c>
    </row>
    <row r="184" spans="1:28" s="28" customFormat="1" ht="20.25" hidden="1" customHeight="1">
      <c r="A184" s="11">
        <v>45967</v>
      </c>
      <c r="B184" s="16" t="s">
        <v>3725</v>
      </c>
      <c r="C184" s="16" t="s">
        <v>267</v>
      </c>
      <c r="D184" s="16" t="s">
        <v>212</v>
      </c>
      <c r="E184" s="16" t="s">
        <v>62</v>
      </c>
      <c r="F184" s="16" t="s">
        <v>3729</v>
      </c>
      <c r="G184" s="16" t="s">
        <v>71</v>
      </c>
      <c r="H184" s="16" t="s">
        <v>26</v>
      </c>
      <c r="I184" s="16"/>
      <c r="J184" s="16" t="s">
        <v>27</v>
      </c>
      <c r="K184" s="16" t="s">
        <v>214</v>
      </c>
      <c r="L184" s="16" t="s">
        <v>35</v>
      </c>
      <c r="M184" s="17">
        <v>17</v>
      </c>
      <c r="N184" s="23">
        <v>1.29</v>
      </c>
      <c r="O184" s="16" t="s">
        <v>67</v>
      </c>
      <c r="P184" s="16" t="s">
        <v>63</v>
      </c>
      <c r="Q184" s="16" t="s">
        <v>29</v>
      </c>
      <c r="R184" s="16" t="s">
        <v>29</v>
      </c>
      <c r="S184" s="12" t="s">
        <v>3569</v>
      </c>
      <c r="T184" s="13">
        <v>45981</v>
      </c>
      <c r="U184" s="19"/>
      <c r="V184" s="53">
        <f>M184-U184-Y184-AA184-AC184-AE184-AG184</f>
        <v>-1.6999999999999993</v>
      </c>
      <c r="W184" s="22" t="s">
        <v>3733</v>
      </c>
      <c r="X184" s="16"/>
      <c r="Y184" s="19">
        <v>18.7</v>
      </c>
      <c r="Z184" s="14">
        <v>45981</v>
      </c>
    </row>
    <row r="185" spans="1:28" s="28" customFormat="1" ht="20.25" hidden="1" customHeight="1">
      <c r="A185" s="11">
        <v>45967</v>
      </c>
      <c r="B185" s="16" t="s">
        <v>3726</v>
      </c>
      <c r="C185" s="16" t="s">
        <v>267</v>
      </c>
      <c r="D185" s="16" t="s">
        <v>212</v>
      </c>
      <c r="E185" s="16" t="s">
        <v>62</v>
      </c>
      <c r="F185" s="16" t="s">
        <v>3730</v>
      </c>
      <c r="G185" s="16" t="s">
        <v>71</v>
      </c>
      <c r="H185" s="16" t="s">
        <v>31</v>
      </c>
      <c r="I185" s="16"/>
      <c r="J185" s="16" t="s">
        <v>27</v>
      </c>
      <c r="K185" s="16" t="s">
        <v>223</v>
      </c>
      <c r="L185" s="16" t="s">
        <v>35</v>
      </c>
      <c r="M185" s="17">
        <v>80</v>
      </c>
      <c r="N185" s="23">
        <v>1.29</v>
      </c>
      <c r="O185" s="16" t="s">
        <v>67</v>
      </c>
      <c r="P185" s="16" t="s">
        <v>63</v>
      </c>
      <c r="Q185" s="16" t="s">
        <v>29</v>
      </c>
      <c r="R185" s="16" t="s">
        <v>29</v>
      </c>
      <c r="S185" s="12" t="s">
        <v>3569</v>
      </c>
      <c r="T185" s="13">
        <v>45981</v>
      </c>
      <c r="U185" s="19"/>
      <c r="V185" s="53">
        <f>M185-U185-Y185-AA185-AC185-AE185-AG185</f>
        <v>-1.0999999999999943</v>
      </c>
      <c r="W185" s="22" t="s">
        <v>3734</v>
      </c>
      <c r="X185" s="16"/>
      <c r="Y185" s="19">
        <v>81.099999999999994</v>
      </c>
      <c r="Z185" s="14">
        <v>45981</v>
      </c>
    </row>
    <row r="186" spans="1:28" s="28" customFormat="1" ht="20.25" hidden="1" customHeight="1">
      <c r="A186" s="11">
        <v>45968</v>
      </c>
      <c r="B186" s="16" t="s">
        <v>3747</v>
      </c>
      <c r="C186" s="16" t="s">
        <v>382</v>
      </c>
      <c r="D186" s="16" t="s">
        <v>212</v>
      </c>
      <c r="E186" s="16" t="s">
        <v>62</v>
      </c>
      <c r="F186" s="16" t="s">
        <v>3749</v>
      </c>
      <c r="G186" s="16" t="s">
        <v>71</v>
      </c>
      <c r="H186" s="16" t="s">
        <v>31</v>
      </c>
      <c r="I186" s="16"/>
      <c r="J186" s="16" t="s">
        <v>27</v>
      </c>
      <c r="K186" s="16" t="s">
        <v>2462</v>
      </c>
      <c r="L186" s="16" t="s">
        <v>35</v>
      </c>
      <c r="M186" s="17">
        <v>531</v>
      </c>
      <c r="N186" s="23">
        <v>1.29</v>
      </c>
      <c r="O186" s="16" t="s">
        <v>67</v>
      </c>
      <c r="P186" s="16" t="s">
        <v>63</v>
      </c>
      <c r="Q186" s="16" t="s">
        <v>29</v>
      </c>
      <c r="R186" s="16" t="s">
        <v>29</v>
      </c>
      <c r="S186" s="12" t="s">
        <v>3487</v>
      </c>
      <c r="T186" s="13">
        <v>45982</v>
      </c>
      <c r="U186" s="19"/>
      <c r="V186" s="53">
        <f>M186-U186-Y186-AA186-AC186-AE186-AG186</f>
        <v>-1.7999999999999545</v>
      </c>
      <c r="W186" s="22" t="s">
        <v>3751</v>
      </c>
      <c r="X186" s="16" t="s">
        <v>29</v>
      </c>
      <c r="Y186" s="19">
        <v>532.79999999999995</v>
      </c>
      <c r="Z186" s="14">
        <v>45980</v>
      </c>
    </row>
    <row r="187" spans="1:28" s="28" customFormat="1" ht="20.25" hidden="1" customHeight="1">
      <c r="A187" s="11">
        <v>45968</v>
      </c>
      <c r="B187" s="16" t="s">
        <v>3748</v>
      </c>
      <c r="C187" s="16" t="s">
        <v>304</v>
      </c>
      <c r="D187" s="16" t="s">
        <v>212</v>
      </c>
      <c r="E187" s="16" t="s">
        <v>62</v>
      </c>
      <c r="F187" s="16" t="s">
        <v>3750</v>
      </c>
      <c r="G187" s="16" t="s">
        <v>71</v>
      </c>
      <c r="H187" s="16" t="s">
        <v>31</v>
      </c>
      <c r="I187" s="1"/>
      <c r="J187" s="1" t="s">
        <v>27</v>
      </c>
      <c r="K187" s="16" t="s">
        <v>250</v>
      </c>
      <c r="L187" s="1" t="s">
        <v>35</v>
      </c>
      <c r="M187" s="17">
        <v>86.8</v>
      </c>
      <c r="N187" s="23">
        <v>1.29</v>
      </c>
      <c r="O187" s="16" t="s">
        <v>67</v>
      </c>
      <c r="P187" s="16" t="s">
        <v>63</v>
      </c>
      <c r="Q187" s="16" t="s">
        <v>29</v>
      </c>
      <c r="R187" s="16" t="s">
        <v>29</v>
      </c>
      <c r="S187" s="12" t="s">
        <v>3487</v>
      </c>
      <c r="T187" s="13">
        <v>45982</v>
      </c>
      <c r="U187" s="19"/>
      <c r="V187" s="53">
        <f>M187-U187-Y187-AA187-AC187-AE187-AG187</f>
        <v>-1.7000000000000028</v>
      </c>
      <c r="W187" s="22" t="s">
        <v>3752</v>
      </c>
      <c r="X187" s="16" t="s">
        <v>29</v>
      </c>
      <c r="Y187" s="19">
        <v>88.5</v>
      </c>
      <c r="Z187" s="14">
        <v>45972</v>
      </c>
    </row>
    <row r="188" spans="1:28" s="28" customFormat="1" ht="20.25" hidden="1" customHeight="1">
      <c r="A188" s="11">
        <v>45972</v>
      </c>
      <c r="B188" s="16" t="s">
        <v>3769</v>
      </c>
      <c r="C188" s="16" t="s">
        <v>400</v>
      </c>
      <c r="D188" s="16" t="s">
        <v>212</v>
      </c>
      <c r="E188" s="16" t="s">
        <v>62</v>
      </c>
      <c r="F188" s="16" t="s">
        <v>3773</v>
      </c>
      <c r="G188" s="16" t="s">
        <v>71</v>
      </c>
      <c r="H188" s="16" t="s">
        <v>31</v>
      </c>
      <c r="I188" s="1"/>
      <c r="J188" s="1" t="s">
        <v>27</v>
      </c>
      <c r="K188" s="16" t="s">
        <v>3777</v>
      </c>
      <c r="L188" s="1" t="s">
        <v>35</v>
      </c>
      <c r="M188" s="17">
        <v>600</v>
      </c>
      <c r="N188" s="23">
        <v>1.29</v>
      </c>
      <c r="O188" s="16" t="s">
        <v>67</v>
      </c>
      <c r="P188" s="16" t="s">
        <v>63</v>
      </c>
      <c r="Q188" s="16" t="s">
        <v>29</v>
      </c>
      <c r="R188" s="16" t="s">
        <v>29</v>
      </c>
      <c r="S188" s="12" t="s">
        <v>3650</v>
      </c>
      <c r="T188" s="13">
        <v>45986</v>
      </c>
      <c r="U188" s="19"/>
      <c r="V188" s="53">
        <f>M188-U188-Y188-AA188-AC188-AE188-AG188</f>
        <v>-1.2999999999999545</v>
      </c>
      <c r="W188" s="22" t="s">
        <v>3779</v>
      </c>
      <c r="X188" s="16" t="s">
        <v>29</v>
      </c>
      <c r="Y188" s="19">
        <v>601.29999999999995</v>
      </c>
      <c r="Z188" s="14">
        <v>45980</v>
      </c>
    </row>
    <row r="189" spans="1:28" s="28" customFormat="1" ht="20.25" hidden="1" customHeight="1">
      <c r="A189" s="11">
        <v>45972</v>
      </c>
      <c r="B189" s="16" t="s">
        <v>3770</v>
      </c>
      <c r="C189" s="16" t="s">
        <v>400</v>
      </c>
      <c r="D189" s="16" t="s">
        <v>212</v>
      </c>
      <c r="E189" s="16" t="s">
        <v>62</v>
      </c>
      <c r="F189" s="16" t="s">
        <v>3774</v>
      </c>
      <c r="G189" s="16" t="s">
        <v>71</v>
      </c>
      <c r="H189" s="16" t="s">
        <v>31</v>
      </c>
      <c r="I189" s="1"/>
      <c r="J189" s="1" t="s">
        <v>27</v>
      </c>
      <c r="K189" s="16" t="s">
        <v>3685</v>
      </c>
      <c r="L189" s="1" t="s">
        <v>35</v>
      </c>
      <c r="M189" s="17">
        <v>46</v>
      </c>
      <c r="N189" s="23">
        <v>1.29</v>
      </c>
      <c r="O189" s="16" t="s">
        <v>67</v>
      </c>
      <c r="P189" s="16" t="s">
        <v>63</v>
      </c>
      <c r="Q189" s="16" t="s">
        <v>29</v>
      </c>
      <c r="R189" s="16" t="s">
        <v>29</v>
      </c>
      <c r="S189" s="12" t="s">
        <v>3650</v>
      </c>
      <c r="T189" s="13">
        <v>45986</v>
      </c>
      <c r="U189" s="19"/>
      <c r="V189" s="53">
        <f>M189-U189-Y189-AA189-AC189-AE189-AG189</f>
        <v>-2.6000000000000014</v>
      </c>
      <c r="W189" s="22" t="s">
        <v>3780</v>
      </c>
      <c r="X189" s="16" t="s">
        <v>29</v>
      </c>
      <c r="Y189" s="19">
        <v>48.6</v>
      </c>
      <c r="Z189" s="14">
        <v>45980</v>
      </c>
    </row>
    <row r="190" spans="1:28" s="28" customFormat="1" ht="20.25" hidden="1" customHeight="1">
      <c r="A190" s="11">
        <v>45972</v>
      </c>
      <c r="B190" s="16" t="s">
        <v>3771</v>
      </c>
      <c r="C190" s="16" t="s">
        <v>267</v>
      </c>
      <c r="D190" s="16" t="s">
        <v>212</v>
      </c>
      <c r="E190" s="16" t="s">
        <v>62</v>
      </c>
      <c r="F190" s="16" t="s">
        <v>3775</v>
      </c>
      <c r="G190" s="16" t="s">
        <v>71</v>
      </c>
      <c r="H190" s="16" t="s">
        <v>26</v>
      </c>
      <c r="I190" s="16"/>
      <c r="J190" s="16" t="s">
        <v>27</v>
      </c>
      <c r="K190" s="16" t="s">
        <v>3778</v>
      </c>
      <c r="L190" s="16" t="s">
        <v>35</v>
      </c>
      <c r="M190" s="17">
        <v>68</v>
      </c>
      <c r="N190" s="23">
        <v>1.29</v>
      </c>
      <c r="O190" s="16" t="s">
        <v>67</v>
      </c>
      <c r="P190" s="16" t="s">
        <v>63</v>
      </c>
      <c r="Q190" s="16" t="s">
        <v>29</v>
      </c>
      <c r="R190" s="16" t="s">
        <v>29</v>
      </c>
      <c r="S190" s="12" t="s">
        <v>3650</v>
      </c>
      <c r="T190" s="13">
        <v>45986</v>
      </c>
      <c r="U190" s="19"/>
      <c r="V190" s="53">
        <f>M190-U190-Y190-AA190-AC190-AE190-AG190</f>
        <v>-1.7000000000000028</v>
      </c>
      <c r="W190" s="22" t="s">
        <v>3781</v>
      </c>
      <c r="X190" s="16" t="s">
        <v>29</v>
      </c>
      <c r="Y190" s="19">
        <v>69.7</v>
      </c>
      <c r="Z190" s="14">
        <v>45981</v>
      </c>
    </row>
    <row r="191" spans="1:28" s="28" customFormat="1" ht="20.25" hidden="1" customHeight="1">
      <c r="A191" s="11">
        <v>45972</v>
      </c>
      <c r="B191" s="16" t="s">
        <v>3772</v>
      </c>
      <c r="C191" s="16" t="s">
        <v>267</v>
      </c>
      <c r="D191" s="16" t="s">
        <v>212</v>
      </c>
      <c r="E191" s="16" t="s">
        <v>62</v>
      </c>
      <c r="F191" s="16" t="s">
        <v>3776</v>
      </c>
      <c r="G191" s="16" t="s">
        <v>71</v>
      </c>
      <c r="H191" s="16" t="s">
        <v>31</v>
      </c>
      <c r="I191" s="16"/>
      <c r="J191" s="16" t="s">
        <v>27</v>
      </c>
      <c r="K191" s="16" t="s">
        <v>3778</v>
      </c>
      <c r="L191" s="16" t="s">
        <v>35</v>
      </c>
      <c r="M191" s="17">
        <v>745.9</v>
      </c>
      <c r="N191" s="23">
        <v>1.29</v>
      </c>
      <c r="O191" s="16" t="s">
        <v>67</v>
      </c>
      <c r="P191" s="16" t="s">
        <v>63</v>
      </c>
      <c r="Q191" s="16" t="s">
        <v>29</v>
      </c>
      <c r="R191" s="16" t="s">
        <v>29</v>
      </c>
      <c r="S191" s="12" t="s">
        <v>3650</v>
      </c>
      <c r="T191" s="13">
        <v>45986</v>
      </c>
      <c r="U191" s="19"/>
      <c r="V191" s="53">
        <f>M191-U191-Y191-AA191-AC191-AE191-AG191</f>
        <v>-4.3999999999999773</v>
      </c>
      <c r="W191" s="22" t="s">
        <v>3782</v>
      </c>
      <c r="X191" s="16" t="s">
        <v>29</v>
      </c>
      <c r="Y191" s="19">
        <v>750.3</v>
      </c>
      <c r="Z191" s="14">
        <v>45981</v>
      </c>
    </row>
    <row r="192" spans="1:28" s="28" customFormat="1" ht="20.25" hidden="1" customHeight="1">
      <c r="A192" s="11">
        <v>45973</v>
      </c>
      <c r="B192" s="16" t="s">
        <v>3799</v>
      </c>
      <c r="C192" s="16" t="s">
        <v>267</v>
      </c>
      <c r="D192" s="16" t="s">
        <v>212</v>
      </c>
      <c r="E192" s="16" t="s">
        <v>62</v>
      </c>
      <c r="F192" s="16" t="s">
        <v>3775</v>
      </c>
      <c r="G192" s="16" t="s">
        <v>71</v>
      </c>
      <c r="H192" s="16" t="s">
        <v>26</v>
      </c>
      <c r="I192" s="1"/>
      <c r="J192" s="1" t="s">
        <v>27</v>
      </c>
      <c r="K192" s="16" t="s">
        <v>214</v>
      </c>
      <c r="L192" s="1" t="s">
        <v>35</v>
      </c>
      <c r="M192" s="17">
        <v>185</v>
      </c>
      <c r="N192" s="6">
        <v>1.29</v>
      </c>
      <c r="O192" s="1" t="s">
        <v>67</v>
      </c>
      <c r="P192" s="1" t="s">
        <v>63</v>
      </c>
      <c r="Q192" s="1" t="s">
        <v>29</v>
      </c>
      <c r="R192" s="1" t="s">
        <v>29</v>
      </c>
      <c r="S192" s="121" t="s">
        <v>3717</v>
      </c>
      <c r="T192" s="5">
        <v>45987</v>
      </c>
      <c r="U192" s="19"/>
      <c r="V192" s="53">
        <f>M192-U192-Y192-AA192-AC192-AE192-AG192</f>
        <v>-1.5999999999999943</v>
      </c>
      <c r="W192" s="22" t="s">
        <v>3804</v>
      </c>
      <c r="X192" s="16" t="s">
        <v>29</v>
      </c>
      <c r="Y192" s="19">
        <v>186.6</v>
      </c>
      <c r="Z192" s="14">
        <v>45988</v>
      </c>
    </row>
    <row r="193" spans="1:26" s="28" customFormat="1" ht="20.25" hidden="1" customHeight="1">
      <c r="A193" s="11">
        <v>45973</v>
      </c>
      <c r="B193" s="16" t="s">
        <v>3800</v>
      </c>
      <c r="C193" s="16" t="s">
        <v>267</v>
      </c>
      <c r="D193" s="16" t="s">
        <v>212</v>
      </c>
      <c r="E193" s="16" t="s">
        <v>62</v>
      </c>
      <c r="F193" s="16" t="s">
        <v>3802</v>
      </c>
      <c r="G193" s="16" t="s">
        <v>71</v>
      </c>
      <c r="H193" s="16" t="s">
        <v>26</v>
      </c>
      <c r="I193" s="1"/>
      <c r="J193" s="1" t="s">
        <v>27</v>
      </c>
      <c r="K193" s="16" t="s">
        <v>223</v>
      </c>
      <c r="L193" s="1" t="s">
        <v>35</v>
      </c>
      <c r="M193" s="17">
        <v>68</v>
      </c>
      <c r="N193" s="6">
        <v>1.29</v>
      </c>
      <c r="O193" s="1" t="s">
        <v>67</v>
      </c>
      <c r="P193" s="1" t="s">
        <v>63</v>
      </c>
      <c r="Q193" s="1" t="s">
        <v>29</v>
      </c>
      <c r="R193" s="1" t="s">
        <v>29</v>
      </c>
      <c r="S193" s="121" t="s">
        <v>3717</v>
      </c>
      <c r="T193" s="5">
        <v>45987</v>
      </c>
      <c r="U193" s="19"/>
      <c r="V193" s="53">
        <f>M193-U193-Y193-AA193-AC193-AE193-AG193</f>
        <v>-0.40000000000000568</v>
      </c>
      <c r="W193" s="22" t="s">
        <v>3805</v>
      </c>
      <c r="X193" s="16" t="s">
        <v>29</v>
      </c>
      <c r="Y193" s="19">
        <v>68.400000000000006</v>
      </c>
      <c r="Z193" s="14">
        <v>45988</v>
      </c>
    </row>
    <row r="194" spans="1:26" s="28" customFormat="1" ht="20.25" hidden="1" customHeight="1">
      <c r="A194" s="11">
        <v>45973</v>
      </c>
      <c r="B194" s="16" t="s">
        <v>3801</v>
      </c>
      <c r="C194" s="16" t="s">
        <v>267</v>
      </c>
      <c r="D194" s="16" t="s">
        <v>212</v>
      </c>
      <c r="E194" s="16" t="s">
        <v>62</v>
      </c>
      <c r="F194" s="16" t="s">
        <v>3803</v>
      </c>
      <c r="G194" s="16" t="s">
        <v>71</v>
      </c>
      <c r="H194" s="16" t="s">
        <v>26</v>
      </c>
      <c r="I194" s="16"/>
      <c r="J194" s="16" t="s">
        <v>27</v>
      </c>
      <c r="K194" s="16" t="s">
        <v>214</v>
      </c>
      <c r="L194" s="16" t="s">
        <v>35</v>
      </c>
      <c r="M194" s="17">
        <v>87</v>
      </c>
      <c r="N194" s="23">
        <v>1.29</v>
      </c>
      <c r="O194" s="16" t="s">
        <v>67</v>
      </c>
      <c r="P194" s="16" t="s">
        <v>63</v>
      </c>
      <c r="Q194" s="16" t="s">
        <v>29</v>
      </c>
      <c r="R194" s="16" t="s">
        <v>29</v>
      </c>
      <c r="S194" s="12" t="s">
        <v>3717</v>
      </c>
      <c r="T194" s="13">
        <v>45987</v>
      </c>
      <c r="U194" s="19"/>
      <c r="V194" s="53">
        <f>M194-U194-Y194-AA194-AC194-AE194-AG194</f>
        <v>-1.7999999999999972</v>
      </c>
      <c r="W194" s="22" t="s">
        <v>3863</v>
      </c>
      <c r="X194" s="16" t="s">
        <v>29</v>
      </c>
      <c r="Y194" s="19">
        <v>88.8</v>
      </c>
      <c r="Z194" s="14">
        <v>45981</v>
      </c>
    </row>
    <row r="195" spans="1:26" s="28" customFormat="1" ht="20.25" hidden="1" customHeight="1">
      <c r="A195" s="11">
        <v>45975</v>
      </c>
      <c r="B195" s="16" t="s">
        <v>3817</v>
      </c>
      <c r="C195" s="16" t="s">
        <v>267</v>
      </c>
      <c r="D195" s="16" t="s">
        <v>212</v>
      </c>
      <c r="E195" s="16" t="s">
        <v>62</v>
      </c>
      <c r="F195" s="16" t="s">
        <v>3802</v>
      </c>
      <c r="G195" s="16" t="s">
        <v>71</v>
      </c>
      <c r="H195" s="16" t="s">
        <v>26</v>
      </c>
      <c r="I195" s="16"/>
      <c r="J195" s="16" t="s">
        <v>27</v>
      </c>
      <c r="K195" s="16" t="s">
        <v>337</v>
      </c>
      <c r="L195" s="16" t="s">
        <v>35</v>
      </c>
      <c r="M195" s="17">
        <v>67</v>
      </c>
      <c r="N195" s="23">
        <v>1.29</v>
      </c>
      <c r="O195" s="16" t="s">
        <v>67</v>
      </c>
      <c r="P195" s="16" t="s">
        <v>63</v>
      </c>
      <c r="Q195" s="16" t="s">
        <v>29</v>
      </c>
      <c r="R195" s="16" t="s">
        <v>29</v>
      </c>
      <c r="S195" s="12" t="s">
        <v>3743</v>
      </c>
      <c r="T195" s="13">
        <v>45989</v>
      </c>
      <c r="U195" s="19"/>
      <c r="V195" s="53">
        <f>M195-U195-Y195-AA195-AC195-AE195-AG195</f>
        <v>-9.9999999999994316E-2</v>
      </c>
      <c r="W195" s="22" t="s">
        <v>3818</v>
      </c>
      <c r="X195" s="16" t="s">
        <v>29</v>
      </c>
      <c r="Y195" s="19">
        <v>67.099999999999994</v>
      </c>
      <c r="Z195" s="14">
        <v>45981</v>
      </c>
    </row>
    <row r="196" spans="1:26" s="28" customFormat="1" ht="20.25" hidden="1" customHeight="1">
      <c r="A196" s="11">
        <v>45978</v>
      </c>
      <c r="B196" s="16" t="s">
        <v>3828</v>
      </c>
      <c r="C196" s="16" t="s">
        <v>267</v>
      </c>
      <c r="D196" s="16" t="s">
        <v>212</v>
      </c>
      <c r="E196" s="16" t="s">
        <v>62</v>
      </c>
      <c r="F196" s="16" t="s">
        <v>3832</v>
      </c>
      <c r="G196" s="16" t="s">
        <v>71</v>
      </c>
      <c r="H196" s="16" t="s">
        <v>26</v>
      </c>
      <c r="I196" s="16"/>
      <c r="J196" s="16" t="s">
        <v>27</v>
      </c>
      <c r="K196" s="16" t="s">
        <v>913</v>
      </c>
      <c r="L196" s="16" t="s">
        <v>35</v>
      </c>
      <c r="M196" s="17">
        <v>173</v>
      </c>
      <c r="N196" s="23">
        <v>1.29</v>
      </c>
      <c r="O196" s="16" t="s">
        <v>1063</v>
      </c>
      <c r="P196" s="16" t="s">
        <v>63</v>
      </c>
      <c r="Q196" s="16" t="s">
        <v>29</v>
      </c>
      <c r="R196" s="16" t="s">
        <v>29</v>
      </c>
      <c r="S196" s="12" t="s">
        <v>3768</v>
      </c>
      <c r="T196" s="13">
        <v>45992</v>
      </c>
      <c r="U196" s="19"/>
      <c r="V196" s="53">
        <f>M196-U196-Y196-AA196-AC196-AE196-AG196</f>
        <v>-2.8000000000000114</v>
      </c>
      <c r="W196" s="22" t="s">
        <v>3838</v>
      </c>
      <c r="X196" s="16" t="s">
        <v>29</v>
      </c>
      <c r="Y196" s="19">
        <v>175.8</v>
      </c>
      <c r="Z196" s="14">
        <v>45981</v>
      </c>
    </row>
    <row r="197" spans="1:26" s="28" customFormat="1" ht="20.25" hidden="1" customHeight="1">
      <c r="A197" s="11">
        <v>45978</v>
      </c>
      <c r="B197" s="16" t="s">
        <v>3829</v>
      </c>
      <c r="C197" s="16" t="s">
        <v>267</v>
      </c>
      <c r="D197" s="16" t="s">
        <v>212</v>
      </c>
      <c r="E197" s="16" t="s">
        <v>62</v>
      </c>
      <c r="F197" s="16" t="s">
        <v>3833</v>
      </c>
      <c r="G197" s="16" t="s">
        <v>71</v>
      </c>
      <c r="H197" s="16" t="s">
        <v>26</v>
      </c>
      <c r="I197" s="1"/>
      <c r="J197" s="1" t="s">
        <v>27</v>
      </c>
      <c r="K197" s="16" t="s">
        <v>3836</v>
      </c>
      <c r="L197" s="1" t="s">
        <v>35</v>
      </c>
      <c r="M197" s="17">
        <v>175</v>
      </c>
      <c r="N197" s="23">
        <v>1.29</v>
      </c>
      <c r="O197" s="16" t="s">
        <v>67</v>
      </c>
      <c r="P197" s="16" t="s">
        <v>63</v>
      </c>
      <c r="Q197" s="16" t="s">
        <v>29</v>
      </c>
      <c r="R197" s="16" t="s">
        <v>29</v>
      </c>
      <c r="S197" s="12" t="s">
        <v>3768</v>
      </c>
      <c r="T197" s="13">
        <v>45992</v>
      </c>
      <c r="U197" s="19"/>
      <c r="V197" s="53">
        <f>M197-U197-Y197-AA197-AC197-AE197-AG197</f>
        <v>-0.19999999999998863</v>
      </c>
      <c r="W197" s="22" t="s">
        <v>3839</v>
      </c>
      <c r="X197" s="16" t="s">
        <v>29</v>
      </c>
      <c r="Y197" s="19">
        <v>175.2</v>
      </c>
      <c r="Z197" s="14">
        <v>45995</v>
      </c>
    </row>
    <row r="198" spans="1:26" s="28" customFormat="1" ht="20.25" hidden="1" customHeight="1">
      <c r="A198" s="11">
        <v>45978</v>
      </c>
      <c r="B198" s="16" t="s">
        <v>3830</v>
      </c>
      <c r="C198" s="16" t="s">
        <v>304</v>
      </c>
      <c r="D198" s="16" t="s">
        <v>212</v>
      </c>
      <c r="E198" s="16" t="s">
        <v>62</v>
      </c>
      <c r="F198" s="16" t="s">
        <v>3834</v>
      </c>
      <c r="G198" s="16" t="s">
        <v>71</v>
      </c>
      <c r="H198" s="16" t="s">
        <v>31</v>
      </c>
      <c r="I198" s="1"/>
      <c r="J198" s="1" t="s">
        <v>27</v>
      </c>
      <c r="K198" s="16" t="s">
        <v>3837</v>
      </c>
      <c r="L198" s="1" t="s">
        <v>35</v>
      </c>
      <c r="M198" s="17">
        <v>22.4</v>
      </c>
      <c r="N198" s="23">
        <v>1.29</v>
      </c>
      <c r="O198" s="1" t="s">
        <v>67</v>
      </c>
      <c r="P198" s="1" t="s">
        <v>63</v>
      </c>
      <c r="Q198" s="1" t="s">
        <v>29</v>
      </c>
      <c r="R198" s="1" t="s">
        <v>29</v>
      </c>
      <c r="S198" s="121" t="s">
        <v>3768</v>
      </c>
      <c r="T198" s="13">
        <v>45992</v>
      </c>
      <c r="U198" s="19"/>
      <c r="V198" s="53">
        <f>M198-U198-Y198-AA198-AC198-AE198-AG198</f>
        <v>-1</v>
      </c>
      <c r="W198" s="22" t="s">
        <v>3840</v>
      </c>
      <c r="X198" s="16" t="s">
        <v>29</v>
      </c>
      <c r="Y198" s="19">
        <v>23.4</v>
      </c>
      <c r="Z198" s="14">
        <v>45986</v>
      </c>
    </row>
    <row r="199" spans="1:26" s="28" customFormat="1" ht="20.25" hidden="1" customHeight="1">
      <c r="A199" s="11">
        <v>45978</v>
      </c>
      <c r="B199" s="16" t="s">
        <v>3831</v>
      </c>
      <c r="C199" s="16" t="s">
        <v>267</v>
      </c>
      <c r="D199" s="16" t="s">
        <v>212</v>
      </c>
      <c r="E199" s="16" t="s">
        <v>62</v>
      </c>
      <c r="F199" s="16" t="s">
        <v>3835</v>
      </c>
      <c r="G199" s="16" t="s">
        <v>71</v>
      </c>
      <c r="H199" s="16" t="s">
        <v>31</v>
      </c>
      <c r="I199" s="16"/>
      <c r="J199" s="16" t="s">
        <v>27</v>
      </c>
      <c r="K199" s="16" t="s">
        <v>214</v>
      </c>
      <c r="L199" s="16" t="s">
        <v>35</v>
      </c>
      <c r="M199" s="17">
        <v>307</v>
      </c>
      <c r="N199" s="23">
        <v>1.29</v>
      </c>
      <c r="O199" s="16" t="s">
        <v>1063</v>
      </c>
      <c r="P199" s="16" t="s">
        <v>63</v>
      </c>
      <c r="Q199" s="16" t="s">
        <v>29</v>
      </c>
      <c r="R199" s="16" t="s">
        <v>29</v>
      </c>
      <c r="S199" s="12" t="s">
        <v>3768</v>
      </c>
      <c r="T199" s="13">
        <v>45992</v>
      </c>
      <c r="U199" s="19"/>
      <c r="V199" s="53">
        <f>M199-U199-Y199-AA199-AC199-AE199-AG199</f>
        <v>-3.1999999999999886</v>
      </c>
      <c r="W199" s="22" t="s">
        <v>3841</v>
      </c>
      <c r="X199" s="16" t="s">
        <v>29</v>
      </c>
      <c r="Y199" s="19">
        <v>310.2</v>
      </c>
      <c r="Z199" s="14">
        <v>45981</v>
      </c>
    </row>
    <row r="200" spans="1:26" s="28" customFormat="1" ht="20.25" hidden="1" customHeight="1">
      <c r="A200" s="11">
        <v>45979</v>
      </c>
      <c r="B200" s="16" t="s">
        <v>3850</v>
      </c>
      <c r="C200" s="16" t="s">
        <v>267</v>
      </c>
      <c r="D200" s="16" t="s">
        <v>212</v>
      </c>
      <c r="E200" s="16" t="s">
        <v>62</v>
      </c>
      <c r="F200" s="16" t="s">
        <v>3854</v>
      </c>
      <c r="G200" s="16" t="s">
        <v>71</v>
      </c>
      <c r="H200" s="16" t="s">
        <v>31</v>
      </c>
      <c r="I200" s="16"/>
      <c r="J200" s="16" t="s">
        <v>27</v>
      </c>
      <c r="K200" s="16" t="s">
        <v>3858</v>
      </c>
      <c r="L200" s="16" t="s">
        <v>35</v>
      </c>
      <c r="M200" s="17">
        <v>20</v>
      </c>
      <c r="N200" s="23">
        <v>1.29</v>
      </c>
      <c r="O200" s="16" t="s">
        <v>67</v>
      </c>
      <c r="P200" s="16" t="s">
        <v>63</v>
      </c>
      <c r="Q200" s="16" t="s">
        <v>29</v>
      </c>
      <c r="R200" s="16" t="s">
        <v>29</v>
      </c>
      <c r="S200" s="12" t="s">
        <v>3650</v>
      </c>
      <c r="T200" s="13">
        <v>45986</v>
      </c>
      <c r="U200" s="19"/>
      <c r="V200" s="53">
        <f>M200-U200-Y200-AA200-AC200-AE200-AG200</f>
        <v>-2.3999999999999986</v>
      </c>
      <c r="W200" s="22" t="s">
        <v>3859</v>
      </c>
      <c r="X200" s="16" t="s">
        <v>29</v>
      </c>
      <c r="Y200" s="19">
        <v>22.4</v>
      </c>
      <c r="Z200" s="14">
        <v>45981</v>
      </c>
    </row>
    <row r="201" spans="1:26" s="28" customFormat="1" ht="20.25" hidden="1" customHeight="1">
      <c r="A201" s="11">
        <v>45979</v>
      </c>
      <c r="B201" s="16" t="s">
        <v>3851</v>
      </c>
      <c r="C201" s="16" t="s">
        <v>304</v>
      </c>
      <c r="D201" s="16" t="s">
        <v>212</v>
      </c>
      <c r="E201" s="16" t="s">
        <v>62</v>
      </c>
      <c r="F201" s="16" t="s">
        <v>3855</v>
      </c>
      <c r="G201" s="16" t="s">
        <v>71</v>
      </c>
      <c r="H201" s="16" t="s">
        <v>31</v>
      </c>
      <c r="I201" s="1"/>
      <c r="J201" s="1" t="s">
        <v>27</v>
      </c>
      <c r="K201" s="16" t="s">
        <v>913</v>
      </c>
      <c r="L201" s="1" t="s">
        <v>35</v>
      </c>
      <c r="M201" s="17">
        <v>120</v>
      </c>
      <c r="N201" s="23">
        <v>1.29</v>
      </c>
      <c r="O201" s="1" t="s">
        <v>1063</v>
      </c>
      <c r="P201" s="1" t="s">
        <v>63</v>
      </c>
      <c r="Q201" s="1" t="s">
        <v>29</v>
      </c>
      <c r="R201" s="1" t="s">
        <v>29</v>
      </c>
      <c r="S201" s="121" t="s">
        <v>3846</v>
      </c>
      <c r="T201" s="13">
        <v>45993</v>
      </c>
      <c r="U201" s="19"/>
      <c r="V201" s="53">
        <f>M201-U201-Y201-AA201-AC201-AE201-AG201</f>
        <v>-2.5</v>
      </c>
      <c r="W201" s="22" t="s">
        <v>3860</v>
      </c>
      <c r="X201" s="16" t="s">
        <v>29</v>
      </c>
      <c r="Y201" s="19">
        <v>122.5</v>
      </c>
      <c r="Z201" s="14">
        <v>45986</v>
      </c>
    </row>
    <row r="202" spans="1:26" s="28" customFormat="1" ht="20.25" hidden="1" customHeight="1">
      <c r="A202" s="11">
        <v>45979</v>
      </c>
      <c r="B202" s="16" t="s">
        <v>3852</v>
      </c>
      <c r="C202" s="16" t="s">
        <v>267</v>
      </c>
      <c r="D202" s="16" t="s">
        <v>212</v>
      </c>
      <c r="E202" s="16" t="s">
        <v>62</v>
      </c>
      <c r="F202" s="16" t="s">
        <v>3856</v>
      </c>
      <c r="G202" s="16" t="s">
        <v>71</v>
      </c>
      <c r="H202" s="16" t="s">
        <v>26</v>
      </c>
      <c r="I202" s="16"/>
      <c r="J202" s="16" t="s">
        <v>27</v>
      </c>
      <c r="K202" s="16" t="s">
        <v>1476</v>
      </c>
      <c r="L202" s="16" t="s">
        <v>35</v>
      </c>
      <c r="M202" s="17">
        <v>61</v>
      </c>
      <c r="N202" s="23">
        <v>1.29</v>
      </c>
      <c r="O202" s="16" t="s">
        <v>1063</v>
      </c>
      <c r="P202" s="16" t="s">
        <v>63</v>
      </c>
      <c r="Q202" s="16" t="s">
        <v>29</v>
      </c>
      <c r="R202" s="16" t="s">
        <v>29</v>
      </c>
      <c r="S202" s="12" t="s">
        <v>3846</v>
      </c>
      <c r="T202" s="13">
        <v>45993</v>
      </c>
      <c r="U202" s="19"/>
      <c r="V202" s="53">
        <f>M202-U202-Y202-AA202-AC202-AE202-AG202</f>
        <v>-0.89999999999999858</v>
      </c>
      <c r="W202" s="22" t="s">
        <v>3861</v>
      </c>
      <c r="X202" s="16" t="s">
        <v>29</v>
      </c>
      <c r="Y202" s="19">
        <v>61.9</v>
      </c>
      <c r="Z202" s="14">
        <v>45981</v>
      </c>
    </row>
    <row r="203" spans="1:26" s="28" customFormat="1" ht="20.25" hidden="1" customHeight="1">
      <c r="A203" s="11">
        <v>45979</v>
      </c>
      <c r="B203" s="16" t="s">
        <v>3853</v>
      </c>
      <c r="C203" s="16" t="s">
        <v>304</v>
      </c>
      <c r="D203" s="16" t="s">
        <v>212</v>
      </c>
      <c r="E203" s="16" t="s">
        <v>62</v>
      </c>
      <c r="F203" s="16" t="s">
        <v>3857</v>
      </c>
      <c r="G203" s="16" t="s">
        <v>71</v>
      </c>
      <c r="H203" s="16" t="s">
        <v>31</v>
      </c>
      <c r="I203" s="1"/>
      <c r="J203" s="1" t="s">
        <v>27</v>
      </c>
      <c r="K203" s="16" t="s">
        <v>1346</v>
      </c>
      <c r="L203" s="1" t="s">
        <v>35</v>
      </c>
      <c r="M203" s="17">
        <v>20</v>
      </c>
      <c r="N203" s="23">
        <v>1.29</v>
      </c>
      <c r="O203" s="1" t="s">
        <v>67</v>
      </c>
      <c r="P203" s="1" t="s">
        <v>63</v>
      </c>
      <c r="Q203" s="1" t="s">
        <v>29</v>
      </c>
      <c r="R203" s="1" t="s">
        <v>29</v>
      </c>
      <c r="S203" s="121" t="s">
        <v>3846</v>
      </c>
      <c r="T203" s="13">
        <v>45993</v>
      </c>
      <c r="U203" s="19"/>
      <c r="V203" s="53">
        <f>M203-U203-Y203-AA203-AC203-AE203-AG203</f>
        <v>-0.10000000000000142</v>
      </c>
      <c r="W203" s="22" t="s">
        <v>3862</v>
      </c>
      <c r="X203" s="16" t="s">
        <v>29</v>
      </c>
      <c r="Y203" s="19">
        <v>20.100000000000001</v>
      </c>
      <c r="Z203" s="14">
        <v>45986</v>
      </c>
    </row>
    <row r="204" spans="1:26" s="28" customFormat="1" ht="20.25" hidden="1" customHeight="1">
      <c r="A204" s="11">
        <v>45980</v>
      </c>
      <c r="B204" s="16" t="s">
        <v>3864</v>
      </c>
      <c r="C204" s="16" t="s">
        <v>304</v>
      </c>
      <c r="D204" s="16" t="s">
        <v>212</v>
      </c>
      <c r="E204" s="16" t="s">
        <v>62</v>
      </c>
      <c r="F204" s="16" t="s">
        <v>3866</v>
      </c>
      <c r="G204" s="16" t="s">
        <v>71</v>
      </c>
      <c r="H204" s="16" t="s">
        <v>31</v>
      </c>
      <c r="I204" s="1"/>
      <c r="J204" s="1" t="s">
        <v>27</v>
      </c>
      <c r="K204" s="16" t="s">
        <v>250</v>
      </c>
      <c r="L204" s="1" t="s">
        <v>35</v>
      </c>
      <c r="M204" s="17">
        <v>14</v>
      </c>
      <c r="N204" s="23">
        <v>1.29</v>
      </c>
      <c r="O204" s="16" t="s">
        <v>67</v>
      </c>
      <c r="P204" s="16" t="s">
        <v>63</v>
      </c>
      <c r="Q204" s="16" t="s">
        <v>29</v>
      </c>
      <c r="R204" s="16" t="s">
        <v>29</v>
      </c>
      <c r="S204" s="12" t="s">
        <v>3798</v>
      </c>
      <c r="T204" s="13">
        <v>45994</v>
      </c>
      <c r="U204" s="19"/>
      <c r="V204" s="53">
        <f>M204-U204-Y204-AA204-AC204-AE204-AG204</f>
        <v>-5.5</v>
      </c>
      <c r="W204" s="22" t="s">
        <v>3868</v>
      </c>
      <c r="X204" s="16" t="s">
        <v>29</v>
      </c>
      <c r="Y204" s="19">
        <v>19.5</v>
      </c>
      <c r="Z204" s="14">
        <v>46002</v>
      </c>
    </row>
    <row r="205" spans="1:26" s="28" customFormat="1" ht="20.25" hidden="1" customHeight="1">
      <c r="A205" s="11">
        <v>45980</v>
      </c>
      <c r="B205" s="16" t="s">
        <v>3865</v>
      </c>
      <c r="C205" s="16" t="s">
        <v>267</v>
      </c>
      <c r="D205" s="16" t="s">
        <v>212</v>
      </c>
      <c r="E205" s="16" t="s">
        <v>62</v>
      </c>
      <c r="F205" s="16" t="s">
        <v>3867</v>
      </c>
      <c r="G205" s="16" t="s">
        <v>71</v>
      </c>
      <c r="H205" s="16" t="s">
        <v>26</v>
      </c>
      <c r="I205" s="1"/>
      <c r="J205" s="1" t="s">
        <v>27</v>
      </c>
      <c r="K205" s="16" t="s">
        <v>372</v>
      </c>
      <c r="L205" s="1" t="s">
        <v>35</v>
      </c>
      <c r="M205" s="17">
        <v>40</v>
      </c>
      <c r="N205" s="6">
        <v>1.29</v>
      </c>
      <c r="O205" s="1" t="s">
        <v>67</v>
      </c>
      <c r="P205" s="1" t="s">
        <v>63</v>
      </c>
      <c r="Q205" s="1" t="s">
        <v>29</v>
      </c>
      <c r="R205" s="1" t="s">
        <v>29</v>
      </c>
      <c r="S205" s="121" t="s">
        <v>3798</v>
      </c>
      <c r="T205" s="13">
        <v>45994</v>
      </c>
      <c r="U205" s="19"/>
      <c r="V205" s="53">
        <f>M205-U205-Y205-AA205-AC205-AE205-AG205</f>
        <v>-4.2000000000000028</v>
      </c>
      <c r="W205" s="22" t="s">
        <v>3869</v>
      </c>
      <c r="X205" s="16" t="s">
        <v>29</v>
      </c>
      <c r="Y205" s="19">
        <v>44.2</v>
      </c>
      <c r="Z205" s="14">
        <v>46001</v>
      </c>
    </row>
    <row r="206" spans="1:26" s="28" customFormat="1" ht="20.25" hidden="1" customHeight="1">
      <c r="A206" s="11">
        <v>45982</v>
      </c>
      <c r="B206" s="16" t="s">
        <v>3911</v>
      </c>
      <c r="C206" s="16" t="s">
        <v>267</v>
      </c>
      <c r="D206" s="16" t="s">
        <v>212</v>
      </c>
      <c r="E206" s="16" t="s">
        <v>62</v>
      </c>
      <c r="F206" s="16" t="s">
        <v>3912</v>
      </c>
      <c r="G206" s="16" t="s">
        <v>71</v>
      </c>
      <c r="H206" s="16" t="s">
        <v>31</v>
      </c>
      <c r="I206" s="1"/>
      <c r="J206" s="1" t="s">
        <v>27</v>
      </c>
      <c r="K206" s="16" t="s">
        <v>218</v>
      </c>
      <c r="L206" s="1" t="s">
        <v>35</v>
      </c>
      <c r="M206" s="17">
        <v>17</v>
      </c>
      <c r="N206" s="6">
        <v>1.29</v>
      </c>
      <c r="O206" s="1" t="s">
        <v>67</v>
      </c>
      <c r="P206" s="1" t="s">
        <v>63</v>
      </c>
      <c r="Q206" s="1" t="s">
        <v>29</v>
      </c>
      <c r="R206" s="1" t="s">
        <v>29</v>
      </c>
      <c r="S206" s="121" t="s">
        <v>3907</v>
      </c>
      <c r="T206" s="5">
        <v>45996</v>
      </c>
      <c r="U206" s="19"/>
      <c r="V206" s="53">
        <f>M206-U206-Y206-AA206-AC206-AE206-AG206</f>
        <v>-0.69999999999999929</v>
      </c>
      <c r="W206" s="22" t="s">
        <v>3913</v>
      </c>
      <c r="X206" s="16"/>
      <c r="Y206" s="19">
        <v>17.7</v>
      </c>
      <c r="Z206" s="14">
        <v>45988</v>
      </c>
    </row>
    <row r="207" spans="1:26" s="28" customFormat="1" ht="20.25" hidden="1" customHeight="1">
      <c r="A207" s="11">
        <v>45982</v>
      </c>
      <c r="B207" s="16" t="s">
        <v>3914</v>
      </c>
      <c r="C207" s="16" t="s">
        <v>267</v>
      </c>
      <c r="D207" s="16" t="s">
        <v>212</v>
      </c>
      <c r="E207" s="16" t="s">
        <v>62</v>
      </c>
      <c r="F207" s="16" t="s">
        <v>3915</v>
      </c>
      <c r="G207" s="16" t="s">
        <v>71</v>
      </c>
      <c r="H207" s="16" t="s">
        <v>31</v>
      </c>
      <c r="I207" s="1"/>
      <c r="J207" s="1" t="s">
        <v>27</v>
      </c>
      <c r="K207" s="16" t="s">
        <v>372</v>
      </c>
      <c r="L207" s="1" t="s">
        <v>35</v>
      </c>
      <c r="M207" s="17">
        <v>49</v>
      </c>
      <c r="N207" s="23">
        <v>1.29</v>
      </c>
      <c r="O207" s="16" t="s">
        <v>67</v>
      </c>
      <c r="P207" s="16" t="s">
        <v>63</v>
      </c>
      <c r="Q207" s="16" t="s">
        <v>29</v>
      </c>
      <c r="R207" s="16" t="s">
        <v>29</v>
      </c>
      <c r="S207" s="12" t="s">
        <v>3907</v>
      </c>
      <c r="T207" s="13">
        <v>45996</v>
      </c>
      <c r="U207" s="19"/>
      <c r="V207" s="53">
        <f>M207-U207-Y207-AA207-AC207-AE207-AG207</f>
        <v>-3</v>
      </c>
      <c r="W207" s="22" t="s">
        <v>3916</v>
      </c>
      <c r="X207" s="16"/>
      <c r="Y207" s="19">
        <v>52</v>
      </c>
      <c r="Z207" s="14">
        <v>45995</v>
      </c>
    </row>
    <row r="208" spans="1:26" s="28" customFormat="1" ht="20.25" hidden="1" customHeight="1">
      <c r="A208" s="11">
        <v>45982</v>
      </c>
      <c r="B208" s="16" t="s">
        <v>3917</v>
      </c>
      <c r="C208" s="16" t="s">
        <v>267</v>
      </c>
      <c r="D208" s="16" t="s">
        <v>212</v>
      </c>
      <c r="E208" s="16" t="s">
        <v>62</v>
      </c>
      <c r="F208" s="16" t="s">
        <v>3918</v>
      </c>
      <c r="G208" s="16" t="s">
        <v>71</v>
      </c>
      <c r="H208" s="16" t="s">
        <v>26</v>
      </c>
      <c r="I208" s="1"/>
      <c r="J208" s="1" t="s">
        <v>27</v>
      </c>
      <c r="K208" s="16" t="s">
        <v>598</v>
      </c>
      <c r="L208" s="1" t="s">
        <v>35</v>
      </c>
      <c r="M208" s="17">
        <v>17</v>
      </c>
      <c r="N208" s="23">
        <v>1.29</v>
      </c>
      <c r="O208" s="16" t="s">
        <v>67</v>
      </c>
      <c r="P208" s="16" t="s">
        <v>63</v>
      </c>
      <c r="Q208" s="16" t="s">
        <v>29</v>
      </c>
      <c r="R208" s="16" t="s">
        <v>29</v>
      </c>
      <c r="S208" s="12" t="s">
        <v>3907</v>
      </c>
      <c r="T208" s="13">
        <v>45996</v>
      </c>
      <c r="U208" s="19"/>
      <c r="V208" s="53">
        <f>M208-U208-Y208-AA208-AC208-AE208-AG208</f>
        <v>-5.1000000000000014</v>
      </c>
      <c r="W208" s="22" t="s">
        <v>3919</v>
      </c>
      <c r="X208" s="16"/>
      <c r="Y208" s="19">
        <v>22.1</v>
      </c>
      <c r="Z208" s="14">
        <v>45995</v>
      </c>
    </row>
    <row r="209" spans="1:28" s="28" customFormat="1" ht="20.25" hidden="1" customHeight="1">
      <c r="A209" s="11">
        <v>45982</v>
      </c>
      <c r="B209" s="16" t="s">
        <v>3920</v>
      </c>
      <c r="C209" s="16" t="s">
        <v>267</v>
      </c>
      <c r="D209" s="16" t="s">
        <v>212</v>
      </c>
      <c r="E209" s="16" t="s">
        <v>62</v>
      </c>
      <c r="F209" s="16" t="s">
        <v>3921</v>
      </c>
      <c r="G209" s="16" t="s">
        <v>71</v>
      </c>
      <c r="H209" s="16" t="s">
        <v>31</v>
      </c>
      <c r="I209" s="1"/>
      <c r="J209" s="1" t="s">
        <v>27</v>
      </c>
      <c r="K209" s="16" t="s">
        <v>3330</v>
      </c>
      <c r="L209" s="1" t="s">
        <v>35</v>
      </c>
      <c r="M209" s="17">
        <v>270</v>
      </c>
      <c r="N209" s="6">
        <v>1.29</v>
      </c>
      <c r="O209" s="1" t="s">
        <v>67</v>
      </c>
      <c r="P209" s="1" t="s">
        <v>63</v>
      </c>
      <c r="Q209" s="1" t="s">
        <v>29</v>
      </c>
      <c r="R209" s="1" t="s">
        <v>29</v>
      </c>
      <c r="S209" s="121" t="s">
        <v>3907</v>
      </c>
      <c r="T209" s="5">
        <v>45996</v>
      </c>
      <c r="U209" s="19"/>
      <c r="V209" s="53">
        <f>M209-U209-Y209-AA209-AC209-AE209-AG209</f>
        <v>-4.1999999999999886</v>
      </c>
      <c r="W209" s="22" t="s">
        <v>3922</v>
      </c>
      <c r="X209" s="16"/>
      <c r="Y209" s="19">
        <v>274.2</v>
      </c>
      <c r="Z209" s="14">
        <v>45988</v>
      </c>
    </row>
    <row r="210" spans="1:28" s="28" customFormat="1" ht="20.25" hidden="1" customHeight="1">
      <c r="A210" s="11">
        <v>45982</v>
      </c>
      <c r="B210" s="16" t="s">
        <v>3925</v>
      </c>
      <c r="C210" s="16" t="s">
        <v>1568</v>
      </c>
      <c r="D210" s="16" t="s">
        <v>212</v>
      </c>
      <c r="E210" s="16" t="s">
        <v>62</v>
      </c>
      <c r="F210" s="16" t="s">
        <v>3923</v>
      </c>
      <c r="G210" s="16" t="s">
        <v>71</v>
      </c>
      <c r="H210" s="16" t="s">
        <v>31</v>
      </c>
      <c r="I210" s="1"/>
      <c r="J210" s="1" t="s">
        <v>27</v>
      </c>
      <c r="K210" s="16" t="s">
        <v>340</v>
      </c>
      <c r="L210" s="1" t="s">
        <v>35</v>
      </c>
      <c r="M210" s="17">
        <v>1137</v>
      </c>
      <c r="N210" s="23">
        <v>1.29</v>
      </c>
      <c r="O210" s="1" t="s">
        <v>67</v>
      </c>
      <c r="P210" s="1" t="s">
        <v>63</v>
      </c>
      <c r="Q210" s="1" t="s">
        <v>29</v>
      </c>
      <c r="R210" s="1" t="s">
        <v>29</v>
      </c>
      <c r="S210" s="121" t="s">
        <v>3743</v>
      </c>
      <c r="T210" s="13">
        <v>45989</v>
      </c>
      <c r="U210" s="19"/>
      <c r="V210" s="53">
        <f>M210-U210-Y210-AA210-AC210-AE210-AG210</f>
        <v>-0.79999999999995453</v>
      </c>
      <c r="W210" s="22" t="s">
        <v>3924</v>
      </c>
      <c r="X210" s="16"/>
      <c r="Y210" s="19">
        <v>1137.8</v>
      </c>
      <c r="Z210" s="14">
        <v>45986</v>
      </c>
    </row>
    <row r="211" spans="1:28" s="28" customFormat="1" ht="20.25" hidden="1" customHeight="1">
      <c r="A211" s="11">
        <v>45986</v>
      </c>
      <c r="B211" s="16" t="s">
        <v>3942</v>
      </c>
      <c r="C211" s="16" t="s">
        <v>2624</v>
      </c>
      <c r="D211" s="16" t="s">
        <v>212</v>
      </c>
      <c r="E211" s="16" t="s">
        <v>62</v>
      </c>
      <c r="F211" s="16" t="s">
        <v>3943</v>
      </c>
      <c r="G211" s="16" t="s">
        <v>71</v>
      </c>
      <c r="H211" s="16" t="s">
        <v>31</v>
      </c>
      <c r="I211" s="1"/>
      <c r="J211" s="1" t="s">
        <v>27</v>
      </c>
      <c r="K211" s="16" t="s">
        <v>245</v>
      </c>
      <c r="L211" s="1" t="s">
        <v>35</v>
      </c>
      <c r="M211" s="17">
        <v>30</v>
      </c>
      <c r="N211" s="23">
        <v>1.29</v>
      </c>
      <c r="O211" s="16" t="s">
        <v>67</v>
      </c>
      <c r="P211" s="16" t="s">
        <v>63</v>
      </c>
      <c r="Q211" s="16" t="s">
        <v>29</v>
      </c>
      <c r="R211" s="16" t="s">
        <v>29</v>
      </c>
      <c r="S211" s="12" t="s">
        <v>3907</v>
      </c>
      <c r="T211" s="13">
        <v>45996</v>
      </c>
      <c r="U211" s="19"/>
      <c r="V211" s="53">
        <f>M211-U211-Y211-AA211-AC211-AE211-AG211</f>
        <v>-1.1000000000000014</v>
      </c>
      <c r="W211" s="22" t="s">
        <v>3944</v>
      </c>
      <c r="X211" s="16"/>
      <c r="Y211" s="19">
        <v>31.1</v>
      </c>
      <c r="Z211" s="14">
        <v>46007</v>
      </c>
    </row>
    <row r="212" spans="1:28" s="28" customFormat="1" ht="20.25" hidden="1" customHeight="1">
      <c r="A212" s="11">
        <v>45988</v>
      </c>
      <c r="B212" s="16" t="s">
        <v>4039</v>
      </c>
      <c r="C212" s="16" t="s">
        <v>290</v>
      </c>
      <c r="D212" s="16" t="s">
        <v>212</v>
      </c>
      <c r="E212" s="16" t="s">
        <v>62</v>
      </c>
      <c r="F212" s="16" t="s">
        <v>4041</v>
      </c>
      <c r="G212" s="16" t="s">
        <v>71</v>
      </c>
      <c r="H212" s="16" t="s">
        <v>31</v>
      </c>
      <c r="I212" s="1"/>
      <c r="J212" s="1" t="s">
        <v>27</v>
      </c>
      <c r="K212" s="16" t="s">
        <v>3778</v>
      </c>
      <c r="L212" s="1" t="s">
        <v>35</v>
      </c>
      <c r="M212" s="17">
        <v>583</v>
      </c>
      <c r="N212" s="23">
        <v>1.29</v>
      </c>
      <c r="O212" s="16" t="s">
        <v>1063</v>
      </c>
      <c r="P212" s="16" t="s">
        <v>63</v>
      </c>
      <c r="Q212" s="16" t="s">
        <v>29</v>
      </c>
      <c r="R212" s="16" t="s">
        <v>29</v>
      </c>
      <c r="S212" s="12" t="s">
        <v>3895</v>
      </c>
      <c r="T212" s="13">
        <v>46002</v>
      </c>
      <c r="U212" s="19"/>
      <c r="V212" s="53">
        <f>M212-U212-Y212-AA212-AC212-AE212-AG212</f>
        <v>-1.3999999999999773</v>
      </c>
      <c r="W212" s="22" t="s">
        <v>4043</v>
      </c>
      <c r="X212" s="16" t="s">
        <v>29</v>
      </c>
      <c r="Y212" s="19">
        <v>584.4</v>
      </c>
      <c r="Z212" s="14">
        <v>46006</v>
      </c>
    </row>
    <row r="213" spans="1:28" s="28" customFormat="1" ht="20.25" hidden="1" customHeight="1">
      <c r="A213" s="11">
        <v>45988</v>
      </c>
      <c r="B213" s="16" t="s">
        <v>4040</v>
      </c>
      <c r="C213" s="16" t="s">
        <v>267</v>
      </c>
      <c r="D213" s="16" t="s">
        <v>212</v>
      </c>
      <c r="E213" s="16" t="s">
        <v>62</v>
      </c>
      <c r="F213" s="16" t="s">
        <v>4166</v>
      </c>
      <c r="G213" s="16" t="s">
        <v>71</v>
      </c>
      <c r="H213" s="16" t="s">
        <v>31</v>
      </c>
      <c r="I213" s="1"/>
      <c r="J213" s="1" t="s">
        <v>27</v>
      </c>
      <c r="K213" s="16" t="s">
        <v>4042</v>
      </c>
      <c r="L213" s="1" t="s">
        <v>35</v>
      </c>
      <c r="M213" s="17">
        <v>60</v>
      </c>
      <c r="N213" s="6">
        <v>1.29</v>
      </c>
      <c r="O213" s="1" t="s">
        <v>67</v>
      </c>
      <c r="P213" s="1" t="s">
        <v>63</v>
      </c>
      <c r="Q213" s="1" t="s">
        <v>29</v>
      </c>
      <c r="R213" s="1" t="s">
        <v>29</v>
      </c>
      <c r="S213" s="121" t="s">
        <v>3907</v>
      </c>
      <c r="T213" s="13">
        <v>45996</v>
      </c>
      <c r="U213" s="19"/>
      <c r="V213" s="53">
        <f>M213-U213-Y213-AA213-AC213-AE213-AG213</f>
        <v>0</v>
      </c>
      <c r="W213" s="22" t="s">
        <v>4044</v>
      </c>
      <c r="X213" s="16" t="s">
        <v>29</v>
      </c>
      <c r="Y213" s="19">
        <v>60</v>
      </c>
      <c r="Z213" s="14">
        <v>46001</v>
      </c>
    </row>
    <row r="214" spans="1:28" s="28" customFormat="1" ht="20.25" hidden="1" customHeight="1">
      <c r="A214" s="11">
        <v>45989</v>
      </c>
      <c r="B214" s="16" t="s">
        <v>4058</v>
      </c>
      <c r="C214" s="16" t="s">
        <v>1568</v>
      </c>
      <c r="D214" s="16" t="s">
        <v>212</v>
      </c>
      <c r="E214" s="16" t="s">
        <v>62</v>
      </c>
      <c r="F214" s="16" t="s">
        <v>4060</v>
      </c>
      <c r="G214" s="16" t="s">
        <v>71</v>
      </c>
      <c r="H214" s="16" t="s">
        <v>26</v>
      </c>
      <c r="I214" s="1"/>
      <c r="J214" s="1" t="s">
        <v>27</v>
      </c>
      <c r="K214" s="16" t="s">
        <v>214</v>
      </c>
      <c r="L214" s="1" t="s">
        <v>35</v>
      </c>
      <c r="M214" s="17">
        <v>15</v>
      </c>
      <c r="N214" s="23">
        <v>1.29</v>
      </c>
      <c r="O214" s="16" t="s">
        <v>1063</v>
      </c>
      <c r="P214" s="16" t="s">
        <v>63</v>
      </c>
      <c r="Q214" s="16" t="s">
        <v>29</v>
      </c>
      <c r="R214" s="16" t="s">
        <v>29</v>
      </c>
      <c r="S214" s="12" t="s">
        <v>3906</v>
      </c>
      <c r="T214" s="13">
        <v>46003</v>
      </c>
      <c r="U214" s="19"/>
      <c r="V214" s="53">
        <f>M214-U214-Y214-AA214-AC214-AE214-AG214</f>
        <v>-6.6000000000000014</v>
      </c>
      <c r="W214" s="22" t="s">
        <v>4062</v>
      </c>
      <c r="X214" s="16"/>
      <c r="Y214" s="9">
        <v>21.6</v>
      </c>
      <c r="Z214" s="14">
        <v>45989</v>
      </c>
    </row>
    <row r="215" spans="1:28" s="28" customFormat="1" ht="20.25" hidden="1" customHeight="1">
      <c r="A215" s="11">
        <v>45989</v>
      </c>
      <c r="B215" s="16" t="s">
        <v>4059</v>
      </c>
      <c r="C215" s="16" t="s">
        <v>267</v>
      </c>
      <c r="D215" s="16" t="s">
        <v>212</v>
      </c>
      <c r="E215" s="16" t="s">
        <v>62</v>
      </c>
      <c r="F215" s="16" t="s">
        <v>4061</v>
      </c>
      <c r="G215" s="16" t="s">
        <v>71</v>
      </c>
      <c r="H215" s="16" t="s">
        <v>31</v>
      </c>
      <c r="I215" s="1"/>
      <c r="J215" s="1" t="s">
        <v>27</v>
      </c>
      <c r="K215" s="16" t="s">
        <v>239</v>
      </c>
      <c r="L215" s="1" t="s">
        <v>35</v>
      </c>
      <c r="M215" s="17">
        <v>110</v>
      </c>
      <c r="N215" s="6">
        <v>1.29</v>
      </c>
      <c r="O215" s="1" t="s">
        <v>1063</v>
      </c>
      <c r="P215" s="1" t="s">
        <v>63</v>
      </c>
      <c r="Q215" s="1" t="s">
        <v>29</v>
      </c>
      <c r="R215" s="1" t="s">
        <v>29</v>
      </c>
      <c r="S215" s="121" t="s">
        <v>3906</v>
      </c>
      <c r="T215" s="13">
        <v>46003</v>
      </c>
      <c r="U215" s="19"/>
      <c r="V215" s="53">
        <f>M215-U215-Y215-AA215-AC215-AE215-AG215</f>
        <v>-2.2000000000000028</v>
      </c>
      <c r="W215" s="22" t="s">
        <v>4063</v>
      </c>
      <c r="X215" s="16"/>
      <c r="Y215" s="19">
        <v>112.2</v>
      </c>
      <c r="Z215" s="14">
        <v>46001</v>
      </c>
    </row>
    <row r="216" spans="1:28" s="28" customFormat="1" ht="20.25" hidden="1" customHeight="1">
      <c r="A216" s="11">
        <v>45993</v>
      </c>
      <c r="B216" s="16" t="s">
        <v>4103</v>
      </c>
      <c r="C216" s="16" t="s">
        <v>267</v>
      </c>
      <c r="D216" s="16" t="s">
        <v>212</v>
      </c>
      <c r="E216" s="16" t="s">
        <v>62</v>
      </c>
      <c r="F216" s="16" t="s">
        <v>4104</v>
      </c>
      <c r="G216" s="16" t="s">
        <v>71</v>
      </c>
      <c r="H216" s="16" t="s">
        <v>31</v>
      </c>
      <c r="I216" s="1"/>
      <c r="J216" s="1" t="s">
        <v>27</v>
      </c>
      <c r="K216" s="16" t="s">
        <v>1470</v>
      </c>
      <c r="L216" s="1" t="s">
        <v>35</v>
      </c>
      <c r="M216" s="17">
        <v>15</v>
      </c>
      <c r="N216" s="6">
        <v>1.29</v>
      </c>
      <c r="O216" s="1" t="s">
        <v>67</v>
      </c>
      <c r="P216" s="1" t="s">
        <v>63</v>
      </c>
      <c r="Q216" s="1" t="s">
        <v>29</v>
      </c>
      <c r="R216" s="1" t="s">
        <v>29</v>
      </c>
      <c r="S216" s="121" t="s">
        <v>1802</v>
      </c>
      <c r="T216" s="13">
        <v>46007</v>
      </c>
      <c r="U216" s="19"/>
      <c r="V216" s="53">
        <f>M216-U216-Y216-AA216-AC216-AE216-AG216</f>
        <v>-4.3999999999999986</v>
      </c>
      <c r="W216" s="22" t="s">
        <v>4105</v>
      </c>
      <c r="X216" s="16" t="s">
        <v>29</v>
      </c>
      <c r="Y216" s="19">
        <v>19.399999999999999</v>
      </c>
      <c r="Z216" s="14">
        <v>46001</v>
      </c>
    </row>
    <row r="217" spans="1:28" s="28" customFormat="1" ht="20.25" hidden="1" customHeight="1">
      <c r="A217" s="11">
        <v>45994</v>
      </c>
      <c r="B217" s="16" t="s">
        <v>4132</v>
      </c>
      <c r="C217" s="16" t="s">
        <v>438</v>
      </c>
      <c r="D217" s="16" t="s">
        <v>212</v>
      </c>
      <c r="E217" s="16" t="s">
        <v>62</v>
      </c>
      <c r="F217" s="16" t="s">
        <v>4135</v>
      </c>
      <c r="G217" s="16" t="s">
        <v>71</v>
      </c>
      <c r="H217" s="16" t="s">
        <v>31</v>
      </c>
      <c r="I217" s="1"/>
      <c r="J217" s="1" t="s">
        <v>27</v>
      </c>
      <c r="K217" s="16" t="s">
        <v>239</v>
      </c>
      <c r="L217" s="1" t="s">
        <v>35</v>
      </c>
      <c r="M217" s="17">
        <v>3355</v>
      </c>
      <c r="N217" s="23">
        <v>1.29</v>
      </c>
      <c r="O217" s="16" t="s">
        <v>1063</v>
      </c>
      <c r="P217" s="16" t="s">
        <v>63</v>
      </c>
      <c r="Q217" s="16" t="s">
        <v>29</v>
      </c>
      <c r="R217" s="16" t="s">
        <v>29</v>
      </c>
      <c r="S217" s="12" t="s">
        <v>3957</v>
      </c>
      <c r="T217" s="13">
        <v>46008</v>
      </c>
      <c r="U217" s="19"/>
      <c r="V217" s="53">
        <f>M217-U217-Y217-AA217-AC217-AE217-AG217</f>
        <v>-4.6999999999998181</v>
      </c>
      <c r="W217" s="22" t="s">
        <v>4138</v>
      </c>
      <c r="X217" s="16" t="s">
        <v>4140</v>
      </c>
      <c r="Y217" s="19">
        <v>3359.7</v>
      </c>
      <c r="Z217" s="14">
        <v>46006</v>
      </c>
    </row>
    <row r="218" spans="1:28" s="28" customFormat="1" ht="20.25" hidden="1" customHeight="1">
      <c r="A218" s="11">
        <v>45994</v>
      </c>
      <c r="B218" s="16" t="s">
        <v>4133</v>
      </c>
      <c r="C218" s="16" t="s">
        <v>267</v>
      </c>
      <c r="D218" s="16" t="s">
        <v>212</v>
      </c>
      <c r="E218" s="16" t="s">
        <v>62</v>
      </c>
      <c r="F218" s="16" t="s">
        <v>4136</v>
      </c>
      <c r="G218" s="16" t="s">
        <v>71</v>
      </c>
      <c r="H218" s="16" t="s">
        <v>31</v>
      </c>
      <c r="I218" s="1"/>
      <c r="J218" s="1" t="s">
        <v>27</v>
      </c>
      <c r="K218" s="16" t="s">
        <v>2976</v>
      </c>
      <c r="L218" s="1" t="s">
        <v>35</v>
      </c>
      <c r="M218" s="17">
        <v>15</v>
      </c>
      <c r="N218" s="6">
        <v>1.29</v>
      </c>
      <c r="O218" s="1" t="s">
        <v>67</v>
      </c>
      <c r="P218" s="1" t="s">
        <v>63</v>
      </c>
      <c r="Q218" s="1" t="s">
        <v>29</v>
      </c>
      <c r="R218" s="1" t="s">
        <v>29</v>
      </c>
      <c r="S218" s="121" t="s">
        <v>3957</v>
      </c>
      <c r="T218" s="13">
        <v>46008</v>
      </c>
      <c r="U218" s="19"/>
      <c r="V218" s="53">
        <f>M218-U218-Y218-AA218-AC218-AE218-AG218</f>
        <v>-3.8999999999999986</v>
      </c>
      <c r="W218" s="22" t="s">
        <v>4139</v>
      </c>
      <c r="X218" s="16" t="s">
        <v>29</v>
      </c>
      <c r="Y218" s="19">
        <v>18.899999999999999</v>
      </c>
      <c r="Z218" s="14">
        <v>46001</v>
      </c>
    </row>
    <row r="219" spans="1:28" s="28" customFormat="1" ht="20.25" hidden="1" customHeight="1">
      <c r="A219" s="11">
        <v>45994</v>
      </c>
      <c r="B219" s="16" t="s">
        <v>4134</v>
      </c>
      <c r="C219" s="16" t="s">
        <v>267</v>
      </c>
      <c r="D219" s="16" t="s">
        <v>212</v>
      </c>
      <c r="E219" s="16" t="s">
        <v>62</v>
      </c>
      <c r="F219" s="16" t="s">
        <v>4137</v>
      </c>
      <c r="G219" s="16" t="s">
        <v>71</v>
      </c>
      <c r="H219" s="16" t="s">
        <v>26</v>
      </c>
      <c r="I219" s="1"/>
      <c r="J219" s="1" t="s">
        <v>27</v>
      </c>
      <c r="K219" s="16" t="s">
        <v>3551</v>
      </c>
      <c r="L219" s="1" t="s">
        <v>35</v>
      </c>
      <c r="M219" s="17">
        <v>70</v>
      </c>
      <c r="N219" s="6">
        <v>1.29</v>
      </c>
      <c r="O219" s="1" t="s">
        <v>67</v>
      </c>
      <c r="P219" s="1" t="s">
        <v>63</v>
      </c>
      <c r="Q219" s="1" t="s">
        <v>29</v>
      </c>
      <c r="R219" s="1" t="s">
        <v>29</v>
      </c>
      <c r="S219" s="121" t="s">
        <v>3957</v>
      </c>
      <c r="T219" s="13">
        <v>46008</v>
      </c>
      <c r="U219" s="19"/>
      <c r="V219" s="53">
        <f>M219-U219-Y219-AA219-AC219-AE219-AG219</f>
        <v>-4</v>
      </c>
      <c r="W219" s="22" t="s">
        <v>4155</v>
      </c>
      <c r="X219" s="16" t="s">
        <v>29</v>
      </c>
      <c r="Y219" s="19">
        <v>74</v>
      </c>
      <c r="Z219" s="14">
        <v>46001</v>
      </c>
    </row>
    <row r="220" spans="1:28" s="28" customFormat="1" ht="20.25" hidden="1" customHeight="1">
      <c r="A220" s="11">
        <v>45995</v>
      </c>
      <c r="B220" s="16" t="s">
        <v>4146</v>
      </c>
      <c r="C220" s="16" t="s">
        <v>298</v>
      </c>
      <c r="D220" s="16" t="s">
        <v>212</v>
      </c>
      <c r="E220" s="16" t="s">
        <v>62</v>
      </c>
      <c r="F220" s="16" t="s">
        <v>4149</v>
      </c>
      <c r="G220" s="16" t="s">
        <v>71</v>
      </c>
      <c r="H220" s="16" t="s">
        <v>31</v>
      </c>
      <c r="I220" s="1"/>
      <c r="J220" s="1" t="s">
        <v>27</v>
      </c>
      <c r="K220" s="16" t="s">
        <v>1012</v>
      </c>
      <c r="L220" s="1" t="s">
        <v>35</v>
      </c>
      <c r="M220" s="17">
        <v>440</v>
      </c>
      <c r="N220" s="23">
        <v>1.29</v>
      </c>
      <c r="O220" s="16" t="s">
        <v>67</v>
      </c>
      <c r="P220" s="16" t="s">
        <v>63</v>
      </c>
      <c r="Q220" s="16" t="s">
        <v>29</v>
      </c>
      <c r="R220" s="16" t="s">
        <v>29</v>
      </c>
      <c r="S220" s="12" t="s">
        <v>3957</v>
      </c>
      <c r="T220" s="13">
        <v>46008</v>
      </c>
      <c r="U220" s="19"/>
      <c r="V220" s="53">
        <f>M220-U220-Y220-AA220-AC220-AE220-AG220</f>
        <v>-4</v>
      </c>
      <c r="W220" s="22" t="s">
        <v>4152</v>
      </c>
      <c r="X220" s="16"/>
      <c r="Y220" s="19">
        <v>444</v>
      </c>
      <c r="Z220" s="14">
        <v>46006</v>
      </c>
    </row>
    <row r="221" spans="1:28" s="28" customFormat="1" ht="20.25" hidden="1" customHeight="1">
      <c r="A221" s="11">
        <v>45995</v>
      </c>
      <c r="B221" s="16" t="s">
        <v>4147</v>
      </c>
      <c r="C221" s="16" t="s">
        <v>382</v>
      </c>
      <c r="D221" s="16" t="s">
        <v>212</v>
      </c>
      <c r="E221" s="16" t="s">
        <v>62</v>
      </c>
      <c r="F221" s="16" t="s">
        <v>4150</v>
      </c>
      <c r="G221" s="16" t="s">
        <v>71</v>
      </c>
      <c r="H221" s="16" t="s">
        <v>31</v>
      </c>
      <c r="I221" s="16"/>
      <c r="J221" s="16" t="s">
        <v>27</v>
      </c>
      <c r="K221" s="16" t="s">
        <v>1687</v>
      </c>
      <c r="L221" s="16" t="s">
        <v>35</v>
      </c>
      <c r="M221" s="17">
        <v>28</v>
      </c>
      <c r="N221" s="23">
        <v>1.29</v>
      </c>
      <c r="O221" s="16" t="s">
        <v>67</v>
      </c>
      <c r="P221" s="16" t="s">
        <v>63</v>
      </c>
      <c r="Q221" s="16" t="s">
        <v>29</v>
      </c>
      <c r="R221" s="16" t="s">
        <v>29</v>
      </c>
      <c r="S221" s="12" t="s">
        <v>4016</v>
      </c>
      <c r="T221" s="13">
        <v>46009</v>
      </c>
      <c r="U221" s="19"/>
      <c r="V221" s="53">
        <f>M221-U221-Y221-AA221-AC221-AE221-AG221</f>
        <v>-0.69999999999999929</v>
      </c>
      <c r="W221" s="22" t="s">
        <v>4153</v>
      </c>
      <c r="X221" s="16"/>
      <c r="Y221" s="19">
        <v>28.7</v>
      </c>
      <c r="Z221" s="14">
        <v>46027</v>
      </c>
    </row>
    <row r="222" spans="1:28" s="28" customFormat="1" ht="20.25" hidden="1" customHeight="1">
      <c r="A222" s="11">
        <v>45995</v>
      </c>
      <c r="B222" s="16" t="s">
        <v>4148</v>
      </c>
      <c r="C222" s="16" t="s">
        <v>382</v>
      </c>
      <c r="D222" s="16" t="s">
        <v>212</v>
      </c>
      <c r="E222" s="16" t="s">
        <v>62</v>
      </c>
      <c r="F222" s="16" t="s">
        <v>4151</v>
      </c>
      <c r="G222" s="16" t="s">
        <v>71</v>
      </c>
      <c r="H222" s="16" t="s">
        <v>31</v>
      </c>
      <c r="I222" s="16"/>
      <c r="J222" s="16" t="s">
        <v>27</v>
      </c>
      <c r="K222" s="16" t="s">
        <v>3713</v>
      </c>
      <c r="L222" s="16" t="s">
        <v>35</v>
      </c>
      <c r="M222" s="17">
        <v>274.5</v>
      </c>
      <c r="N222" s="23">
        <v>1.29</v>
      </c>
      <c r="O222" s="16" t="s">
        <v>67</v>
      </c>
      <c r="P222" s="16" t="s">
        <v>63</v>
      </c>
      <c r="Q222" s="16" t="s">
        <v>29</v>
      </c>
      <c r="R222" s="16" t="s">
        <v>29</v>
      </c>
      <c r="S222" s="12" t="s">
        <v>4016</v>
      </c>
      <c r="T222" s="13">
        <v>46009</v>
      </c>
      <c r="U222" s="19"/>
      <c r="V222" s="53">
        <f>M222-U222-Y222-AA222-AC222-AE222-AG222</f>
        <v>0</v>
      </c>
      <c r="W222" s="22" t="s">
        <v>4154</v>
      </c>
      <c r="X222" s="16"/>
      <c r="Y222" s="19">
        <v>126.3</v>
      </c>
      <c r="Z222" s="14">
        <v>46009</v>
      </c>
      <c r="AA222" s="19">
        <v>148.19999999999999</v>
      </c>
      <c r="AB222" s="252">
        <v>46027</v>
      </c>
    </row>
    <row r="223" spans="1:28" s="28" customFormat="1" ht="20.25" hidden="1" customHeight="1">
      <c r="A223" s="11">
        <v>46002</v>
      </c>
      <c r="B223" s="16" t="s">
        <v>4204</v>
      </c>
      <c r="C223" s="16" t="s">
        <v>304</v>
      </c>
      <c r="D223" s="16" t="s">
        <v>212</v>
      </c>
      <c r="E223" s="16" t="s">
        <v>62</v>
      </c>
      <c r="F223" s="16" t="s">
        <v>4136</v>
      </c>
      <c r="G223" s="16" t="s">
        <v>71</v>
      </c>
      <c r="H223" s="16" t="s">
        <v>31</v>
      </c>
      <c r="I223" s="16"/>
      <c r="J223" s="16" t="s">
        <v>27</v>
      </c>
      <c r="K223" s="16" t="s">
        <v>3330</v>
      </c>
      <c r="L223" s="16" t="s">
        <v>35</v>
      </c>
      <c r="M223" s="17">
        <v>15</v>
      </c>
      <c r="N223" s="23">
        <v>1.29</v>
      </c>
      <c r="O223" s="16" t="s">
        <v>67</v>
      </c>
      <c r="P223" s="16" t="s">
        <v>63</v>
      </c>
      <c r="Q223" s="16" t="s">
        <v>29</v>
      </c>
      <c r="R223" s="16" t="s">
        <v>29</v>
      </c>
      <c r="S223" s="12" t="s">
        <v>4207</v>
      </c>
      <c r="T223" s="13">
        <v>46016</v>
      </c>
      <c r="U223" s="19"/>
      <c r="V223" s="53">
        <f>M223-U223-Y223-AA223-AC223-AE223-AG223</f>
        <v>0</v>
      </c>
      <c r="W223" s="22" t="s">
        <v>4208</v>
      </c>
      <c r="X223" s="16" t="s">
        <v>29</v>
      </c>
      <c r="Y223" s="19">
        <v>15</v>
      </c>
      <c r="Z223" s="14">
        <v>46010</v>
      </c>
    </row>
    <row r="224" spans="1:28" s="28" customFormat="1" ht="20.25" hidden="1" customHeight="1">
      <c r="A224" s="11">
        <v>46002</v>
      </c>
      <c r="B224" s="16" t="s">
        <v>4205</v>
      </c>
      <c r="C224" s="16" t="s">
        <v>382</v>
      </c>
      <c r="D224" s="16" t="s">
        <v>212</v>
      </c>
      <c r="E224" s="16" t="s">
        <v>62</v>
      </c>
      <c r="F224" s="16" t="s">
        <v>4206</v>
      </c>
      <c r="G224" s="16" t="s">
        <v>71</v>
      </c>
      <c r="H224" s="16" t="s">
        <v>31</v>
      </c>
      <c r="I224" s="16"/>
      <c r="J224" s="16" t="s">
        <v>27</v>
      </c>
      <c r="K224" s="16" t="s">
        <v>214</v>
      </c>
      <c r="L224" s="16" t="s">
        <v>35</v>
      </c>
      <c r="M224" s="17">
        <v>15</v>
      </c>
      <c r="N224" s="23">
        <v>1.29</v>
      </c>
      <c r="O224" s="16" t="s">
        <v>67</v>
      </c>
      <c r="P224" s="16" t="s">
        <v>63</v>
      </c>
      <c r="Q224" s="16" t="s">
        <v>29</v>
      </c>
      <c r="R224" s="16" t="s">
        <v>29</v>
      </c>
      <c r="S224" s="12" t="s">
        <v>3906</v>
      </c>
      <c r="T224" s="13"/>
      <c r="U224" s="19"/>
      <c r="V224" s="53">
        <f>M224-U224-Y224-AA224-AC224-AE224-AG224</f>
        <v>-5.3999999999999986</v>
      </c>
      <c r="W224" s="22" t="s">
        <v>4209</v>
      </c>
      <c r="X224" s="16" t="s">
        <v>29</v>
      </c>
      <c r="Y224" s="9">
        <v>20.399999999999999</v>
      </c>
      <c r="Z224" s="14">
        <v>46002</v>
      </c>
    </row>
    <row r="225" spans="1:26" s="28" customFormat="1" ht="20.25" hidden="1" customHeight="1">
      <c r="A225" s="11">
        <v>46003</v>
      </c>
      <c r="B225" s="16" t="s">
        <v>4214</v>
      </c>
      <c r="C225" s="16" t="s">
        <v>267</v>
      </c>
      <c r="D225" s="16" t="s">
        <v>212</v>
      </c>
      <c r="E225" s="16" t="s">
        <v>62</v>
      </c>
      <c r="F225" s="16" t="s">
        <v>4217</v>
      </c>
      <c r="G225" s="16" t="s">
        <v>71</v>
      </c>
      <c r="H225" s="16" t="s">
        <v>31</v>
      </c>
      <c r="I225" s="16"/>
      <c r="J225" s="16" t="s">
        <v>27</v>
      </c>
      <c r="K225" s="16" t="s">
        <v>598</v>
      </c>
      <c r="L225" s="16" t="s">
        <v>35</v>
      </c>
      <c r="M225" s="17">
        <v>11.7</v>
      </c>
      <c r="N225" s="23">
        <v>1.29</v>
      </c>
      <c r="O225" s="16" t="s">
        <v>67</v>
      </c>
      <c r="P225" s="16" t="s">
        <v>63</v>
      </c>
      <c r="Q225" s="16" t="s">
        <v>29</v>
      </c>
      <c r="R225" s="16" t="s">
        <v>4220</v>
      </c>
      <c r="S225" s="12" t="s">
        <v>3931</v>
      </c>
      <c r="T225" s="13"/>
      <c r="U225" s="19"/>
      <c r="V225" s="53">
        <f>M225-U225-Y225-AA225-AC225-AE225-AG225</f>
        <v>0</v>
      </c>
      <c r="W225" s="22" t="s">
        <v>4221</v>
      </c>
      <c r="X225" s="16"/>
      <c r="Y225" s="9">
        <v>11.7</v>
      </c>
      <c r="Z225" s="14">
        <v>46003</v>
      </c>
    </row>
    <row r="226" spans="1:26" s="28" customFormat="1" ht="20.25" hidden="1" customHeight="1">
      <c r="A226" s="11">
        <v>46003</v>
      </c>
      <c r="B226" s="16" t="s">
        <v>4215</v>
      </c>
      <c r="C226" s="16" t="s">
        <v>267</v>
      </c>
      <c r="D226" s="16" t="s">
        <v>212</v>
      </c>
      <c r="E226" s="16" t="s">
        <v>62</v>
      </c>
      <c r="F226" s="16" t="s">
        <v>4218</v>
      </c>
      <c r="G226" s="16" t="s">
        <v>71</v>
      </c>
      <c r="H226" s="16" t="s">
        <v>26</v>
      </c>
      <c r="I226" s="16"/>
      <c r="J226" s="16" t="s">
        <v>27</v>
      </c>
      <c r="K226" s="16" t="s">
        <v>345</v>
      </c>
      <c r="L226" s="16" t="s">
        <v>35</v>
      </c>
      <c r="M226" s="17">
        <v>10.3</v>
      </c>
      <c r="N226" s="23">
        <v>1.29</v>
      </c>
      <c r="O226" s="16" t="s">
        <v>67</v>
      </c>
      <c r="P226" s="16" t="s">
        <v>63</v>
      </c>
      <c r="Q226" s="16" t="s">
        <v>29</v>
      </c>
      <c r="R226" s="16" t="s">
        <v>29</v>
      </c>
      <c r="S226" s="12" t="s">
        <v>3931</v>
      </c>
      <c r="T226" s="13"/>
      <c r="U226" s="19"/>
      <c r="V226" s="53">
        <f>M226-U226-Y226-AA226-AC226-AE226-AG226</f>
        <v>0</v>
      </c>
      <c r="W226" s="22" t="s">
        <v>4222</v>
      </c>
      <c r="X226" s="16"/>
      <c r="Y226" s="9">
        <v>10.3</v>
      </c>
      <c r="Z226" s="14">
        <v>46003</v>
      </c>
    </row>
    <row r="227" spans="1:26" s="28" customFormat="1" ht="20.25" hidden="1" customHeight="1">
      <c r="A227" s="11">
        <v>46003</v>
      </c>
      <c r="B227" s="16" t="s">
        <v>4216</v>
      </c>
      <c r="C227" s="16" t="s">
        <v>400</v>
      </c>
      <c r="D227" s="16" t="s">
        <v>212</v>
      </c>
      <c r="E227" s="16" t="s">
        <v>62</v>
      </c>
      <c r="F227" s="16" t="s">
        <v>4219</v>
      </c>
      <c r="G227" s="16" t="s">
        <v>71</v>
      </c>
      <c r="H227" s="16" t="s">
        <v>26</v>
      </c>
      <c r="I227" s="1"/>
      <c r="J227" s="1" t="s">
        <v>27</v>
      </c>
      <c r="K227" s="16" t="s">
        <v>1378</v>
      </c>
      <c r="L227" s="1" t="s">
        <v>35</v>
      </c>
      <c r="M227" s="17">
        <v>50</v>
      </c>
      <c r="N227" s="23">
        <v>1.29</v>
      </c>
      <c r="O227" s="16" t="s">
        <v>67</v>
      </c>
      <c r="P227" s="16" t="s">
        <v>63</v>
      </c>
      <c r="Q227" s="16" t="s">
        <v>29</v>
      </c>
      <c r="R227" s="16" t="s">
        <v>29</v>
      </c>
      <c r="S227" s="12" t="s">
        <v>4212</v>
      </c>
      <c r="T227" s="13">
        <v>46031</v>
      </c>
      <c r="U227" s="19"/>
      <c r="V227" s="53">
        <f>M227-U227-Y227-AA227-AC227-AE227-AG227</f>
        <v>-0.29999999999999716</v>
      </c>
      <c r="W227" s="22" t="s">
        <v>4223</v>
      </c>
      <c r="X227" s="16"/>
      <c r="Y227" s="19">
        <v>50.3</v>
      </c>
      <c r="Z227" s="14">
        <v>46031</v>
      </c>
    </row>
    <row r="228" spans="1:26" s="28" customFormat="1" ht="20.25" hidden="1" customHeight="1">
      <c r="A228" s="11">
        <v>46008</v>
      </c>
      <c r="B228" s="16" t="s">
        <v>4262</v>
      </c>
      <c r="C228" s="16" t="s">
        <v>382</v>
      </c>
      <c r="D228" s="16" t="s">
        <v>212</v>
      </c>
      <c r="E228" s="16" t="s">
        <v>62</v>
      </c>
      <c r="F228" s="16" t="s">
        <v>4264</v>
      </c>
      <c r="G228" s="16" t="s">
        <v>71</v>
      </c>
      <c r="H228" s="16" t="s">
        <v>31</v>
      </c>
      <c r="I228" s="16"/>
      <c r="J228" s="16" t="s">
        <v>27</v>
      </c>
      <c r="K228" s="16" t="s">
        <v>306</v>
      </c>
      <c r="L228" s="16" t="s">
        <v>35</v>
      </c>
      <c r="M228" s="17">
        <v>27.85</v>
      </c>
      <c r="N228" s="23">
        <v>1.29</v>
      </c>
      <c r="O228" s="16" t="s">
        <v>67</v>
      </c>
      <c r="P228" s="16" t="s">
        <v>29</v>
      </c>
      <c r="Q228" s="16" t="s">
        <v>29</v>
      </c>
      <c r="R228" s="16" t="s">
        <v>29</v>
      </c>
      <c r="S228" s="12" t="s">
        <v>4081</v>
      </c>
      <c r="T228" s="13">
        <v>46013</v>
      </c>
      <c r="U228" s="19"/>
      <c r="V228" s="53">
        <f>M228-U228-Y228-AA228-AC228-AE228-AG228</f>
        <v>-1.5499999999999972</v>
      </c>
      <c r="W228" s="22" t="s">
        <v>4266</v>
      </c>
      <c r="X228" s="16"/>
      <c r="Y228" s="19">
        <v>29.4</v>
      </c>
      <c r="Z228" s="14">
        <v>46027</v>
      </c>
    </row>
    <row r="229" spans="1:26" s="28" customFormat="1" ht="20.25" hidden="1" customHeight="1">
      <c r="A229" s="11">
        <v>46008</v>
      </c>
      <c r="B229" s="16" t="s">
        <v>4263</v>
      </c>
      <c r="C229" s="16" t="s">
        <v>382</v>
      </c>
      <c r="D229" s="16" t="s">
        <v>212</v>
      </c>
      <c r="E229" s="16" t="s">
        <v>62</v>
      </c>
      <c r="F229" s="16" t="s">
        <v>4265</v>
      </c>
      <c r="G229" s="16" t="s">
        <v>71</v>
      </c>
      <c r="H229" s="16" t="s">
        <v>31</v>
      </c>
      <c r="I229" s="16"/>
      <c r="J229" s="16" t="s">
        <v>27</v>
      </c>
      <c r="K229" s="16" t="s">
        <v>230</v>
      </c>
      <c r="L229" s="16" t="s">
        <v>35</v>
      </c>
      <c r="M229" s="17">
        <v>2176.5100000000002</v>
      </c>
      <c r="N229" s="23">
        <v>1.29</v>
      </c>
      <c r="O229" s="16" t="s">
        <v>4095</v>
      </c>
      <c r="P229" s="16" t="s">
        <v>29</v>
      </c>
      <c r="Q229" s="16" t="s">
        <v>29</v>
      </c>
      <c r="R229" s="16" t="s">
        <v>29</v>
      </c>
      <c r="S229" s="12" t="s">
        <v>4081</v>
      </c>
      <c r="T229" s="13">
        <v>46013</v>
      </c>
      <c r="U229" s="19"/>
      <c r="V229" s="53">
        <f>M229-U229-Y229-AA229-AC229-AE229-AG229</f>
        <v>-4.6899999999995998</v>
      </c>
      <c r="W229" s="22" t="s">
        <v>4267</v>
      </c>
      <c r="X229" s="16"/>
      <c r="Y229" s="19">
        <f>1048+1133.2</f>
        <v>2181.1999999999998</v>
      </c>
      <c r="Z229" s="14">
        <v>46029</v>
      </c>
    </row>
    <row r="230" spans="1:26" s="28" customFormat="1" ht="20.25" hidden="1" customHeight="1">
      <c r="A230" s="11">
        <v>46009</v>
      </c>
      <c r="B230" s="16" t="s">
        <v>4277</v>
      </c>
      <c r="C230" s="16" t="s">
        <v>267</v>
      </c>
      <c r="D230" s="16" t="s">
        <v>212</v>
      </c>
      <c r="E230" s="16" t="s">
        <v>62</v>
      </c>
      <c r="F230" s="16" t="s">
        <v>4283</v>
      </c>
      <c r="G230" s="16" t="s">
        <v>71</v>
      </c>
      <c r="H230" s="16" t="s">
        <v>26</v>
      </c>
      <c r="I230" s="1"/>
      <c r="J230" s="1" t="s">
        <v>27</v>
      </c>
      <c r="K230" s="16" t="s">
        <v>1717</v>
      </c>
      <c r="L230" s="1" t="s">
        <v>35</v>
      </c>
      <c r="M230" s="17">
        <v>30</v>
      </c>
      <c r="N230" s="23">
        <v>1.29</v>
      </c>
      <c r="O230" s="16" t="s">
        <v>67</v>
      </c>
      <c r="P230" s="16" t="s">
        <v>63</v>
      </c>
      <c r="Q230" s="16" t="s">
        <v>29</v>
      </c>
      <c r="R230" s="16" t="s">
        <v>29</v>
      </c>
      <c r="S230" s="12" t="s">
        <v>4198</v>
      </c>
      <c r="T230" s="13">
        <v>46030</v>
      </c>
      <c r="U230" s="19"/>
      <c r="V230" s="53">
        <f>M230-U230-Y230-AA230-AC230-AE230-AG230</f>
        <v>-9.2999999999999972</v>
      </c>
      <c r="W230" s="22" t="s">
        <v>4291</v>
      </c>
      <c r="X230" s="16" t="s">
        <v>29</v>
      </c>
      <c r="Y230" s="19">
        <v>39.299999999999997</v>
      </c>
      <c r="Z230" s="14">
        <v>46034</v>
      </c>
    </row>
    <row r="231" spans="1:26" s="28" customFormat="1" ht="20.25" hidden="1" customHeight="1">
      <c r="A231" s="11">
        <v>46009</v>
      </c>
      <c r="B231" s="16" t="s">
        <v>4278</v>
      </c>
      <c r="C231" s="16" t="s">
        <v>267</v>
      </c>
      <c r="D231" s="16" t="s">
        <v>212</v>
      </c>
      <c r="E231" s="16" t="s">
        <v>62</v>
      </c>
      <c r="F231" s="16" t="s">
        <v>4284</v>
      </c>
      <c r="G231" s="16" t="s">
        <v>71</v>
      </c>
      <c r="H231" s="16" t="s">
        <v>26</v>
      </c>
      <c r="I231" s="1"/>
      <c r="J231" s="1" t="s">
        <v>27</v>
      </c>
      <c r="K231" s="16" t="s">
        <v>1717</v>
      </c>
      <c r="L231" s="1" t="s">
        <v>35</v>
      </c>
      <c r="M231" s="17">
        <v>24</v>
      </c>
      <c r="N231" s="23">
        <v>1.29</v>
      </c>
      <c r="O231" s="16" t="s">
        <v>67</v>
      </c>
      <c r="P231" s="16" t="s">
        <v>63</v>
      </c>
      <c r="Q231" s="16" t="s">
        <v>29</v>
      </c>
      <c r="R231" s="16" t="s">
        <v>29</v>
      </c>
      <c r="S231" s="12" t="s">
        <v>4198</v>
      </c>
      <c r="T231" s="13">
        <v>46030</v>
      </c>
      <c r="U231" s="19"/>
      <c r="V231" s="53">
        <f>M231-U231-Y231-AA231-AC231-AE231-AG231</f>
        <v>-2.6000000000000014</v>
      </c>
      <c r="W231" s="22" t="s">
        <v>4292</v>
      </c>
      <c r="X231" s="16" t="s">
        <v>29</v>
      </c>
      <c r="Y231" s="19">
        <v>26.6</v>
      </c>
      <c r="Z231" s="14">
        <v>46034</v>
      </c>
    </row>
    <row r="232" spans="1:26" s="28" customFormat="1" ht="20.25" hidden="1" customHeight="1">
      <c r="A232" s="11">
        <v>46009</v>
      </c>
      <c r="B232" s="16" t="s">
        <v>4279</v>
      </c>
      <c r="C232" s="16" t="s">
        <v>267</v>
      </c>
      <c r="D232" s="16" t="s">
        <v>212</v>
      </c>
      <c r="E232" s="16" t="s">
        <v>62</v>
      </c>
      <c r="F232" s="16" t="s">
        <v>4285</v>
      </c>
      <c r="G232" s="16" t="s">
        <v>71</v>
      </c>
      <c r="H232" s="16" t="s">
        <v>31</v>
      </c>
      <c r="I232" s="1"/>
      <c r="J232" s="1" t="s">
        <v>27</v>
      </c>
      <c r="K232" s="16" t="s">
        <v>250</v>
      </c>
      <c r="L232" s="1" t="s">
        <v>35</v>
      </c>
      <c r="M232" s="17">
        <v>58.4</v>
      </c>
      <c r="N232" s="23">
        <v>1.29</v>
      </c>
      <c r="O232" s="16" t="s">
        <v>67</v>
      </c>
      <c r="P232" s="16" t="s">
        <v>63</v>
      </c>
      <c r="Q232" s="16" t="s">
        <v>29</v>
      </c>
      <c r="R232" s="16" t="s">
        <v>29</v>
      </c>
      <c r="S232" s="12" t="s">
        <v>4198</v>
      </c>
      <c r="T232" s="13">
        <v>46030</v>
      </c>
      <c r="U232" s="19"/>
      <c r="V232" s="53">
        <f>M232-U232-Y232-AA232-AC232-AE232-AG232</f>
        <v>-2.5</v>
      </c>
      <c r="W232" s="22" t="s">
        <v>4293</v>
      </c>
      <c r="X232" s="16" t="s">
        <v>29</v>
      </c>
      <c r="Y232" s="19">
        <v>60.9</v>
      </c>
      <c r="Z232" s="14">
        <v>46027</v>
      </c>
    </row>
    <row r="233" spans="1:26" s="28" customFormat="1" ht="20.25" hidden="1" customHeight="1">
      <c r="A233" s="11">
        <v>46009</v>
      </c>
      <c r="B233" s="16" t="s">
        <v>4280</v>
      </c>
      <c r="C233" s="16" t="s">
        <v>267</v>
      </c>
      <c r="D233" s="16" t="s">
        <v>212</v>
      </c>
      <c r="E233" s="16" t="s">
        <v>62</v>
      </c>
      <c r="F233" s="16" t="s">
        <v>4286</v>
      </c>
      <c r="G233" s="16" t="s">
        <v>71</v>
      </c>
      <c r="H233" s="16" t="s">
        <v>31</v>
      </c>
      <c r="I233" s="1"/>
      <c r="J233" s="1" t="s">
        <v>27</v>
      </c>
      <c r="K233" s="16" t="s">
        <v>250</v>
      </c>
      <c r="L233" s="1" t="s">
        <v>35</v>
      </c>
      <c r="M233" s="17">
        <v>20.3</v>
      </c>
      <c r="N233" s="23">
        <v>1.29</v>
      </c>
      <c r="O233" s="16" t="s">
        <v>67</v>
      </c>
      <c r="P233" s="16" t="s">
        <v>63</v>
      </c>
      <c r="Q233" s="16" t="s">
        <v>29</v>
      </c>
      <c r="R233" s="16" t="s">
        <v>29</v>
      </c>
      <c r="S233" s="12" t="s">
        <v>4198</v>
      </c>
      <c r="T233" s="13">
        <v>46030</v>
      </c>
      <c r="U233" s="19"/>
      <c r="V233" s="53">
        <f>M233-U233-Y233-AA233-AC233-AE233-AG233</f>
        <v>-0.5</v>
      </c>
      <c r="W233" s="22" t="s">
        <v>4294</v>
      </c>
      <c r="X233" s="16" t="s">
        <v>29</v>
      </c>
      <c r="Y233" s="19">
        <v>20.8</v>
      </c>
      <c r="Z233" s="14">
        <v>46027</v>
      </c>
    </row>
    <row r="234" spans="1:26" s="28" customFormat="1" ht="20.25" hidden="1" customHeight="1">
      <c r="A234" s="11">
        <v>46009</v>
      </c>
      <c r="B234" s="16" t="s">
        <v>4281</v>
      </c>
      <c r="C234" s="16" t="s">
        <v>267</v>
      </c>
      <c r="D234" s="16" t="s">
        <v>212</v>
      </c>
      <c r="E234" s="16" t="s">
        <v>62</v>
      </c>
      <c r="F234" s="16" t="s">
        <v>4287</v>
      </c>
      <c r="G234" s="16" t="s">
        <v>71</v>
      </c>
      <c r="H234" s="16" t="s">
        <v>31</v>
      </c>
      <c r="I234" s="16"/>
      <c r="J234" s="16" t="s">
        <v>27</v>
      </c>
      <c r="K234" s="16" t="s">
        <v>4290</v>
      </c>
      <c r="L234" s="16" t="s">
        <v>35</v>
      </c>
      <c r="M234" s="17">
        <v>11</v>
      </c>
      <c r="N234" s="23">
        <v>1.29</v>
      </c>
      <c r="O234" s="16" t="s">
        <v>67</v>
      </c>
      <c r="P234" s="16" t="s">
        <v>63</v>
      </c>
      <c r="Q234" s="16" t="s">
        <v>29</v>
      </c>
      <c r="R234" s="16" t="s">
        <v>29</v>
      </c>
      <c r="S234" s="12" t="s">
        <v>4198</v>
      </c>
      <c r="T234" s="13"/>
      <c r="U234" s="19"/>
      <c r="V234" s="53">
        <f>M234-U234-Y234-AA234-AC234-AE234-AG234</f>
        <v>-1.5</v>
      </c>
      <c r="W234" s="22" t="s">
        <v>4295</v>
      </c>
      <c r="X234" s="16" t="s">
        <v>29</v>
      </c>
      <c r="Y234" s="19">
        <v>12.5</v>
      </c>
      <c r="Z234" s="14">
        <v>46010</v>
      </c>
    </row>
    <row r="235" spans="1:26" s="28" customFormat="1" ht="20.25" hidden="1" customHeight="1">
      <c r="A235" s="11">
        <v>46009</v>
      </c>
      <c r="B235" s="16" t="s">
        <v>4282</v>
      </c>
      <c r="C235" s="16" t="s">
        <v>267</v>
      </c>
      <c r="D235" s="16" t="s">
        <v>212</v>
      </c>
      <c r="E235" s="16" t="s">
        <v>62</v>
      </c>
      <c r="F235" s="16" t="s">
        <v>4288</v>
      </c>
      <c r="G235" s="16" t="s">
        <v>71</v>
      </c>
      <c r="H235" s="16" t="s">
        <v>26</v>
      </c>
      <c r="I235" s="1"/>
      <c r="J235" s="1" t="s">
        <v>27</v>
      </c>
      <c r="K235" s="16" t="s">
        <v>3836</v>
      </c>
      <c r="L235" s="1" t="s">
        <v>35</v>
      </c>
      <c r="M235" s="17">
        <v>100</v>
      </c>
      <c r="N235" s="23">
        <v>1.29</v>
      </c>
      <c r="O235" s="16" t="s">
        <v>67</v>
      </c>
      <c r="P235" s="16" t="s">
        <v>63</v>
      </c>
      <c r="Q235" s="16" t="s">
        <v>29</v>
      </c>
      <c r="R235" s="16" t="s">
        <v>29</v>
      </c>
      <c r="S235" s="12" t="s">
        <v>4198</v>
      </c>
      <c r="T235" s="13">
        <v>46030</v>
      </c>
      <c r="U235" s="19"/>
      <c r="V235" s="53">
        <f>M235-U235-Y235-AA235-AC235-AE235-AG235</f>
        <v>-0.70000000000000284</v>
      </c>
      <c r="W235" s="22" t="s">
        <v>4296</v>
      </c>
      <c r="X235" s="16" t="s">
        <v>29</v>
      </c>
      <c r="Y235" s="19">
        <v>100.7</v>
      </c>
      <c r="Z235" s="14">
        <v>46041</v>
      </c>
    </row>
    <row r="236" spans="1:26" s="28" customFormat="1" ht="20.25" hidden="1" customHeight="1">
      <c r="A236" s="11">
        <v>46010</v>
      </c>
      <c r="B236" s="16" t="s">
        <v>4341</v>
      </c>
      <c r="C236" s="16" t="s">
        <v>228</v>
      </c>
      <c r="D236" s="16" t="s">
        <v>212</v>
      </c>
      <c r="E236" s="16" t="s">
        <v>62</v>
      </c>
      <c r="F236" s="16" t="s">
        <v>4342</v>
      </c>
      <c r="G236" s="16" t="s">
        <v>71</v>
      </c>
      <c r="H236" s="16" t="s">
        <v>31</v>
      </c>
      <c r="I236" s="1"/>
      <c r="J236" s="1" t="s">
        <v>27</v>
      </c>
      <c r="K236" s="16" t="s">
        <v>1116</v>
      </c>
      <c r="L236" s="1" t="s">
        <v>35</v>
      </c>
      <c r="M236" s="17">
        <v>199</v>
      </c>
      <c r="N236" s="23">
        <v>1.29</v>
      </c>
      <c r="O236" s="16" t="s">
        <v>67</v>
      </c>
      <c r="P236" s="16" t="s">
        <v>63</v>
      </c>
      <c r="Q236" s="16" t="s">
        <v>29</v>
      </c>
      <c r="R236" s="16" t="s">
        <v>29</v>
      </c>
      <c r="S236" s="12" t="s">
        <v>4198</v>
      </c>
      <c r="T236" s="13">
        <v>46030</v>
      </c>
      <c r="U236" s="19"/>
      <c r="V236" s="53">
        <f>M236-U236-Y236-AA236-AC236-AE236-AG236</f>
        <v>-1.6999999999999886</v>
      </c>
      <c r="W236" s="22" t="s">
        <v>4343</v>
      </c>
      <c r="X236" s="16" t="s">
        <v>29</v>
      </c>
      <c r="Y236" s="19">
        <v>200.7</v>
      </c>
      <c r="Z236" s="14">
        <v>46036</v>
      </c>
    </row>
    <row r="237" spans="1:26" s="28" customFormat="1" ht="20.25" hidden="1" customHeight="1">
      <c r="A237" s="11">
        <v>46014</v>
      </c>
      <c r="B237" s="16" t="s">
        <v>4414</v>
      </c>
      <c r="C237" s="16" t="s">
        <v>267</v>
      </c>
      <c r="D237" s="16" t="s">
        <v>212</v>
      </c>
      <c r="E237" s="16" t="s">
        <v>62</v>
      </c>
      <c r="F237" s="16" t="s">
        <v>4417</v>
      </c>
      <c r="G237" s="16" t="s">
        <v>71</v>
      </c>
      <c r="H237" s="16" t="s">
        <v>26</v>
      </c>
      <c r="I237" s="16"/>
      <c r="J237" s="16" t="s">
        <v>27</v>
      </c>
      <c r="K237" s="16" t="s">
        <v>537</v>
      </c>
      <c r="L237" s="16" t="s">
        <v>35</v>
      </c>
      <c r="M237" s="17">
        <v>15</v>
      </c>
      <c r="N237" s="23">
        <v>0.65</v>
      </c>
      <c r="O237" s="16" t="s">
        <v>67</v>
      </c>
      <c r="P237" s="16"/>
      <c r="Q237" s="16"/>
      <c r="R237" s="16"/>
      <c r="S237" s="12" t="s">
        <v>4082</v>
      </c>
      <c r="T237" s="13"/>
      <c r="U237" s="19"/>
      <c r="V237" s="53">
        <f>M237-U237-Y237-AA237-AC237-AE237-AG237</f>
        <v>-5</v>
      </c>
      <c r="W237" s="22" t="s">
        <v>4420</v>
      </c>
      <c r="X237" s="16"/>
      <c r="Y237" s="9">
        <v>20</v>
      </c>
      <c r="Z237" s="14">
        <v>46014</v>
      </c>
    </row>
    <row r="238" spans="1:26" s="28" customFormat="1" ht="20.25" hidden="1" customHeight="1">
      <c r="A238" s="11">
        <v>46014</v>
      </c>
      <c r="B238" s="16" t="s">
        <v>4415</v>
      </c>
      <c r="C238" s="16" t="s">
        <v>267</v>
      </c>
      <c r="D238" s="16" t="s">
        <v>212</v>
      </c>
      <c r="E238" s="16" t="s">
        <v>62</v>
      </c>
      <c r="F238" s="16" t="s">
        <v>4418</v>
      </c>
      <c r="G238" s="16" t="s">
        <v>71</v>
      </c>
      <c r="H238" s="16" t="s">
        <v>26</v>
      </c>
      <c r="I238" s="16"/>
      <c r="J238" s="16" t="s">
        <v>27</v>
      </c>
      <c r="K238" s="16" t="s">
        <v>218</v>
      </c>
      <c r="L238" s="16" t="s">
        <v>35</v>
      </c>
      <c r="M238" s="17">
        <v>15</v>
      </c>
      <c r="N238" s="23">
        <v>0.65</v>
      </c>
      <c r="O238" s="16" t="s">
        <v>67</v>
      </c>
      <c r="P238" s="16"/>
      <c r="Q238" s="16"/>
      <c r="R238" s="16"/>
      <c r="S238" s="12" t="s">
        <v>4082</v>
      </c>
      <c r="T238" s="13"/>
      <c r="U238" s="19"/>
      <c r="V238" s="53">
        <f>M238-U238-Y238-AA238-AC238-AE238-AG238</f>
        <v>-4.6000000000000014</v>
      </c>
      <c r="W238" s="22" t="s">
        <v>4421</v>
      </c>
      <c r="X238" s="16"/>
      <c r="Y238" s="9">
        <v>19.600000000000001</v>
      </c>
      <c r="Z238" s="14">
        <v>46014</v>
      </c>
    </row>
    <row r="239" spans="1:26" s="28" customFormat="1" ht="20.25" hidden="1" customHeight="1">
      <c r="A239" s="11">
        <v>46014</v>
      </c>
      <c r="B239" s="16" t="s">
        <v>4416</v>
      </c>
      <c r="C239" s="16" t="s">
        <v>267</v>
      </c>
      <c r="D239" s="16" t="s">
        <v>212</v>
      </c>
      <c r="E239" s="16" t="s">
        <v>62</v>
      </c>
      <c r="F239" s="16" t="s">
        <v>4419</v>
      </c>
      <c r="G239" s="16" t="s">
        <v>71</v>
      </c>
      <c r="H239" s="16" t="s">
        <v>26</v>
      </c>
      <c r="I239" s="16"/>
      <c r="J239" s="16" t="s">
        <v>27</v>
      </c>
      <c r="K239" s="16" t="s">
        <v>2973</v>
      </c>
      <c r="L239" s="16" t="s">
        <v>35</v>
      </c>
      <c r="M239" s="17">
        <v>15</v>
      </c>
      <c r="N239" s="23">
        <v>0.65</v>
      </c>
      <c r="O239" s="16" t="s">
        <v>67</v>
      </c>
      <c r="P239" s="16"/>
      <c r="Q239" s="16"/>
      <c r="R239" s="16"/>
      <c r="S239" s="12" t="s">
        <v>4082</v>
      </c>
      <c r="T239" s="13"/>
      <c r="U239" s="19"/>
      <c r="V239" s="53">
        <f>M239-U239-Y239-AA239-AC239-AE239-AG239</f>
        <v>-1.8999999999999986</v>
      </c>
      <c r="W239" s="22" t="s">
        <v>4422</v>
      </c>
      <c r="X239" s="16"/>
      <c r="Y239" s="9">
        <v>16.899999999999999</v>
      </c>
      <c r="Z239" s="14">
        <v>46014</v>
      </c>
    </row>
    <row r="240" spans="1:26" s="28" customFormat="1" ht="20.25" hidden="1" customHeight="1">
      <c r="A240" s="11">
        <v>46015</v>
      </c>
      <c r="B240" s="16" t="s">
        <v>4439</v>
      </c>
      <c r="C240" s="16" t="s">
        <v>304</v>
      </c>
      <c r="D240" s="16" t="s">
        <v>212</v>
      </c>
      <c r="E240" s="16" t="s">
        <v>62</v>
      </c>
      <c r="F240" s="16" t="s">
        <v>4442</v>
      </c>
      <c r="G240" s="16" t="s">
        <v>71</v>
      </c>
      <c r="H240" s="16" t="s">
        <v>31</v>
      </c>
      <c r="I240" s="1"/>
      <c r="J240" s="1" t="s">
        <v>27</v>
      </c>
      <c r="K240" s="16" t="s">
        <v>3199</v>
      </c>
      <c r="L240" s="1" t="s">
        <v>35</v>
      </c>
      <c r="M240" s="17">
        <v>70</v>
      </c>
      <c r="N240" s="23">
        <v>1.29</v>
      </c>
      <c r="O240" s="16" t="s">
        <v>67</v>
      </c>
      <c r="P240" s="16" t="s">
        <v>63</v>
      </c>
      <c r="Q240" s="16" t="s">
        <v>29</v>
      </c>
      <c r="R240" s="16" t="s">
        <v>29</v>
      </c>
      <c r="S240" s="12" t="s">
        <v>4257</v>
      </c>
      <c r="T240" s="13">
        <v>46036</v>
      </c>
      <c r="U240" s="19"/>
      <c r="V240" s="53">
        <f>M240-U240-Y240-AA240-AC240-AE240-AG240</f>
        <v>-0.59999999999999432</v>
      </c>
      <c r="W240" s="22" t="s">
        <v>4445</v>
      </c>
      <c r="X240" s="16" t="s">
        <v>29</v>
      </c>
      <c r="Y240" s="19">
        <v>70.599999999999994</v>
      </c>
      <c r="Z240" s="14">
        <v>46027</v>
      </c>
    </row>
    <row r="241" spans="1:30" s="28" customFormat="1" ht="20.25" hidden="1" customHeight="1">
      <c r="A241" s="11">
        <v>46015</v>
      </c>
      <c r="B241" s="16" t="s">
        <v>4440</v>
      </c>
      <c r="C241" s="16" t="s">
        <v>304</v>
      </c>
      <c r="D241" s="16" t="s">
        <v>212</v>
      </c>
      <c r="E241" s="16" t="s">
        <v>62</v>
      </c>
      <c r="F241" s="16" t="s">
        <v>4443</v>
      </c>
      <c r="G241" s="16" t="s">
        <v>71</v>
      </c>
      <c r="H241" s="16" t="s">
        <v>31</v>
      </c>
      <c r="I241" s="1"/>
      <c r="J241" s="1" t="s">
        <v>27</v>
      </c>
      <c r="K241" s="16" t="s">
        <v>223</v>
      </c>
      <c r="L241" s="1" t="s">
        <v>35</v>
      </c>
      <c r="M241" s="17">
        <v>60</v>
      </c>
      <c r="N241" s="23">
        <v>1.29</v>
      </c>
      <c r="O241" s="16" t="s">
        <v>67</v>
      </c>
      <c r="P241" s="16" t="s">
        <v>63</v>
      </c>
      <c r="Q241" s="16" t="s">
        <v>29</v>
      </c>
      <c r="R241" s="16" t="s">
        <v>29</v>
      </c>
      <c r="S241" s="12" t="s">
        <v>4257</v>
      </c>
      <c r="T241" s="13">
        <v>46036</v>
      </c>
      <c r="U241" s="19"/>
      <c r="V241" s="53">
        <f>M241-U241-Y241-AA241-AC241-AE241-AG241</f>
        <v>-6.9000000000000057</v>
      </c>
      <c r="W241" s="22" t="s">
        <v>4446</v>
      </c>
      <c r="X241" s="16" t="s">
        <v>29</v>
      </c>
      <c r="Y241" s="19">
        <v>66.900000000000006</v>
      </c>
      <c r="Z241" s="14">
        <v>46036</v>
      </c>
    </row>
    <row r="242" spans="1:30" s="28" customFormat="1" ht="20.25" hidden="1" customHeight="1">
      <c r="A242" s="11">
        <v>46015</v>
      </c>
      <c r="B242" s="16" t="s">
        <v>4441</v>
      </c>
      <c r="C242" s="16" t="s">
        <v>228</v>
      </c>
      <c r="D242" s="16" t="s">
        <v>212</v>
      </c>
      <c r="E242" s="16" t="s">
        <v>62</v>
      </c>
      <c r="F242" s="16" t="s">
        <v>4444</v>
      </c>
      <c r="G242" s="16" t="s">
        <v>71</v>
      </c>
      <c r="H242" s="16" t="s">
        <v>31</v>
      </c>
      <c r="I242" s="1"/>
      <c r="J242" s="1" t="s">
        <v>27</v>
      </c>
      <c r="K242" s="16" t="s">
        <v>2653</v>
      </c>
      <c r="L242" s="1" t="s">
        <v>35</v>
      </c>
      <c r="M242" s="17">
        <v>110</v>
      </c>
      <c r="N242" s="23">
        <v>1.29</v>
      </c>
      <c r="O242" s="16" t="s">
        <v>67</v>
      </c>
      <c r="P242" s="16" t="s">
        <v>63</v>
      </c>
      <c r="Q242" s="16" t="s">
        <v>29</v>
      </c>
      <c r="R242" s="16" t="s">
        <v>29</v>
      </c>
      <c r="S242" s="12" t="s">
        <v>4258</v>
      </c>
      <c r="T242" s="13">
        <v>46036</v>
      </c>
      <c r="U242" s="19"/>
      <c r="V242" s="53">
        <f>M242-U242-Y242-AA242-AC242-AE242-AG242</f>
        <v>-1.0999999999999943</v>
      </c>
      <c r="W242" s="22" t="s">
        <v>4447</v>
      </c>
      <c r="X242" s="16" t="s">
        <v>29</v>
      </c>
      <c r="Y242" s="19">
        <v>111.1</v>
      </c>
      <c r="Z242" s="14">
        <v>46036</v>
      </c>
    </row>
    <row r="243" spans="1:30" s="28" customFormat="1" ht="20.25" hidden="1" customHeight="1">
      <c r="A243" s="11">
        <v>46020</v>
      </c>
      <c r="B243" s="16" t="s">
        <v>4542</v>
      </c>
      <c r="C243" s="16" t="s">
        <v>290</v>
      </c>
      <c r="D243" s="16" t="s">
        <v>212</v>
      </c>
      <c r="E243" s="16" t="s">
        <v>62</v>
      </c>
      <c r="F243" s="16" t="s">
        <v>4549</v>
      </c>
      <c r="G243" s="16" t="s">
        <v>71</v>
      </c>
      <c r="H243" s="16" t="s">
        <v>31</v>
      </c>
      <c r="I243" s="1"/>
      <c r="J243" s="1" t="s">
        <v>27</v>
      </c>
      <c r="K243" s="16" t="s">
        <v>218</v>
      </c>
      <c r="L243" s="1" t="s">
        <v>35</v>
      </c>
      <c r="M243" s="17">
        <v>238</v>
      </c>
      <c r="N243" s="23">
        <v>1.29</v>
      </c>
      <c r="O243" s="16" t="s">
        <v>67</v>
      </c>
      <c r="P243" s="16" t="s">
        <v>63</v>
      </c>
      <c r="Q243" s="16" t="s">
        <v>2680</v>
      </c>
      <c r="R243" s="16" t="s">
        <v>29</v>
      </c>
      <c r="S243" s="12" t="s">
        <v>4431</v>
      </c>
      <c r="T243" s="13">
        <v>46041</v>
      </c>
      <c r="U243" s="19"/>
      <c r="V243" s="53">
        <f>M243-U243-Y243-AA243-AC243-AE243-AG243</f>
        <v>-6.6999999999999886</v>
      </c>
      <c r="W243" s="22" t="s">
        <v>4555</v>
      </c>
      <c r="X243" s="16" t="s">
        <v>29</v>
      </c>
      <c r="Y243" s="19">
        <v>244.7</v>
      </c>
      <c r="Z243" s="14">
        <v>46034</v>
      </c>
    </row>
    <row r="244" spans="1:30" s="28" customFormat="1" ht="20.25" hidden="1" customHeight="1">
      <c r="A244" s="11">
        <v>46020</v>
      </c>
      <c r="B244" s="16" t="s">
        <v>4543</v>
      </c>
      <c r="C244" s="16" t="s">
        <v>290</v>
      </c>
      <c r="D244" s="16" t="s">
        <v>212</v>
      </c>
      <c r="E244" s="16" t="s">
        <v>62</v>
      </c>
      <c r="F244" s="16" t="s">
        <v>4550</v>
      </c>
      <c r="G244" s="16" t="s">
        <v>71</v>
      </c>
      <c r="H244" s="16" t="s">
        <v>31</v>
      </c>
      <c r="I244" s="1"/>
      <c r="J244" s="1" t="s">
        <v>27</v>
      </c>
      <c r="K244" s="16" t="s">
        <v>1328</v>
      </c>
      <c r="L244" s="1" t="s">
        <v>35</v>
      </c>
      <c r="M244" s="17">
        <v>24</v>
      </c>
      <c r="N244" s="23">
        <v>1.29</v>
      </c>
      <c r="O244" s="16" t="s">
        <v>67</v>
      </c>
      <c r="P244" s="16" t="s">
        <v>63</v>
      </c>
      <c r="Q244" s="16" t="s">
        <v>4554</v>
      </c>
      <c r="R244" s="16" t="s">
        <v>29</v>
      </c>
      <c r="S244" s="12" t="s">
        <v>4431</v>
      </c>
      <c r="T244" s="13">
        <v>46041</v>
      </c>
      <c r="U244" s="19"/>
      <c r="V244" s="53">
        <f>M244-U244-Y244-AA244-AC244-AE244-AG244</f>
        <v>-6.5</v>
      </c>
      <c r="W244" s="22" t="s">
        <v>4556</v>
      </c>
      <c r="X244" s="16" t="s">
        <v>29</v>
      </c>
      <c r="Y244" s="19">
        <v>30.5</v>
      </c>
      <c r="Z244" s="14">
        <v>46027</v>
      </c>
    </row>
    <row r="245" spans="1:30" s="28" customFormat="1" ht="20.25" hidden="1" customHeight="1">
      <c r="A245" s="11">
        <v>46020</v>
      </c>
      <c r="B245" s="16" t="s">
        <v>4544</v>
      </c>
      <c r="C245" s="16" t="s">
        <v>382</v>
      </c>
      <c r="D245" s="16" t="s">
        <v>212</v>
      </c>
      <c r="E245" s="16" t="s">
        <v>62</v>
      </c>
      <c r="F245" s="16" t="s">
        <v>4265</v>
      </c>
      <c r="G245" s="16" t="s">
        <v>71</v>
      </c>
      <c r="H245" s="16" t="s">
        <v>31</v>
      </c>
      <c r="I245" s="16"/>
      <c r="J245" s="16" t="s">
        <v>27</v>
      </c>
      <c r="K245" s="16" t="s">
        <v>1116</v>
      </c>
      <c r="L245" s="16" t="s">
        <v>35</v>
      </c>
      <c r="M245" s="17">
        <v>905.56</v>
      </c>
      <c r="N245" s="23">
        <v>1.29</v>
      </c>
      <c r="O245" s="16" t="s">
        <v>67</v>
      </c>
      <c r="P245" s="16" t="s">
        <v>63</v>
      </c>
      <c r="Q245" s="16" t="s">
        <v>29</v>
      </c>
      <c r="R245" s="16" t="s">
        <v>29</v>
      </c>
      <c r="S245" s="12" t="s">
        <v>4237</v>
      </c>
      <c r="T245" s="13">
        <v>46034</v>
      </c>
      <c r="U245" s="19"/>
      <c r="V245" s="53">
        <f>M245-U245-Y245-AA245-AC245-AE245-AG245</f>
        <v>-4.0000000000077307E-2</v>
      </c>
      <c r="W245" s="22" t="s">
        <v>4557</v>
      </c>
      <c r="X245" s="16" t="s">
        <v>29</v>
      </c>
      <c r="Y245" s="19">
        <v>905.6</v>
      </c>
      <c r="Z245" s="14">
        <v>46035</v>
      </c>
    </row>
    <row r="246" spans="1:30" s="28" customFormat="1" ht="20.25" hidden="1" customHeight="1">
      <c r="A246" s="11">
        <v>46020</v>
      </c>
      <c r="B246" s="16" t="s">
        <v>4545</v>
      </c>
      <c r="C246" s="16" t="s">
        <v>382</v>
      </c>
      <c r="D246" s="16" t="s">
        <v>212</v>
      </c>
      <c r="E246" s="16" t="s">
        <v>62</v>
      </c>
      <c r="F246" s="16" t="s">
        <v>4264</v>
      </c>
      <c r="G246" s="16" t="s">
        <v>71</v>
      </c>
      <c r="H246" s="16" t="s">
        <v>31</v>
      </c>
      <c r="I246" s="16"/>
      <c r="J246" s="16" t="s">
        <v>27</v>
      </c>
      <c r="K246" s="16" t="s">
        <v>218</v>
      </c>
      <c r="L246" s="16" t="s">
        <v>35</v>
      </c>
      <c r="M246" s="17">
        <v>602.96</v>
      </c>
      <c r="N246" s="23">
        <v>1.29</v>
      </c>
      <c r="O246" s="16" t="s">
        <v>67</v>
      </c>
      <c r="P246" s="16" t="s">
        <v>63</v>
      </c>
      <c r="Q246" s="16" t="s">
        <v>29</v>
      </c>
      <c r="R246" s="16" t="s">
        <v>29</v>
      </c>
      <c r="S246" s="12" t="s">
        <v>4237</v>
      </c>
      <c r="T246" s="13">
        <v>46034</v>
      </c>
      <c r="U246" s="19"/>
      <c r="V246" s="53">
        <f>M246-U246-Y246-AA246-AC246-AE246-AG246</f>
        <v>-1.9399999999999409</v>
      </c>
      <c r="W246" s="22" t="s">
        <v>4558</v>
      </c>
      <c r="X246" s="16" t="s">
        <v>29</v>
      </c>
      <c r="Y246" s="19">
        <f>440.4+164.5</f>
        <v>604.9</v>
      </c>
      <c r="Z246" s="14">
        <v>46035</v>
      </c>
    </row>
    <row r="247" spans="1:30" s="28" customFormat="1" ht="20.25" hidden="1" customHeight="1">
      <c r="A247" s="11">
        <v>46020</v>
      </c>
      <c r="B247" s="16" t="s">
        <v>4546</v>
      </c>
      <c r="C247" s="16" t="s">
        <v>382</v>
      </c>
      <c r="D247" s="16" t="s">
        <v>212</v>
      </c>
      <c r="E247" s="16" t="s">
        <v>62</v>
      </c>
      <c r="F247" s="16" t="s">
        <v>4551</v>
      </c>
      <c r="G247" s="16" t="s">
        <v>71</v>
      </c>
      <c r="H247" s="16" t="s">
        <v>31</v>
      </c>
      <c r="I247" s="16"/>
      <c r="J247" s="16" t="s">
        <v>27</v>
      </c>
      <c r="K247" s="16" t="s">
        <v>351</v>
      </c>
      <c r="L247" s="16" t="s">
        <v>35</v>
      </c>
      <c r="M247" s="17">
        <v>41.17</v>
      </c>
      <c r="N247" s="23">
        <v>1.29</v>
      </c>
      <c r="O247" s="16" t="s">
        <v>67</v>
      </c>
      <c r="P247" s="16" t="s">
        <v>63</v>
      </c>
      <c r="Q247" s="16" t="s">
        <v>29</v>
      </c>
      <c r="R247" s="16" t="s">
        <v>29</v>
      </c>
      <c r="S247" s="12" t="s">
        <v>4237</v>
      </c>
      <c r="T247" s="13">
        <v>46034</v>
      </c>
      <c r="U247" s="19"/>
      <c r="V247" s="53">
        <f>M247-U247-Y247-AA247-AC247-AE247-AG247</f>
        <v>-0.12999999999999545</v>
      </c>
      <c r="W247" s="22" t="s">
        <v>4559</v>
      </c>
      <c r="X247" s="16" t="s">
        <v>29</v>
      </c>
      <c r="Y247" s="19">
        <v>41.3</v>
      </c>
      <c r="Z247" s="14">
        <v>46035</v>
      </c>
    </row>
    <row r="248" spans="1:30" s="282" customFormat="1" ht="20.25" hidden="1" customHeight="1">
      <c r="A248" s="272">
        <v>46020</v>
      </c>
      <c r="B248" s="273" t="s">
        <v>4547</v>
      </c>
      <c r="C248" s="273" t="s">
        <v>267</v>
      </c>
      <c r="D248" s="273" t="s">
        <v>212</v>
      </c>
      <c r="E248" s="273" t="s">
        <v>62</v>
      </c>
      <c r="F248" s="273" t="s">
        <v>4552</v>
      </c>
      <c r="G248" s="273" t="s">
        <v>71</v>
      </c>
      <c r="H248" s="273" t="s">
        <v>31</v>
      </c>
      <c r="I248" s="273"/>
      <c r="J248" s="273" t="s">
        <v>27</v>
      </c>
      <c r="K248" s="273" t="s">
        <v>3551</v>
      </c>
      <c r="L248" s="273" t="s">
        <v>35</v>
      </c>
      <c r="M248" s="274">
        <v>120</v>
      </c>
      <c r="N248" s="275">
        <v>1.29</v>
      </c>
      <c r="O248" s="273" t="s">
        <v>67</v>
      </c>
      <c r="P248" s="273" t="s">
        <v>63</v>
      </c>
      <c r="Q248" s="273" t="s">
        <v>29</v>
      </c>
      <c r="R248" s="273" t="s">
        <v>29</v>
      </c>
      <c r="S248" s="276" t="s">
        <v>4237</v>
      </c>
      <c r="T248" s="277">
        <v>46034</v>
      </c>
      <c r="U248" s="278"/>
      <c r="V248" s="279">
        <f>M248-U248-Y248-AA248-AC248-AE248-AG248</f>
        <v>120</v>
      </c>
      <c r="W248" s="280" t="s">
        <v>4560</v>
      </c>
      <c r="X248" s="273" t="s">
        <v>29</v>
      </c>
      <c r="Y248" s="322"/>
      <c r="Z248" s="322"/>
    </row>
    <row r="249" spans="1:30" s="282" customFormat="1" ht="20.25" hidden="1" customHeight="1">
      <c r="A249" s="272">
        <v>46020</v>
      </c>
      <c r="B249" s="273" t="s">
        <v>4548</v>
      </c>
      <c r="C249" s="273" t="s">
        <v>243</v>
      </c>
      <c r="D249" s="273" t="s">
        <v>212</v>
      </c>
      <c r="E249" s="273" t="s">
        <v>62</v>
      </c>
      <c r="F249" s="273" t="s">
        <v>4553</v>
      </c>
      <c r="G249" s="273" t="s">
        <v>71</v>
      </c>
      <c r="H249" s="273" t="s">
        <v>31</v>
      </c>
      <c r="I249" s="273"/>
      <c r="J249" s="273" t="s">
        <v>27</v>
      </c>
      <c r="K249" s="273" t="s">
        <v>1346</v>
      </c>
      <c r="L249" s="273" t="s">
        <v>35</v>
      </c>
      <c r="M249" s="274">
        <v>167</v>
      </c>
      <c r="N249" s="275">
        <v>1.29</v>
      </c>
      <c r="O249" s="273" t="s">
        <v>67</v>
      </c>
      <c r="P249" s="273" t="s">
        <v>63</v>
      </c>
      <c r="Q249" s="273" t="s">
        <v>29</v>
      </c>
      <c r="R249" s="273" t="s">
        <v>29</v>
      </c>
      <c r="S249" s="276" t="s">
        <v>4237</v>
      </c>
      <c r="T249" s="277">
        <v>46034</v>
      </c>
      <c r="U249" s="278"/>
      <c r="V249" s="279">
        <f>M249-U249-Y249-AA249-AC249-AE249-AG249</f>
        <v>167</v>
      </c>
      <c r="W249" s="280" t="s">
        <v>4561</v>
      </c>
      <c r="X249" s="273" t="s">
        <v>29</v>
      </c>
      <c r="Y249" s="322"/>
      <c r="Z249" s="322"/>
    </row>
    <row r="250" spans="1:30" s="28" customFormat="1" ht="20.25" hidden="1" customHeight="1">
      <c r="A250" s="11">
        <v>46021</v>
      </c>
      <c r="B250" s="16" t="s">
        <v>4573</v>
      </c>
      <c r="C250" s="16" t="s">
        <v>267</v>
      </c>
      <c r="D250" s="16" t="s">
        <v>212</v>
      </c>
      <c r="E250" s="16" t="s">
        <v>62</v>
      </c>
      <c r="F250" s="16" t="s">
        <v>4577</v>
      </c>
      <c r="G250" s="16" t="s">
        <v>71</v>
      </c>
      <c r="H250" s="16" t="s">
        <v>31</v>
      </c>
      <c r="I250" s="16"/>
      <c r="J250" s="16" t="s">
        <v>27</v>
      </c>
      <c r="K250" s="16" t="s">
        <v>4495</v>
      </c>
      <c r="L250" s="16" t="s">
        <v>35</v>
      </c>
      <c r="M250" s="17">
        <v>56</v>
      </c>
      <c r="N250" s="23">
        <v>1.29</v>
      </c>
      <c r="O250" s="16" t="s">
        <v>67</v>
      </c>
      <c r="P250" s="16" t="s">
        <v>63</v>
      </c>
      <c r="Q250" s="16" t="s">
        <v>29</v>
      </c>
      <c r="R250" s="16" t="s">
        <v>29</v>
      </c>
      <c r="S250" s="12" t="s">
        <v>4257</v>
      </c>
      <c r="T250" s="13">
        <v>46036</v>
      </c>
      <c r="U250" s="19"/>
      <c r="V250" s="53">
        <f>M250-U250-Y250-AA250-AC250-AE250-AG250</f>
        <v>-4</v>
      </c>
      <c r="W250" s="22" t="s">
        <v>4581</v>
      </c>
      <c r="X250" s="16"/>
      <c r="Y250" s="19">
        <v>60</v>
      </c>
      <c r="Z250" s="14">
        <v>46049</v>
      </c>
    </row>
    <row r="251" spans="1:30" s="28" customFormat="1" ht="20.25" hidden="1" customHeight="1">
      <c r="A251" s="11">
        <v>46021</v>
      </c>
      <c r="B251" s="16" t="s">
        <v>4574</v>
      </c>
      <c r="C251" s="16" t="s">
        <v>267</v>
      </c>
      <c r="D251" s="16" t="s">
        <v>212</v>
      </c>
      <c r="E251" s="16" t="s">
        <v>62</v>
      </c>
      <c r="F251" s="16" t="s">
        <v>4578</v>
      </c>
      <c r="G251" s="16" t="s">
        <v>71</v>
      </c>
      <c r="H251" s="16" t="s">
        <v>31</v>
      </c>
      <c r="I251" s="1"/>
      <c r="J251" s="1" t="s">
        <v>27</v>
      </c>
      <c r="K251" s="16" t="s">
        <v>4568</v>
      </c>
      <c r="L251" s="1" t="s">
        <v>35</v>
      </c>
      <c r="M251" s="17">
        <v>30</v>
      </c>
      <c r="N251" s="23">
        <v>1.29</v>
      </c>
      <c r="O251" s="16" t="s">
        <v>67</v>
      </c>
      <c r="P251" s="16" t="s">
        <v>63</v>
      </c>
      <c r="Q251" s="16" t="s">
        <v>29</v>
      </c>
      <c r="R251" s="16" t="s">
        <v>29</v>
      </c>
      <c r="S251" s="12" t="s">
        <v>4257</v>
      </c>
      <c r="T251" s="13">
        <v>46036</v>
      </c>
      <c r="U251" s="19"/>
      <c r="V251" s="53">
        <f>M251-U251-Y251-AA251-AC251-AE251-AG251</f>
        <v>-1.3000000000000007</v>
      </c>
      <c r="W251" s="22" t="s">
        <v>4582</v>
      </c>
      <c r="X251" s="16"/>
      <c r="Y251" s="19">
        <v>31.3</v>
      </c>
      <c r="Z251" s="14">
        <v>46041</v>
      </c>
    </row>
    <row r="252" spans="1:30" s="28" customFormat="1" ht="20.25" hidden="1" customHeight="1">
      <c r="A252" s="11">
        <v>46021</v>
      </c>
      <c r="B252" s="16" t="s">
        <v>4575</v>
      </c>
      <c r="C252" s="16" t="s">
        <v>267</v>
      </c>
      <c r="D252" s="16" t="s">
        <v>212</v>
      </c>
      <c r="E252" s="16" t="s">
        <v>62</v>
      </c>
      <c r="F252" s="16" t="s">
        <v>4579</v>
      </c>
      <c r="G252" s="16" t="s">
        <v>71</v>
      </c>
      <c r="H252" s="16" t="s">
        <v>31</v>
      </c>
      <c r="I252" s="1"/>
      <c r="J252" s="1" t="s">
        <v>27</v>
      </c>
      <c r="K252" s="16" t="s">
        <v>3668</v>
      </c>
      <c r="L252" s="1" t="s">
        <v>35</v>
      </c>
      <c r="M252" s="17">
        <v>120</v>
      </c>
      <c r="N252" s="23">
        <v>1.29</v>
      </c>
      <c r="O252" s="16" t="s">
        <v>67</v>
      </c>
      <c r="P252" s="16" t="s">
        <v>63</v>
      </c>
      <c r="Q252" s="16" t="s">
        <v>29</v>
      </c>
      <c r="R252" s="16" t="s">
        <v>29</v>
      </c>
      <c r="S252" s="12" t="s">
        <v>4258</v>
      </c>
      <c r="T252" s="13">
        <v>46036</v>
      </c>
      <c r="U252" s="19"/>
      <c r="V252" s="53">
        <f>M252-U252-Y252-AA252-AC252-AE252-AG252</f>
        <v>-9.9999999999994316E-2</v>
      </c>
      <c r="W252" s="22" t="s">
        <v>4583</v>
      </c>
      <c r="X252" s="16"/>
      <c r="Y252" s="19">
        <v>120.1</v>
      </c>
      <c r="Z252" s="14">
        <v>46029</v>
      </c>
    </row>
    <row r="253" spans="1:30" s="28" customFormat="1" ht="20.25" hidden="1" customHeight="1">
      <c r="A253" s="11">
        <v>46021</v>
      </c>
      <c r="B253" s="16" t="s">
        <v>4576</v>
      </c>
      <c r="C253" s="16" t="s">
        <v>267</v>
      </c>
      <c r="D253" s="16" t="s">
        <v>212</v>
      </c>
      <c r="E253" s="16" t="s">
        <v>62</v>
      </c>
      <c r="F253" s="16" t="s">
        <v>4580</v>
      </c>
      <c r="G253" s="16" t="s">
        <v>71</v>
      </c>
      <c r="H253" s="16" t="s">
        <v>26</v>
      </c>
      <c r="I253" s="1"/>
      <c r="J253" s="1" t="s">
        <v>27</v>
      </c>
      <c r="K253" s="16" t="s">
        <v>1082</v>
      </c>
      <c r="L253" s="1" t="s">
        <v>35</v>
      </c>
      <c r="M253" s="17">
        <v>50</v>
      </c>
      <c r="N253" s="23">
        <v>1.29</v>
      </c>
      <c r="O253" s="16" t="s">
        <v>67</v>
      </c>
      <c r="P253" s="16" t="s">
        <v>63</v>
      </c>
      <c r="Q253" s="16" t="s">
        <v>29</v>
      </c>
      <c r="R253" s="16" t="s">
        <v>29</v>
      </c>
      <c r="S253" s="12" t="s">
        <v>4257</v>
      </c>
      <c r="T253" s="13">
        <v>46036</v>
      </c>
      <c r="U253" s="19"/>
      <c r="V253" s="53">
        <f>M253-U253-Y253-AA253-AC253-AE253-AG253</f>
        <v>-4</v>
      </c>
      <c r="W253" s="22" t="s">
        <v>4584</v>
      </c>
      <c r="X253" s="16"/>
      <c r="Y253" s="19">
        <v>54</v>
      </c>
      <c r="Z253" s="14">
        <v>46034</v>
      </c>
    </row>
    <row r="254" spans="1:30" s="28" customFormat="1" ht="20.25" hidden="1" customHeight="1">
      <c r="A254" s="11">
        <v>46022</v>
      </c>
      <c r="B254" s="16" t="s">
        <v>4603</v>
      </c>
      <c r="C254" s="16" t="s">
        <v>267</v>
      </c>
      <c r="D254" s="16" t="s">
        <v>212</v>
      </c>
      <c r="E254" s="16" t="s">
        <v>62</v>
      </c>
      <c r="F254" s="16" t="s">
        <v>4605</v>
      </c>
      <c r="G254" s="16" t="s">
        <v>71</v>
      </c>
      <c r="H254" s="16" t="s">
        <v>31</v>
      </c>
      <c r="I254" s="1"/>
      <c r="J254" s="1" t="s">
        <v>27</v>
      </c>
      <c r="K254" s="16" t="s">
        <v>4607</v>
      </c>
      <c r="L254" s="1" t="s">
        <v>35</v>
      </c>
      <c r="M254" s="17">
        <v>110</v>
      </c>
      <c r="N254" s="23">
        <v>1.29</v>
      </c>
      <c r="O254" s="16" t="s">
        <v>67</v>
      </c>
      <c r="P254" s="16" t="s">
        <v>63</v>
      </c>
      <c r="Q254" s="16" t="s">
        <v>29</v>
      </c>
      <c r="R254" s="16" t="s">
        <v>29</v>
      </c>
      <c r="S254" s="12" t="s">
        <v>4257</v>
      </c>
      <c r="T254" s="13">
        <v>46036</v>
      </c>
      <c r="U254" s="19"/>
      <c r="V254" s="53">
        <f>M254-U254-Y254-AA254-AC254-AE254-AG254</f>
        <v>-7.6999999999999886</v>
      </c>
      <c r="W254" s="22" t="s">
        <v>4609</v>
      </c>
      <c r="X254" s="16"/>
      <c r="Y254" s="19">
        <f>34.4+83.3</f>
        <v>117.69999999999999</v>
      </c>
      <c r="Z254" s="14">
        <v>46034</v>
      </c>
    </row>
    <row r="255" spans="1:30" s="28" customFormat="1" ht="20.25" hidden="1" customHeight="1">
      <c r="A255" s="11">
        <v>46022</v>
      </c>
      <c r="B255" s="16" t="s">
        <v>4604</v>
      </c>
      <c r="C255" s="16" t="s">
        <v>267</v>
      </c>
      <c r="D255" s="16" t="s">
        <v>212</v>
      </c>
      <c r="E255" s="16" t="s">
        <v>62</v>
      </c>
      <c r="F255" s="16" t="s">
        <v>4606</v>
      </c>
      <c r="G255" s="16" t="s">
        <v>71</v>
      </c>
      <c r="H255" s="16" t="s">
        <v>26</v>
      </c>
      <c r="I255" s="1"/>
      <c r="J255" s="1" t="s">
        <v>27</v>
      </c>
      <c r="K255" s="16" t="s">
        <v>4608</v>
      </c>
      <c r="L255" s="1" t="s">
        <v>35</v>
      </c>
      <c r="M255" s="17">
        <v>110</v>
      </c>
      <c r="N255" s="23">
        <v>1.29</v>
      </c>
      <c r="O255" s="16" t="s">
        <v>67</v>
      </c>
      <c r="P255" s="16" t="s">
        <v>63</v>
      </c>
      <c r="Q255" s="16" t="s">
        <v>29</v>
      </c>
      <c r="R255" s="16" t="s">
        <v>29</v>
      </c>
      <c r="S255" s="12" t="s">
        <v>4257</v>
      </c>
      <c r="T255" s="13">
        <v>46036</v>
      </c>
      <c r="U255" s="19"/>
      <c r="V255" s="53">
        <f>M255-U255-Y255-AA255-AC255-AE255-AG255</f>
        <v>-0.5</v>
      </c>
      <c r="W255" s="22" t="s">
        <v>4610</v>
      </c>
      <c r="X255" s="16"/>
      <c r="Y255" s="19">
        <v>110.5</v>
      </c>
      <c r="Z255" s="14">
        <v>46041</v>
      </c>
    </row>
    <row r="256" spans="1:30" s="28" customFormat="1" ht="20.25" hidden="1" customHeight="1">
      <c r="A256" s="11">
        <v>46027</v>
      </c>
      <c r="B256" s="16" t="s">
        <v>4635</v>
      </c>
      <c r="C256" s="16" t="s">
        <v>304</v>
      </c>
      <c r="D256" s="16" t="s">
        <v>212</v>
      </c>
      <c r="E256" s="16" t="s">
        <v>62</v>
      </c>
      <c r="F256" s="16" t="s">
        <v>4637</v>
      </c>
      <c r="G256" s="16" t="s">
        <v>71</v>
      </c>
      <c r="H256" s="16" t="s">
        <v>31</v>
      </c>
      <c r="I256" s="1"/>
      <c r="J256" s="1" t="s">
        <v>27</v>
      </c>
      <c r="K256" s="16" t="s">
        <v>4638</v>
      </c>
      <c r="L256" s="1" t="s">
        <v>35</v>
      </c>
      <c r="M256" s="17">
        <v>189.7</v>
      </c>
      <c r="N256" s="6">
        <v>1.29</v>
      </c>
      <c r="O256" s="1" t="s">
        <v>67</v>
      </c>
      <c r="P256" s="1" t="s">
        <v>63</v>
      </c>
      <c r="Q256" s="1" t="s">
        <v>29</v>
      </c>
      <c r="R256" s="1" t="s">
        <v>29</v>
      </c>
      <c r="S256" s="121" t="s">
        <v>4431</v>
      </c>
      <c r="T256" s="5">
        <v>46041</v>
      </c>
      <c r="U256" s="19"/>
      <c r="V256" s="53">
        <f>M256-U256-Y256-AA256-AC256-AE256-AG256</f>
        <v>-3.5</v>
      </c>
      <c r="W256" s="22" t="s">
        <v>4639</v>
      </c>
      <c r="X256" s="16"/>
      <c r="Y256" s="19">
        <v>42.2</v>
      </c>
      <c r="Z256" s="14">
        <v>46036</v>
      </c>
      <c r="AA256" s="19">
        <v>113</v>
      </c>
      <c r="AB256" s="252">
        <v>46051</v>
      </c>
      <c r="AC256" s="19">
        <v>38</v>
      </c>
      <c r="AD256" s="252">
        <v>46056</v>
      </c>
    </row>
    <row r="257" spans="1:28" s="28" customFormat="1" ht="20.25" hidden="1" customHeight="1">
      <c r="A257" s="11">
        <v>46027</v>
      </c>
      <c r="B257" s="16" t="s">
        <v>4636</v>
      </c>
      <c r="C257" s="16" t="s">
        <v>267</v>
      </c>
      <c r="D257" s="16" t="s">
        <v>212</v>
      </c>
      <c r="E257" s="16" t="s">
        <v>62</v>
      </c>
      <c r="F257" s="16" t="s">
        <v>4580</v>
      </c>
      <c r="G257" s="16" t="s">
        <v>71</v>
      </c>
      <c r="H257" s="16" t="s">
        <v>26</v>
      </c>
      <c r="I257" s="1"/>
      <c r="J257" s="1" t="s">
        <v>27</v>
      </c>
      <c r="K257" s="16" t="s">
        <v>1093</v>
      </c>
      <c r="L257" s="1" t="s">
        <v>35</v>
      </c>
      <c r="M257" s="17">
        <v>89</v>
      </c>
      <c r="N257" s="23">
        <v>1.29</v>
      </c>
      <c r="O257" s="16" t="s">
        <v>67</v>
      </c>
      <c r="P257" s="16" t="s">
        <v>63</v>
      </c>
      <c r="Q257" s="16" t="s">
        <v>29</v>
      </c>
      <c r="R257" s="16" t="s">
        <v>29</v>
      </c>
      <c r="S257" s="12" t="s">
        <v>4431</v>
      </c>
      <c r="T257" s="13">
        <v>46041</v>
      </c>
      <c r="U257" s="19"/>
      <c r="V257" s="53">
        <f>M257-U257-Y257-AA257-AC257-AE257-AG257</f>
        <v>-3.2999999999999972</v>
      </c>
      <c r="W257" s="22" t="s">
        <v>4640</v>
      </c>
      <c r="X257" s="16"/>
      <c r="Y257" s="19">
        <v>92.3</v>
      </c>
      <c r="Z257" s="14">
        <v>46044</v>
      </c>
    </row>
    <row r="258" spans="1:28" s="28" customFormat="1" ht="20.25" hidden="1" customHeight="1">
      <c r="A258" s="11">
        <v>46029</v>
      </c>
      <c r="B258" s="16" t="s">
        <v>4662</v>
      </c>
      <c r="C258" s="16" t="s">
        <v>382</v>
      </c>
      <c r="D258" s="16" t="s">
        <v>212</v>
      </c>
      <c r="E258" s="16" t="s">
        <v>62</v>
      </c>
      <c r="F258" s="16" t="s">
        <v>4265</v>
      </c>
      <c r="G258" s="16" t="s">
        <v>71</v>
      </c>
      <c r="H258" s="16" t="s">
        <v>31</v>
      </c>
      <c r="I258" s="16"/>
      <c r="J258" s="16" t="s">
        <v>27</v>
      </c>
      <c r="K258" s="16" t="s">
        <v>3646</v>
      </c>
      <c r="L258" s="16" t="s">
        <v>35</v>
      </c>
      <c r="M258" s="17">
        <v>141</v>
      </c>
      <c r="N258" s="23">
        <v>1.29</v>
      </c>
      <c r="O258" s="16" t="s">
        <v>67</v>
      </c>
      <c r="P258" s="16" t="s">
        <v>63</v>
      </c>
      <c r="Q258" s="16" t="s">
        <v>29</v>
      </c>
      <c r="R258" s="16" t="s">
        <v>29</v>
      </c>
      <c r="S258" s="12" t="s">
        <v>4663</v>
      </c>
      <c r="T258" s="13">
        <v>46043</v>
      </c>
      <c r="U258" s="19"/>
      <c r="V258" s="53">
        <f>M258-U258-Y258-AA258-AC258-AE258-AG258</f>
        <v>-9.9999999999994316E-2</v>
      </c>
      <c r="W258" s="22" t="s">
        <v>4664</v>
      </c>
      <c r="X258" s="16"/>
      <c r="Y258" s="19">
        <v>141.1</v>
      </c>
      <c r="Z258" s="14">
        <v>46051</v>
      </c>
    </row>
    <row r="259" spans="1:28" s="36" customFormat="1" ht="20.25" hidden="1" customHeight="1">
      <c r="A259" s="7">
        <v>46034</v>
      </c>
      <c r="B259" s="19" t="s">
        <v>4704</v>
      </c>
      <c r="C259" s="19" t="s">
        <v>1568</v>
      </c>
      <c r="D259" s="19" t="s">
        <v>212</v>
      </c>
      <c r="E259" s="19" t="s">
        <v>62</v>
      </c>
      <c r="F259" s="19" t="s">
        <v>4707</v>
      </c>
      <c r="G259" s="19" t="s">
        <v>71</v>
      </c>
      <c r="H259" s="19" t="s">
        <v>26</v>
      </c>
      <c r="I259" s="270"/>
      <c r="J259" s="270" t="s">
        <v>27</v>
      </c>
      <c r="K259" s="19" t="s">
        <v>239</v>
      </c>
      <c r="L259" s="270" t="s">
        <v>35</v>
      </c>
      <c r="M259" s="20">
        <v>1087</v>
      </c>
      <c r="N259" s="25">
        <v>1.29</v>
      </c>
      <c r="O259" s="19" t="s">
        <v>67</v>
      </c>
      <c r="P259" s="19" t="s">
        <v>63</v>
      </c>
      <c r="Q259" s="19" t="s">
        <v>29</v>
      </c>
      <c r="R259" s="19" t="s">
        <v>29</v>
      </c>
      <c r="S259" s="45" t="s">
        <v>4627</v>
      </c>
      <c r="T259" s="8">
        <v>46048</v>
      </c>
      <c r="U259" s="19"/>
      <c r="V259" s="55">
        <f>M259-U259-Y259-AA259-AC259-AE259-AG259</f>
        <v>-2.2000000000000455</v>
      </c>
      <c r="W259" s="15" t="s">
        <v>4711</v>
      </c>
      <c r="X259" s="19"/>
      <c r="Y259" s="19">
        <v>1089.2</v>
      </c>
      <c r="Z259" s="18">
        <v>46066</v>
      </c>
    </row>
    <row r="260" spans="1:28" s="36" customFormat="1" ht="20.25" hidden="1" customHeight="1">
      <c r="A260" s="7">
        <v>46034</v>
      </c>
      <c r="B260" s="19" t="s">
        <v>4704</v>
      </c>
      <c r="C260" s="19" t="s">
        <v>1568</v>
      </c>
      <c r="D260" s="19" t="s">
        <v>212</v>
      </c>
      <c r="E260" s="19" t="s">
        <v>62</v>
      </c>
      <c r="F260" s="19" t="s">
        <v>4707</v>
      </c>
      <c r="G260" s="19" t="s">
        <v>71</v>
      </c>
      <c r="H260" s="19" t="s">
        <v>31</v>
      </c>
      <c r="I260" s="270"/>
      <c r="J260" s="270" t="s">
        <v>27</v>
      </c>
      <c r="K260" s="19" t="s">
        <v>4710</v>
      </c>
      <c r="L260" s="270" t="s">
        <v>35</v>
      </c>
      <c r="M260" s="20">
        <v>76.75</v>
      </c>
      <c r="N260" s="25">
        <v>1.29</v>
      </c>
      <c r="O260" s="19" t="s">
        <v>67</v>
      </c>
      <c r="P260" s="19" t="s">
        <v>63</v>
      </c>
      <c r="Q260" s="19" t="s">
        <v>29</v>
      </c>
      <c r="R260" s="19" t="s">
        <v>29</v>
      </c>
      <c r="S260" s="45" t="s">
        <v>4627</v>
      </c>
      <c r="T260" s="8">
        <v>46048</v>
      </c>
      <c r="U260" s="19"/>
      <c r="V260" s="55">
        <f>M260-U260-Y260-AA260-AC260-AE260-AG260</f>
        <v>-3.4500000000000028</v>
      </c>
      <c r="W260" s="15" t="s">
        <v>4712</v>
      </c>
      <c r="X260" s="19"/>
      <c r="Y260" s="19">
        <v>80.2</v>
      </c>
      <c r="Z260" s="18">
        <v>46066</v>
      </c>
    </row>
    <row r="261" spans="1:28" s="28" customFormat="1" ht="20.25" hidden="1" customHeight="1">
      <c r="A261" s="11">
        <v>46034</v>
      </c>
      <c r="B261" s="16" t="s">
        <v>4704</v>
      </c>
      <c r="C261" s="16" t="s">
        <v>1568</v>
      </c>
      <c r="D261" s="16" t="s">
        <v>212</v>
      </c>
      <c r="E261" s="16" t="s">
        <v>62</v>
      </c>
      <c r="F261" s="16" t="s">
        <v>4707</v>
      </c>
      <c r="G261" s="16" t="s">
        <v>71</v>
      </c>
      <c r="H261" s="16" t="s">
        <v>31</v>
      </c>
      <c r="I261" s="1"/>
      <c r="J261" s="1" t="s">
        <v>27</v>
      </c>
      <c r="K261" s="16" t="s">
        <v>340</v>
      </c>
      <c r="L261" s="1" t="s">
        <v>35</v>
      </c>
      <c r="M261" s="17">
        <v>74.53</v>
      </c>
      <c r="N261" s="6">
        <v>1.29</v>
      </c>
      <c r="O261" s="1" t="s">
        <v>67</v>
      </c>
      <c r="P261" s="1" t="s">
        <v>63</v>
      </c>
      <c r="Q261" s="1" t="s">
        <v>29</v>
      </c>
      <c r="R261" s="1" t="s">
        <v>29</v>
      </c>
      <c r="S261" s="121" t="s">
        <v>4627</v>
      </c>
      <c r="T261" s="5">
        <v>46048</v>
      </c>
      <c r="U261" s="19"/>
      <c r="V261" s="53">
        <f>M261-U261-Y261-AA261-AC261-AE261-AG261</f>
        <v>-1.9699999999999989</v>
      </c>
      <c r="W261" s="22" t="s">
        <v>4713</v>
      </c>
      <c r="X261" s="16"/>
      <c r="Y261" s="19">
        <v>76.5</v>
      </c>
      <c r="Z261" s="14">
        <v>46055</v>
      </c>
    </row>
    <row r="262" spans="1:28" s="36" customFormat="1" ht="20.25" hidden="1" customHeight="1">
      <c r="A262" s="7">
        <v>46034</v>
      </c>
      <c r="B262" s="19" t="s">
        <v>4704</v>
      </c>
      <c r="C262" s="19" t="s">
        <v>1568</v>
      </c>
      <c r="D262" s="19" t="s">
        <v>212</v>
      </c>
      <c r="E262" s="19" t="s">
        <v>62</v>
      </c>
      <c r="F262" s="19" t="s">
        <v>4707</v>
      </c>
      <c r="G262" s="19" t="s">
        <v>71</v>
      </c>
      <c r="H262" s="19" t="s">
        <v>31</v>
      </c>
      <c r="I262" s="19"/>
      <c r="J262" s="19" t="s">
        <v>27</v>
      </c>
      <c r="K262" s="19" t="s">
        <v>4638</v>
      </c>
      <c r="L262" s="19" t="s">
        <v>35</v>
      </c>
      <c r="M262" s="20">
        <v>67.39</v>
      </c>
      <c r="N262" s="25">
        <v>1.29</v>
      </c>
      <c r="O262" s="19" t="s">
        <v>67</v>
      </c>
      <c r="P262" s="19" t="s">
        <v>63</v>
      </c>
      <c r="Q262" s="19" t="s">
        <v>29</v>
      </c>
      <c r="R262" s="19" t="s">
        <v>29</v>
      </c>
      <c r="S262" s="45" t="s">
        <v>4627</v>
      </c>
      <c r="T262" s="8">
        <v>46048</v>
      </c>
      <c r="U262" s="19"/>
      <c r="V262" s="55">
        <f>M262-U262-Y262-AA262-AC262-AE262-AG262</f>
        <v>-1.4100000000000037</v>
      </c>
      <c r="W262" s="15" t="s">
        <v>4714</v>
      </c>
      <c r="X262" s="19"/>
      <c r="Y262" s="19">
        <v>16.2</v>
      </c>
      <c r="Z262" s="18">
        <v>46062</v>
      </c>
      <c r="AA262" s="19">
        <v>52.6</v>
      </c>
      <c r="AB262" s="123">
        <v>46078</v>
      </c>
    </row>
    <row r="263" spans="1:28" s="36" customFormat="1" ht="20.25" hidden="1" customHeight="1">
      <c r="A263" s="7">
        <v>46034</v>
      </c>
      <c r="B263" s="19" t="s">
        <v>4704</v>
      </c>
      <c r="C263" s="19" t="s">
        <v>1568</v>
      </c>
      <c r="D263" s="19" t="s">
        <v>212</v>
      </c>
      <c r="E263" s="19" t="s">
        <v>62</v>
      </c>
      <c r="F263" s="19" t="s">
        <v>4707</v>
      </c>
      <c r="G263" s="19" t="s">
        <v>71</v>
      </c>
      <c r="H263" s="19" t="s">
        <v>31</v>
      </c>
      <c r="I263" s="19"/>
      <c r="J263" s="19" t="s">
        <v>27</v>
      </c>
      <c r="K263" s="19" t="s">
        <v>1012</v>
      </c>
      <c r="L263" s="19" t="s">
        <v>35</v>
      </c>
      <c r="M263" s="20">
        <v>170.15</v>
      </c>
      <c r="N263" s="25">
        <v>1.29</v>
      </c>
      <c r="O263" s="19" t="s">
        <v>67</v>
      </c>
      <c r="P263" s="19" t="s">
        <v>63</v>
      </c>
      <c r="Q263" s="19" t="s">
        <v>29</v>
      </c>
      <c r="R263" s="19" t="s">
        <v>29</v>
      </c>
      <c r="S263" s="45" t="s">
        <v>4627</v>
      </c>
      <c r="T263" s="8">
        <v>46048</v>
      </c>
      <c r="U263" s="19"/>
      <c r="V263" s="55">
        <f>M263-U263-Y263-AA263-AC263-AE263-AG263</f>
        <v>-1.4499999999999886</v>
      </c>
      <c r="W263" s="15" t="s">
        <v>4715</v>
      </c>
      <c r="X263" s="19"/>
      <c r="Y263" s="19">
        <v>171.6</v>
      </c>
      <c r="Z263" s="18">
        <v>46078</v>
      </c>
    </row>
    <row r="264" spans="1:28" s="122" customFormat="1" ht="20.25" hidden="1" customHeight="1">
      <c r="A264" s="300">
        <v>46034</v>
      </c>
      <c r="B264" s="301" t="s">
        <v>4704</v>
      </c>
      <c r="C264" s="301" t="s">
        <v>1568</v>
      </c>
      <c r="D264" s="301" t="s">
        <v>212</v>
      </c>
      <c r="E264" s="301" t="s">
        <v>62</v>
      </c>
      <c r="F264" s="301" t="s">
        <v>4707</v>
      </c>
      <c r="G264" s="301" t="s">
        <v>71</v>
      </c>
      <c r="H264" s="301" t="s">
        <v>26</v>
      </c>
      <c r="I264" s="270"/>
      <c r="J264" s="270" t="s">
        <v>27</v>
      </c>
      <c r="K264" s="301" t="s">
        <v>1470</v>
      </c>
      <c r="L264" s="270" t="s">
        <v>35</v>
      </c>
      <c r="M264" s="302">
        <v>185.98</v>
      </c>
      <c r="N264" s="271">
        <v>1.29</v>
      </c>
      <c r="O264" s="270" t="s">
        <v>67</v>
      </c>
      <c r="P264" s="270" t="s">
        <v>63</v>
      </c>
      <c r="Q264" s="270" t="s">
        <v>29</v>
      </c>
      <c r="R264" s="270" t="s">
        <v>29</v>
      </c>
      <c r="S264" s="327" t="s">
        <v>4627</v>
      </c>
      <c r="T264" s="382">
        <v>46048</v>
      </c>
      <c r="U264" s="301"/>
      <c r="V264" s="306">
        <f>M264-U264-Y264-AA264-AC264-AE264-AG264</f>
        <v>-0.21999999999999886</v>
      </c>
      <c r="W264" s="307" t="s">
        <v>4716</v>
      </c>
      <c r="X264" s="301"/>
      <c r="Y264" s="301">
        <v>186.2</v>
      </c>
      <c r="Z264" s="386">
        <v>46055</v>
      </c>
    </row>
    <row r="265" spans="1:28" s="28" customFormat="1" ht="20.25" hidden="1" customHeight="1">
      <c r="A265" s="11">
        <v>46034</v>
      </c>
      <c r="B265" s="16" t="s">
        <v>4705</v>
      </c>
      <c r="C265" s="16" t="s">
        <v>290</v>
      </c>
      <c r="D265" s="16" t="s">
        <v>212</v>
      </c>
      <c r="E265" s="16" t="s">
        <v>62</v>
      </c>
      <c r="F265" s="16" t="s">
        <v>4708</v>
      </c>
      <c r="G265" s="16" t="s">
        <v>71</v>
      </c>
      <c r="H265" s="16" t="s">
        <v>31</v>
      </c>
      <c r="I265" s="1"/>
      <c r="J265" s="1" t="s">
        <v>27</v>
      </c>
      <c r="K265" s="16" t="s">
        <v>632</v>
      </c>
      <c r="L265" s="1" t="s">
        <v>35</v>
      </c>
      <c r="M265" s="17">
        <v>310</v>
      </c>
      <c r="N265" s="23">
        <v>1.29</v>
      </c>
      <c r="O265" s="16" t="s">
        <v>67</v>
      </c>
      <c r="P265" s="16" t="s">
        <v>63</v>
      </c>
      <c r="Q265" s="16" t="s">
        <v>29</v>
      </c>
      <c r="R265" s="16" t="s">
        <v>29</v>
      </c>
      <c r="S265" s="12" t="s">
        <v>4627</v>
      </c>
      <c r="T265" s="13">
        <v>46048</v>
      </c>
      <c r="U265" s="19"/>
      <c r="V265" s="53">
        <f>M265-U265-Y265-AA265-AC265-AE265-AG265</f>
        <v>-2</v>
      </c>
      <c r="W265" s="22" t="s">
        <v>4717</v>
      </c>
      <c r="X265" s="16"/>
      <c r="Y265" s="19">
        <v>312</v>
      </c>
      <c r="Z265" s="14">
        <v>46044</v>
      </c>
    </row>
    <row r="266" spans="1:28" s="28" customFormat="1" ht="20.25" hidden="1" customHeight="1">
      <c r="A266" s="11">
        <v>46034</v>
      </c>
      <c r="B266" s="16" t="s">
        <v>4706</v>
      </c>
      <c r="C266" s="16" t="s">
        <v>267</v>
      </c>
      <c r="D266" s="16" t="s">
        <v>212</v>
      </c>
      <c r="E266" s="16" t="s">
        <v>62</v>
      </c>
      <c r="F266" s="16" t="s">
        <v>4709</v>
      </c>
      <c r="G266" s="16" t="s">
        <v>71</v>
      </c>
      <c r="H266" s="16" t="s">
        <v>31</v>
      </c>
      <c r="I266" s="1"/>
      <c r="J266" s="1" t="s">
        <v>27</v>
      </c>
      <c r="K266" s="16" t="s">
        <v>3598</v>
      </c>
      <c r="L266" s="1" t="s">
        <v>35</v>
      </c>
      <c r="M266" s="17">
        <v>30</v>
      </c>
      <c r="N266" s="23">
        <v>1.29</v>
      </c>
      <c r="O266" s="16" t="s">
        <v>67</v>
      </c>
      <c r="P266" s="16" t="s">
        <v>63</v>
      </c>
      <c r="Q266" s="16" t="s">
        <v>29</v>
      </c>
      <c r="R266" s="16" t="s">
        <v>29</v>
      </c>
      <c r="S266" s="12" t="s">
        <v>4237</v>
      </c>
      <c r="T266" s="13">
        <v>46034</v>
      </c>
      <c r="U266" s="19"/>
      <c r="V266" s="53">
        <f>M266-U266-Y266-AA266-AC266-AE266-AG266</f>
        <v>-1.3000000000000007</v>
      </c>
      <c r="W266" s="22" t="s">
        <v>4718</v>
      </c>
      <c r="X266" s="16"/>
      <c r="Y266" s="19">
        <v>31.3</v>
      </c>
      <c r="Z266" s="14">
        <v>46044</v>
      </c>
    </row>
    <row r="267" spans="1:28" s="28" customFormat="1" ht="20.25" hidden="1" customHeight="1">
      <c r="A267" s="11">
        <v>46035</v>
      </c>
      <c r="B267" s="16" t="s">
        <v>4770</v>
      </c>
      <c r="C267" s="16" t="s">
        <v>304</v>
      </c>
      <c r="D267" s="16" t="s">
        <v>212</v>
      </c>
      <c r="E267" s="16" t="s">
        <v>62</v>
      </c>
      <c r="F267" s="16" t="s">
        <v>4771</v>
      </c>
      <c r="G267" s="16" t="s">
        <v>71</v>
      </c>
      <c r="H267" s="16" t="s">
        <v>31</v>
      </c>
      <c r="I267" s="1"/>
      <c r="J267" s="1" t="s">
        <v>27</v>
      </c>
      <c r="K267" s="16" t="s">
        <v>3598</v>
      </c>
      <c r="L267" s="1" t="s">
        <v>35</v>
      </c>
      <c r="M267" s="17">
        <v>700</v>
      </c>
      <c r="N267" s="6">
        <v>1.29</v>
      </c>
      <c r="O267" s="1" t="s">
        <v>67</v>
      </c>
      <c r="P267" s="1"/>
      <c r="Q267" s="1"/>
      <c r="R267" s="1"/>
      <c r="S267" s="121" t="s">
        <v>4646</v>
      </c>
      <c r="T267" s="5">
        <v>46049</v>
      </c>
      <c r="U267" s="19"/>
      <c r="V267" s="53">
        <f>M267-U267-Y267-AA267-AC267-AE267-AG267</f>
        <v>-1.2000000000000455</v>
      </c>
      <c r="W267" s="22" t="s">
        <v>4772</v>
      </c>
      <c r="X267" s="16"/>
      <c r="Y267" s="19">
        <v>701.2</v>
      </c>
      <c r="Z267" s="14">
        <v>46056</v>
      </c>
    </row>
    <row r="268" spans="1:28" s="28" customFormat="1" ht="20.25" hidden="1" customHeight="1">
      <c r="A268" s="11">
        <v>46036</v>
      </c>
      <c r="B268" s="16" t="s">
        <v>4808</v>
      </c>
      <c r="C268" s="16" t="s">
        <v>267</v>
      </c>
      <c r="D268" s="16" t="s">
        <v>212</v>
      </c>
      <c r="E268" s="16" t="s">
        <v>62</v>
      </c>
      <c r="F268" s="16" t="s">
        <v>4810</v>
      </c>
      <c r="G268" s="16" t="s">
        <v>71</v>
      </c>
      <c r="H268" s="16" t="s">
        <v>26</v>
      </c>
      <c r="I268" s="1"/>
      <c r="J268" s="1" t="s">
        <v>27</v>
      </c>
      <c r="K268" s="16" t="s">
        <v>3236</v>
      </c>
      <c r="L268" s="1" t="s">
        <v>35</v>
      </c>
      <c r="M268" s="17">
        <v>60</v>
      </c>
      <c r="N268" s="6">
        <v>1.29</v>
      </c>
      <c r="O268" s="1" t="s">
        <v>67</v>
      </c>
      <c r="P268" s="1" t="s">
        <v>63</v>
      </c>
      <c r="Q268" s="1" t="s">
        <v>29</v>
      </c>
      <c r="R268" s="1" t="s">
        <v>29</v>
      </c>
      <c r="S268" s="121" t="s">
        <v>4752</v>
      </c>
      <c r="T268" s="5">
        <v>46050</v>
      </c>
      <c r="U268" s="19"/>
      <c r="V268" s="53">
        <f>M268-U268-Y268-AA268-AC268-AE268-AG268</f>
        <v>-4.7999999999999972</v>
      </c>
      <c r="W268" s="22" t="s">
        <v>4812</v>
      </c>
      <c r="X268" s="16"/>
      <c r="Y268" s="19">
        <v>64.8</v>
      </c>
      <c r="Z268" s="14">
        <v>46056</v>
      </c>
    </row>
    <row r="269" spans="1:28" s="28" customFormat="1" ht="20.25" hidden="1" customHeight="1">
      <c r="A269" s="11">
        <v>46036</v>
      </c>
      <c r="B269" s="16" t="s">
        <v>4809</v>
      </c>
      <c r="C269" s="16" t="s">
        <v>267</v>
      </c>
      <c r="D269" s="16" t="s">
        <v>212</v>
      </c>
      <c r="E269" s="16" t="s">
        <v>62</v>
      </c>
      <c r="F269" s="16" t="s">
        <v>4811</v>
      </c>
      <c r="G269" s="16" t="s">
        <v>71</v>
      </c>
      <c r="H269" s="16" t="s">
        <v>26</v>
      </c>
      <c r="I269" s="1"/>
      <c r="J269" s="1" t="s">
        <v>27</v>
      </c>
      <c r="K269" s="16" t="s">
        <v>239</v>
      </c>
      <c r="L269" s="1" t="s">
        <v>35</v>
      </c>
      <c r="M269" s="17">
        <v>670</v>
      </c>
      <c r="N269" s="6">
        <v>1.29</v>
      </c>
      <c r="O269" s="1" t="s">
        <v>1063</v>
      </c>
      <c r="P269" s="1" t="s">
        <v>63</v>
      </c>
      <c r="Q269" s="1" t="s">
        <v>29</v>
      </c>
      <c r="R269" s="1" t="s">
        <v>29</v>
      </c>
      <c r="S269" s="121" t="s">
        <v>4752</v>
      </c>
      <c r="T269" s="5">
        <v>46050</v>
      </c>
      <c r="U269" s="19"/>
      <c r="V269" s="53">
        <f>M269-U269-Y269-AA269-AC269-AE269-AG269</f>
        <v>-4.1000000000000227</v>
      </c>
      <c r="W269" s="22" t="s">
        <v>4813</v>
      </c>
      <c r="X269" s="16"/>
      <c r="Y269" s="19">
        <v>674.1</v>
      </c>
      <c r="Z269" s="14">
        <v>46056</v>
      </c>
    </row>
    <row r="270" spans="1:28" s="28" customFormat="1" ht="20.25" hidden="1" customHeight="1">
      <c r="A270" s="11">
        <v>46036</v>
      </c>
      <c r="B270" s="16" t="s">
        <v>4548</v>
      </c>
      <c r="C270" s="16" t="s">
        <v>4798</v>
      </c>
      <c r="D270" s="16" t="s">
        <v>212</v>
      </c>
      <c r="E270" s="16" t="s">
        <v>62</v>
      </c>
      <c r="F270" s="16" t="s">
        <v>4553</v>
      </c>
      <c r="G270" s="16" t="s">
        <v>71</v>
      </c>
      <c r="H270" s="16" t="s">
        <v>31</v>
      </c>
      <c r="I270" s="1"/>
      <c r="J270" s="1" t="s">
        <v>27</v>
      </c>
      <c r="K270" s="16" t="s">
        <v>1346</v>
      </c>
      <c r="L270" s="1" t="s">
        <v>35</v>
      </c>
      <c r="M270" s="17">
        <v>167</v>
      </c>
      <c r="N270" s="23">
        <v>1.29</v>
      </c>
      <c r="O270" s="16" t="s">
        <v>67</v>
      </c>
      <c r="P270" s="16" t="s">
        <v>63</v>
      </c>
      <c r="Q270" s="16" t="s">
        <v>29</v>
      </c>
      <c r="R270" s="16" t="s">
        <v>29</v>
      </c>
      <c r="S270" s="12" t="s">
        <v>4237</v>
      </c>
      <c r="T270" s="13">
        <v>46034</v>
      </c>
      <c r="U270" s="19"/>
      <c r="V270" s="53">
        <f>M270-U270-Y270-AA270-AC270-AE270-AG270</f>
        <v>-4.5</v>
      </c>
      <c r="W270" s="22" t="s">
        <v>4814</v>
      </c>
      <c r="X270" s="16" t="s">
        <v>29</v>
      </c>
      <c r="Y270" s="19">
        <v>171.5</v>
      </c>
      <c r="Z270" s="14">
        <v>46037</v>
      </c>
    </row>
    <row r="271" spans="1:28" s="28" customFormat="1" ht="20.25" hidden="1" customHeight="1">
      <c r="A271" s="11">
        <v>46037</v>
      </c>
      <c r="B271" s="16" t="s">
        <v>4827</v>
      </c>
      <c r="C271" s="16" t="s">
        <v>304</v>
      </c>
      <c r="D271" s="16" t="s">
        <v>212</v>
      </c>
      <c r="E271" s="16" t="s">
        <v>62</v>
      </c>
      <c r="F271" s="16" t="s">
        <v>4829</v>
      </c>
      <c r="G271" s="16" t="s">
        <v>71</v>
      </c>
      <c r="H271" s="16" t="s">
        <v>31</v>
      </c>
      <c r="I271" s="16"/>
      <c r="J271" s="16" t="s">
        <v>27</v>
      </c>
      <c r="K271" s="16" t="s">
        <v>337</v>
      </c>
      <c r="L271" s="16" t="s">
        <v>35</v>
      </c>
      <c r="M271" s="17">
        <v>40</v>
      </c>
      <c r="N271" s="23">
        <v>1.29</v>
      </c>
      <c r="O271" s="16" t="s">
        <v>67</v>
      </c>
      <c r="P271" s="16" t="s">
        <v>63</v>
      </c>
      <c r="Q271" s="16" t="s">
        <v>29</v>
      </c>
      <c r="R271" s="16" t="s">
        <v>29</v>
      </c>
      <c r="S271" s="12" t="s">
        <v>4823</v>
      </c>
      <c r="T271" s="13">
        <v>46044</v>
      </c>
      <c r="U271" s="19"/>
      <c r="V271" s="53">
        <f>M271-U271-Y271-AA271-AC271-AE271-AG271</f>
        <v>-0.20000000000000284</v>
      </c>
      <c r="W271" s="22" t="s">
        <v>4831</v>
      </c>
      <c r="X271" s="16"/>
      <c r="Y271" s="19">
        <v>40.200000000000003</v>
      </c>
      <c r="Z271" s="14">
        <v>46049</v>
      </c>
    </row>
    <row r="272" spans="1:28" s="28" customFormat="1" ht="20.25" hidden="1" customHeight="1">
      <c r="A272" s="11">
        <v>46037</v>
      </c>
      <c r="B272" s="16" t="s">
        <v>4828</v>
      </c>
      <c r="C272" s="16" t="s">
        <v>267</v>
      </c>
      <c r="D272" s="16" t="s">
        <v>212</v>
      </c>
      <c r="E272" s="16" t="s">
        <v>62</v>
      </c>
      <c r="F272" s="16" t="s">
        <v>4830</v>
      </c>
      <c r="G272" s="16" t="s">
        <v>71</v>
      </c>
      <c r="H272" s="16" t="s">
        <v>31</v>
      </c>
      <c r="I272" s="1"/>
      <c r="J272" s="1" t="s">
        <v>27</v>
      </c>
      <c r="K272" s="16" t="s">
        <v>3551</v>
      </c>
      <c r="L272" s="1" t="s">
        <v>35</v>
      </c>
      <c r="M272" s="17">
        <v>300</v>
      </c>
      <c r="N272" s="23">
        <v>1.29</v>
      </c>
      <c r="O272" s="16" t="s">
        <v>67</v>
      </c>
      <c r="P272" s="16" t="s">
        <v>63</v>
      </c>
      <c r="Q272" s="16" t="s">
        <v>29</v>
      </c>
      <c r="R272" s="16" t="s">
        <v>29</v>
      </c>
      <c r="S272" s="12" t="s">
        <v>4683</v>
      </c>
      <c r="T272" s="13">
        <v>46051</v>
      </c>
      <c r="U272" s="19"/>
      <c r="V272" s="53">
        <f>M272-U272-Y272-AA272-AC272-AE272-AG272</f>
        <v>-0.30000000000001137</v>
      </c>
      <c r="W272" s="22" t="s">
        <v>4832</v>
      </c>
      <c r="X272" s="16"/>
      <c r="Y272" s="19">
        <v>300.3</v>
      </c>
      <c r="Z272" s="14">
        <v>46041</v>
      </c>
    </row>
    <row r="273" spans="1:26" s="36" customFormat="1" ht="20.25" hidden="1" customHeight="1">
      <c r="A273" s="7">
        <v>46041</v>
      </c>
      <c r="B273" s="19" t="s">
        <v>4863</v>
      </c>
      <c r="C273" s="19" t="s">
        <v>382</v>
      </c>
      <c r="D273" s="19" t="s">
        <v>212</v>
      </c>
      <c r="E273" s="19" t="s">
        <v>62</v>
      </c>
      <c r="F273" s="19" t="s">
        <v>4264</v>
      </c>
      <c r="G273" s="19" t="s">
        <v>71</v>
      </c>
      <c r="H273" s="19" t="s">
        <v>31</v>
      </c>
      <c r="I273" s="301"/>
      <c r="J273" s="301" t="s">
        <v>27</v>
      </c>
      <c r="K273" s="19" t="s">
        <v>1378</v>
      </c>
      <c r="L273" s="301" t="s">
        <v>35</v>
      </c>
      <c r="M273" s="20">
        <v>20</v>
      </c>
      <c r="N273" s="25">
        <v>1.29</v>
      </c>
      <c r="O273" s="19" t="s">
        <v>67</v>
      </c>
      <c r="P273" s="19" t="s">
        <v>63</v>
      </c>
      <c r="Q273" s="19" t="s">
        <v>29</v>
      </c>
      <c r="R273" s="19" t="s">
        <v>29</v>
      </c>
      <c r="S273" s="45" t="s">
        <v>4859</v>
      </c>
      <c r="T273" s="8">
        <v>46055</v>
      </c>
      <c r="U273" s="19"/>
      <c r="V273" s="55">
        <f>M273-U273-Y273-AA273-AC273-AE273-AG273</f>
        <v>-0.69999999999999929</v>
      </c>
      <c r="W273" s="15" t="s">
        <v>4866</v>
      </c>
      <c r="X273" s="19"/>
      <c r="Y273" s="19">
        <v>20.7</v>
      </c>
      <c r="Z273" s="18">
        <v>46072</v>
      </c>
    </row>
    <row r="274" spans="1:26" s="36" customFormat="1" ht="20.25" hidden="1" customHeight="1">
      <c r="A274" s="7">
        <v>46041</v>
      </c>
      <c r="B274" s="19" t="s">
        <v>4864</v>
      </c>
      <c r="C274" s="19" t="s">
        <v>382</v>
      </c>
      <c r="D274" s="19" t="s">
        <v>212</v>
      </c>
      <c r="E274" s="19" t="s">
        <v>62</v>
      </c>
      <c r="F274" s="19" t="s">
        <v>4865</v>
      </c>
      <c r="G274" s="19" t="s">
        <v>71</v>
      </c>
      <c r="H274" s="19" t="s">
        <v>31</v>
      </c>
      <c r="I274" s="301"/>
      <c r="J274" s="301" t="s">
        <v>27</v>
      </c>
      <c r="K274" s="19" t="s">
        <v>239</v>
      </c>
      <c r="L274" s="301" t="s">
        <v>35</v>
      </c>
      <c r="M274" s="20">
        <f>461-174.14</f>
        <v>286.86</v>
      </c>
      <c r="N274" s="25">
        <v>1.29</v>
      </c>
      <c r="O274" s="19" t="s">
        <v>67</v>
      </c>
      <c r="P274" s="19" t="s">
        <v>63</v>
      </c>
      <c r="Q274" s="19" t="s">
        <v>29</v>
      </c>
      <c r="R274" s="19" t="s">
        <v>29</v>
      </c>
      <c r="S274" s="45" t="s">
        <v>4859</v>
      </c>
      <c r="T274" s="8">
        <v>46055</v>
      </c>
      <c r="U274" s="19"/>
      <c r="V274" s="55">
        <f>M274-U274-Y274-AA274-AC274-AE274-AG274</f>
        <v>-0.13999999999998636</v>
      </c>
      <c r="W274" s="15" t="s">
        <v>4867</v>
      </c>
      <c r="X274" s="19"/>
      <c r="Y274" s="19">
        <v>287</v>
      </c>
      <c r="Z274" s="18">
        <v>46072</v>
      </c>
    </row>
    <row r="275" spans="1:26" s="28" customFormat="1" ht="20.25" hidden="1" customHeight="1">
      <c r="A275" s="11">
        <v>46045</v>
      </c>
      <c r="B275" s="16" t="s">
        <v>4909</v>
      </c>
      <c r="C275" s="16" t="s">
        <v>304</v>
      </c>
      <c r="D275" s="16" t="s">
        <v>212</v>
      </c>
      <c r="E275" s="16" t="s">
        <v>62</v>
      </c>
      <c r="F275" s="16" t="s">
        <v>4911</v>
      </c>
      <c r="G275" s="16" t="s">
        <v>71</v>
      </c>
      <c r="H275" s="16" t="s">
        <v>31</v>
      </c>
      <c r="I275" s="16"/>
      <c r="J275" s="16" t="s">
        <v>27</v>
      </c>
      <c r="K275" s="16" t="s">
        <v>2355</v>
      </c>
      <c r="L275" s="16" t="s">
        <v>35</v>
      </c>
      <c r="M275" s="17">
        <v>30</v>
      </c>
      <c r="N275" s="23">
        <v>1.29</v>
      </c>
      <c r="O275" s="16" t="s">
        <v>67</v>
      </c>
      <c r="P275" s="16" t="s">
        <v>63</v>
      </c>
      <c r="Q275" s="16" t="s">
        <v>29</v>
      </c>
      <c r="R275" s="16" t="s">
        <v>29</v>
      </c>
      <c r="S275" s="12" t="s">
        <v>4902</v>
      </c>
      <c r="T275" s="13">
        <v>46059</v>
      </c>
      <c r="U275" s="19"/>
      <c r="V275" s="53">
        <f>M275-U275-Y275-AA275-AC275-AE275-AG275</f>
        <v>-3</v>
      </c>
      <c r="W275" s="22" t="s">
        <v>4913</v>
      </c>
      <c r="X275" s="16"/>
      <c r="Y275" s="19">
        <v>33</v>
      </c>
      <c r="Z275" s="14">
        <v>46062</v>
      </c>
    </row>
    <row r="276" spans="1:26" s="28" customFormat="1" ht="20.25" hidden="1" customHeight="1">
      <c r="A276" s="11">
        <v>46045</v>
      </c>
      <c r="B276" s="16" t="s">
        <v>4910</v>
      </c>
      <c r="C276" s="16" t="s">
        <v>267</v>
      </c>
      <c r="D276" s="16" t="s">
        <v>212</v>
      </c>
      <c r="E276" s="16" t="s">
        <v>62</v>
      </c>
      <c r="F276" s="16" t="s">
        <v>4912</v>
      </c>
      <c r="G276" s="16" t="s">
        <v>71</v>
      </c>
      <c r="H276" s="16" t="s">
        <v>26</v>
      </c>
      <c r="I276" s="16"/>
      <c r="J276" s="16" t="s">
        <v>27</v>
      </c>
      <c r="K276" s="16" t="s">
        <v>1008</v>
      </c>
      <c r="L276" s="16" t="s">
        <v>35</v>
      </c>
      <c r="M276" s="17">
        <v>88</v>
      </c>
      <c r="N276" s="23">
        <v>1.29</v>
      </c>
      <c r="O276" s="16" t="s">
        <v>67</v>
      </c>
      <c r="P276" s="16" t="s">
        <v>63</v>
      </c>
      <c r="Q276" s="16" t="s">
        <v>29</v>
      </c>
      <c r="R276" s="16" t="s">
        <v>29</v>
      </c>
      <c r="S276" s="12" t="s">
        <v>4902</v>
      </c>
      <c r="T276" s="13">
        <v>46059</v>
      </c>
      <c r="U276" s="19"/>
      <c r="V276" s="53">
        <f>M276-U276-Y276-AA276-AC276-AE276-AG276</f>
        <v>1.5999999999999943</v>
      </c>
      <c r="W276" s="22" t="s">
        <v>4914</v>
      </c>
      <c r="X276" s="16"/>
      <c r="Y276" s="19">
        <v>86.4</v>
      </c>
      <c r="Z276" s="14">
        <v>46051</v>
      </c>
    </row>
    <row r="277" spans="1:26" s="28" customFormat="1" ht="20.25" hidden="1" customHeight="1">
      <c r="A277" s="11">
        <v>46048</v>
      </c>
      <c r="B277" s="16" t="s">
        <v>4915</v>
      </c>
      <c r="C277" s="16" t="s">
        <v>382</v>
      </c>
      <c r="D277" s="16" t="s">
        <v>212</v>
      </c>
      <c r="E277" s="16" t="s">
        <v>62</v>
      </c>
      <c r="F277" s="16" t="s">
        <v>4265</v>
      </c>
      <c r="G277" s="16" t="s">
        <v>71</v>
      </c>
      <c r="H277" s="16" t="s">
        <v>31</v>
      </c>
      <c r="I277" s="16"/>
      <c r="J277" s="16" t="s">
        <v>27</v>
      </c>
      <c r="K277" s="16" t="s">
        <v>3685</v>
      </c>
      <c r="L277" s="16" t="s">
        <v>35</v>
      </c>
      <c r="M277" s="17">
        <v>174.14</v>
      </c>
      <c r="N277" s="23">
        <v>1.29</v>
      </c>
      <c r="O277" s="16" t="s">
        <v>67</v>
      </c>
      <c r="P277" s="16"/>
      <c r="Q277" s="16"/>
      <c r="R277" s="16"/>
      <c r="S277" s="12" t="s">
        <v>4859</v>
      </c>
      <c r="T277" s="13">
        <v>46055</v>
      </c>
      <c r="U277" s="19"/>
      <c r="V277" s="53">
        <f>M277-U277-Y277-AA277-AC277-AE277-AG277</f>
        <v>0</v>
      </c>
      <c r="W277" s="22" t="s">
        <v>4916</v>
      </c>
      <c r="X277" s="16"/>
      <c r="Y277" s="19">
        <v>174.14</v>
      </c>
      <c r="Z277" s="14">
        <v>46051</v>
      </c>
    </row>
    <row r="278" spans="1:26" s="28" customFormat="1" ht="20.25" hidden="1" customHeight="1">
      <c r="A278" s="11">
        <v>46050</v>
      </c>
      <c r="B278" s="16" t="s">
        <v>4951</v>
      </c>
      <c r="C278" s="16" t="s">
        <v>290</v>
      </c>
      <c r="D278" s="16" t="s">
        <v>212</v>
      </c>
      <c r="E278" s="16" t="s">
        <v>62</v>
      </c>
      <c r="F278" s="16" t="s">
        <v>5024</v>
      </c>
      <c r="G278" s="16" t="s">
        <v>71</v>
      </c>
      <c r="H278" s="16" t="s">
        <v>31</v>
      </c>
      <c r="I278" s="1"/>
      <c r="J278" s="1" t="s">
        <v>27</v>
      </c>
      <c r="K278" s="16" t="s">
        <v>1328</v>
      </c>
      <c r="L278" s="1" t="s">
        <v>35</v>
      </c>
      <c r="M278" s="17">
        <v>243</v>
      </c>
      <c r="N278" s="23">
        <v>1.29</v>
      </c>
      <c r="O278" s="16" t="s">
        <v>67</v>
      </c>
      <c r="P278" s="16" t="s">
        <v>63</v>
      </c>
      <c r="Q278" s="16" t="s">
        <v>29</v>
      </c>
      <c r="R278" s="16" t="s">
        <v>29</v>
      </c>
      <c r="S278" s="12" t="s">
        <v>4941</v>
      </c>
      <c r="T278" s="13">
        <v>46064</v>
      </c>
      <c r="U278" s="19"/>
      <c r="V278" s="53">
        <f>M278-U278-Y278-AA278-AC278-AE278-AG278</f>
        <v>-0.90000000000000568</v>
      </c>
      <c r="W278" s="22" t="s">
        <v>4962</v>
      </c>
      <c r="X278" s="16"/>
      <c r="Y278" s="19">
        <v>243.9</v>
      </c>
      <c r="Z278" s="14">
        <v>46058</v>
      </c>
    </row>
    <row r="279" spans="1:26" s="282" customFormat="1" ht="20.25" hidden="1" customHeight="1">
      <c r="A279" s="272">
        <v>46050</v>
      </c>
      <c r="B279" s="273" t="s">
        <v>4951</v>
      </c>
      <c r="C279" s="273" t="s">
        <v>290</v>
      </c>
      <c r="D279" s="273" t="s">
        <v>212</v>
      </c>
      <c r="E279" s="273" t="s">
        <v>62</v>
      </c>
      <c r="F279" s="273" t="s">
        <v>4957</v>
      </c>
      <c r="G279" s="273" t="s">
        <v>71</v>
      </c>
      <c r="H279" s="273" t="s">
        <v>31</v>
      </c>
      <c r="I279" s="273"/>
      <c r="J279" s="273" t="s">
        <v>27</v>
      </c>
      <c r="K279" s="273" t="s">
        <v>1328</v>
      </c>
      <c r="L279" s="273" t="s">
        <v>35</v>
      </c>
      <c r="M279" s="274">
        <v>38</v>
      </c>
      <c r="N279" s="275">
        <v>1.29</v>
      </c>
      <c r="O279" s="273" t="s">
        <v>67</v>
      </c>
      <c r="P279" s="273" t="s">
        <v>63</v>
      </c>
      <c r="Q279" s="273" t="s">
        <v>29</v>
      </c>
      <c r="R279" s="273" t="s">
        <v>29</v>
      </c>
      <c r="S279" s="276" t="s">
        <v>4941</v>
      </c>
      <c r="T279" s="277">
        <v>46064</v>
      </c>
      <c r="U279" s="278"/>
      <c r="V279" s="279">
        <f>M279-U279-Y279-AA279-AC279-AE279-AG279</f>
        <v>38</v>
      </c>
      <c r="W279" s="280" t="s">
        <v>4963</v>
      </c>
      <c r="X279" s="273"/>
      <c r="Y279" s="322"/>
      <c r="Z279" s="322"/>
    </row>
    <row r="280" spans="1:26" s="28" customFormat="1" ht="20.25" hidden="1" customHeight="1">
      <c r="A280" s="11">
        <v>46050</v>
      </c>
      <c r="B280" s="16" t="s">
        <v>4952</v>
      </c>
      <c r="C280" s="16" t="s">
        <v>267</v>
      </c>
      <c r="D280" s="16" t="s">
        <v>212</v>
      </c>
      <c r="E280" s="16" t="s">
        <v>62</v>
      </c>
      <c r="F280" s="16" t="s">
        <v>4288</v>
      </c>
      <c r="G280" s="16" t="s">
        <v>71</v>
      </c>
      <c r="H280" s="16" t="s">
        <v>26</v>
      </c>
      <c r="I280" s="1"/>
      <c r="J280" s="1" t="s">
        <v>27</v>
      </c>
      <c r="K280" s="16" t="s">
        <v>4961</v>
      </c>
      <c r="L280" s="1" t="s">
        <v>35</v>
      </c>
      <c r="M280" s="17">
        <v>30</v>
      </c>
      <c r="N280" s="23">
        <v>1.29</v>
      </c>
      <c r="O280" s="16" t="s">
        <v>67</v>
      </c>
      <c r="P280" s="16" t="s">
        <v>63</v>
      </c>
      <c r="Q280" s="16" t="s">
        <v>29</v>
      </c>
      <c r="R280" s="16" t="s">
        <v>29</v>
      </c>
      <c r="S280" s="12" t="s">
        <v>4941</v>
      </c>
      <c r="T280" s="13">
        <v>46064</v>
      </c>
      <c r="U280" s="19"/>
      <c r="V280" s="53">
        <f>M280-U280-Y280-AA280-AC280-AE280-AG280</f>
        <v>-0.39999999999999858</v>
      </c>
      <c r="W280" s="22" t="s">
        <v>5134</v>
      </c>
      <c r="X280" s="16"/>
      <c r="Y280" s="19">
        <v>30.4</v>
      </c>
      <c r="Z280" s="14">
        <v>46058</v>
      </c>
    </row>
    <row r="281" spans="1:26" s="28" customFormat="1" ht="20.25" hidden="1" customHeight="1">
      <c r="A281" s="11">
        <v>46050</v>
      </c>
      <c r="B281" s="16" t="s">
        <v>4953</v>
      </c>
      <c r="C281" s="16" t="s">
        <v>267</v>
      </c>
      <c r="D281" s="16" t="s">
        <v>212</v>
      </c>
      <c r="E281" s="16" t="s">
        <v>62</v>
      </c>
      <c r="F281" s="16" t="s">
        <v>4958</v>
      </c>
      <c r="G281" s="16" t="s">
        <v>71</v>
      </c>
      <c r="H281" s="16" t="s">
        <v>31</v>
      </c>
      <c r="I281" s="16"/>
      <c r="J281" s="16" t="s">
        <v>27</v>
      </c>
      <c r="K281" s="16" t="s">
        <v>3330</v>
      </c>
      <c r="L281" s="16" t="s">
        <v>35</v>
      </c>
      <c r="M281" s="17">
        <v>30</v>
      </c>
      <c r="N281" s="23">
        <v>1.29</v>
      </c>
      <c r="O281" s="16" t="s">
        <v>67</v>
      </c>
      <c r="P281" s="16" t="s">
        <v>63</v>
      </c>
      <c r="Q281" s="16" t="s">
        <v>29</v>
      </c>
      <c r="R281" s="16" t="s">
        <v>29</v>
      </c>
      <c r="S281" s="12" t="s">
        <v>734</v>
      </c>
      <c r="T281" s="13">
        <v>46058</v>
      </c>
      <c r="U281" s="19"/>
      <c r="V281" s="53">
        <f>M281-U281-Y281-AA281-AC281-AE281-AG281</f>
        <v>-9.7999999999999972</v>
      </c>
      <c r="W281" s="22" t="s">
        <v>4964</v>
      </c>
      <c r="X281" s="16"/>
      <c r="Y281" s="19">
        <v>39.799999999999997</v>
      </c>
      <c r="Z281" s="14">
        <v>46051</v>
      </c>
    </row>
    <row r="282" spans="1:26" s="28" customFormat="1" ht="20.25" hidden="1" customHeight="1">
      <c r="A282" s="11">
        <v>46050</v>
      </c>
      <c r="B282" s="16" t="s">
        <v>4954</v>
      </c>
      <c r="C282" s="16" t="s">
        <v>267</v>
      </c>
      <c r="D282" s="16" t="s">
        <v>212</v>
      </c>
      <c r="E282" s="16" t="s">
        <v>62</v>
      </c>
      <c r="F282" s="16" t="s">
        <v>4959</v>
      </c>
      <c r="G282" s="16" t="s">
        <v>71</v>
      </c>
      <c r="H282" s="16" t="s">
        <v>26</v>
      </c>
      <c r="I282" s="1"/>
      <c r="J282" s="1" t="s">
        <v>27</v>
      </c>
      <c r="K282" s="16" t="s">
        <v>239</v>
      </c>
      <c r="L282" s="1" t="s">
        <v>35</v>
      </c>
      <c r="M282" s="17">
        <v>180</v>
      </c>
      <c r="N282" s="6">
        <v>1.29</v>
      </c>
      <c r="O282" s="1" t="s">
        <v>67</v>
      </c>
      <c r="P282" s="1" t="s">
        <v>63</v>
      </c>
      <c r="Q282" s="1" t="s">
        <v>29</v>
      </c>
      <c r="R282" s="1" t="s">
        <v>29</v>
      </c>
      <c r="S282" s="121" t="s">
        <v>4872</v>
      </c>
      <c r="T282" s="5">
        <v>46057</v>
      </c>
      <c r="U282" s="19"/>
      <c r="V282" s="53">
        <f>M282-U282-Y282-AA282-AC282-AE282-AG282</f>
        <v>-4.6999999999999886</v>
      </c>
      <c r="W282" s="22" t="s">
        <v>4965</v>
      </c>
      <c r="X282" s="16"/>
      <c r="Y282" s="19">
        <v>184.7</v>
      </c>
      <c r="Z282" s="14">
        <v>46056</v>
      </c>
    </row>
    <row r="283" spans="1:26" s="28" customFormat="1" ht="20.25" hidden="1" customHeight="1">
      <c r="A283" s="11">
        <v>46050</v>
      </c>
      <c r="B283" s="16" t="s">
        <v>4955</v>
      </c>
      <c r="C283" s="16" t="s">
        <v>267</v>
      </c>
      <c r="D283" s="16" t="s">
        <v>212</v>
      </c>
      <c r="E283" s="16" t="s">
        <v>62</v>
      </c>
      <c r="F283" s="16" t="s">
        <v>4959</v>
      </c>
      <c r="G283" s="16" t="s">
        <v>71</v>
      </c>
      <c r="H283" s="16" t="s">
        <v>26</v>
      </c>
      <c r="I283" s="1"/>
      <c r="J283" s="1" t="s">
        <v>27</v>
      </c>
      <c r="K283" s="16" t="s">
        <v>218</v>
      </c>
      <c r="L283" s="1" t="s">
        <v>35</v>
      </c>
      <c r="M283" s="17">
        <v>380</v>
      </c>
      <c r="N283" s="6">
        <v>1.29</v>
      </c>
      <c r="O283" s="1" t="s">
        <v>67</v>
      </c>
      <c r="P283" s="1" t="s">
        <v>63</v>
      </c>
      <c r="Q283" s="1" t="s">
        <v>29</v>
      </c>
      <c r="R283" s="1" t="s">
        <v>29</v>
      </c>
      <c r="S283" s="121" t="s">
        <v>4872</v>
      </c>
      <c r="T283" s="5">
        <v>46057</v>
      </c>
      <c r="U283" s="19"/>
      <c r="V283" s="53">
        <f>M283-U283-Y283-AA283-AC283-AE283-AG283</f>
        <v>-4.8999999999999773</v>
      </c>
      <c r="W283" s="22" t="s">
        <v>4966</v>
      </c>
      <c r="X283" s="16"/>
      <c r="Y283" s="19">
        <v>384.9</v>
      </c>
      <c r="Z283" s="14">
        <v>46056</v>
      </c>
    </row>
    <row r="284" spans="1:26" s="36" customFormat="1" ht="20.25" hidden="1" customHeight="1">
      <c r="A284" s="7">
        <v>46050</v>
      </c>
      <c r="B284" s="19" t="s">
        <v>4956</v>
      </c>
      <c r="C284" s="19" t="s">
        <v>267</v>
      </c>
      <c r="D284" s="19" t="s">
        <v>212</v>
      </c>
      <c r="E284" s="19" t="s">
        <v>62</v>
      </c>
      <c r="F284" s="19" t="s">
        <v>4960</v>
      </c>
      <c r="G284" s="19" t="s">
        <v>71</v>
      </c>
      <c r="H284" s="19" t="s">
        <v>26</v>
      </c>
      <c r="I284" s="270"/>
      <c r="J284" s="270" t="s">
        <v>27</v>
      </c>
      <c r="K284" s="19" t="s">
        <v>239</v>
      </c>
      <c r="L284" s="270" t="s">
        <v>35</v>
      </c>
      <c r="M284" s="20">
        <v>80</v>
      </c>
      <c r="N284" s="25">
        <v>1.29</v>
      </c>
      <c r="O284" s="19" t="s">
        <v>67</v>
      </c>
      <c r="P284" s="19" t="s">
        <v>63</v>
      </c>
      <c r="Q284" s="19" t="s">
        <v>29</v>
      </c>
      <c r="R284" s="19" t="s">
        <v>29</v>
      </c>
      <c r="S284" s="45" t="s">
        <v>734</v>
      </c>
      <c r="T284" s="8">
        <v>46058</v>
      </c>
      <c r="U284" s="19"/>
      <c r="V284" s="55">
        <f>M284-U284-Y284-AA284-AC284-AE284-AG284</f>
        <v>-0.29999999999999716</v>
      </c>
      <c r="W284" s="15" t="s">
        <v>4967</v>
      </c>
      <c r="X284" s="19"/>
      <c r="Y284" s="19">
        <v>80.3</v>
      </c>
      <c r="Z284" s="18">
        <v>46072</v>
      </c>
    </row>
    <row r="285" spans="1:26" s="28" customFormat="1" ht="20.25" hidden="1" customHeight="1">
      <c r="A285" s="11">
        <v>46051</v>
      </c>
      <c r="B285" s="16" t="s">
        <v>5021</v>
      </c>
      <c r="C285" s="16" t="s">
        <v>267</v>
      </c>
      <c r="D285" s="16" t="s">
        <v>212</v>
      </c>
      <c r="E285" s="16" t="s">
        <v>62</v>
      </c>
      <c r="F285" s="16" t="s">
        <v>5022</v>
      </c>
      <c r="G285" s="16" t="s">
        <v>71</v>
      </c>
      <c r="H285" s="16" t="s">
        <v>26</v>
      </c>
      <c r="I285" s="1"/>
      <c r="J285" s="1" t="s">
        <v>27</v>
      </c>
      <c r="K285" s="16" t="s">
        <v>4495</v>
      </c>
      <c r="L285" s="1" t="s">
        <v>35</v>
      </c>
      <c r="M285" s="17">
        <v>30</v>
      </c>
      <c r="N285" s="6">
        <v>1.29</v>
      </c>
      <c r="O285" s="1" t="s">
        <v>67</v>
      </c>
      <c r="P285" s="1"/>
      <c r="Q285" s="1"/>
      <c r="R285" s="1"/>
      <c r="S285" s="121" t="s">
        <v>734</v>
      </c>
      <c r="T285" s="5">
        <v>46058</v>
      </c>
      <c r="U285" s="19"/>
      <c r="V285" s="53">
        <f>M285-U285-Y285-AA285-AC285-AE285-AG285</f>
        <v>-3</v>
      </c>
      <c r="W285" s="22" t="s">
        <v>5023</v>
      </c>
      <c r="X285" s="16"/>
      <c r="Y285" s="19">
        <v>33</v>
      </c>
      <c r="Z285" s="14">
        <v>46056</v>
      </c>
    </row>
    <row r="286" spans="1:26" s="36" customFormat="1" ht="20.25" hidden="1" customHeight="1">
      <c r="A286" s="7">
        <v>46052</v>
      </c>
      <c r="B286" s="19" t="s">
        <v>5045</v>
      </c>
      <c r="C286" s="19" t="s">
        <v>290</v>
      </c>
      <c r="D286" s="19" t="s">
        <v>212</v>
      </c>
      <c r="E286" s="19" t="s">
        <v>62</v>
      </c>
      <c r="F286" s="19" t="s">
        <v>5051</v>
      </c>
      <c r="G286" s="19" t="s">
        <v>71</v>
      </c>
      <c r="H286" s="19" t="s">
        <v>31</v>
      </c>
      <c r="I286" s="270"/>
      <c r="J286" s="270" t="s">
        <v>27</v>
      </c>
      <c r="K286" s="19" t="s">
        <v>683</v>
      </c>
      <c r="L286" s="270" t="s">
        <v>35</v>
      </c>
      <c r="M286" s="20">
        <v>128</v>
      </c>
      <c r="N286" s="25">
        <v>1.29</v>
      </c>
      <c r="O286" s="19" t="s">
        <v>67</v>
      </c>
      <c r="P286" s="19" t="s">
        <v>63</v>
      </c>
      <c r="Q286" s="19" t="s">
        <v>29</v>
      </c>
      <c r="R286" s="19" t="s">
        <v>29</v>
      </c>
      <c r="S286" s="45" t="s">
        <v>5037</v>
      </c>
      <c r="T286" s="8">
        <v>46066</v>
      </c>
      <c r="U286" s="19"/>
      <c r="V286" s="55">
        <f>M286-U286-Y286-AA286-AC286-AE286-AG286</f>
        <v>-1.4000000000000057</v>
      </c>
      <c r="W286" s="15" t="s">
        <v>5056</v>
      </c>
      <c r="X286" s="19"/>
      <c r="Y286" s="19">
        <v>129.4</v>
      </c>
      <c r="Z286" s="18">
        <v>46065</v>
      </c>
    </row>
    <row r="287" spans="1:26" s="36" customFormat="1" ht="20.25" hidden="1" customHeight="1">
      <c r="A287" s="7">
        <v>46052</v>
      </c>
      <c r="B287" s="19" t="s">
        <v>5046</v>
      </c>
      <c r="C287" s="19" t="s">
        <v>290</v>
      </c>
      <c r="D287" s="19" t="s">
        <v>212</v>
      </c>
      <c r="E287" s="19" t="s">
        <v>62</v>
      </c>
      <c r="F287" s="19" t="s">
        <v>5052</v>
      </c>
      <c r="G287" s="19" t="s">
        <v>71</v>
      </c>
      <c r="H287" s="19" t="s">
        <v>31</v>
      </c>
      <c r="I287" s="270"/>
      <c r="J287" s="270" t="s">
        <v>27</v>
      </c>
      <c r="K287" s="19" t="s">
        <v>683</v>
      </c>
      <c r="L287" s="270" t="s">
        <v>35</v>
      </c>
      <c r="M287" s="20">
        <v>36</v>
      </c>
      <c r="N287" s="25">
        <v>1.29</v>
      </c>
      <c r="O287" s="19" t="s">
        <v>67</v>
      </c>
      <c r="P287" s="19" t="s">
        <v>63</v>
      </c>
      <c r="Q287" s="19" t="s">
        <v>29</v>
      </c>
      <c r="R287" s="19" t="s">
        <v>29</v>
      </c>
      <c r="S287" s="45" t="s">
        <v>5037</v>
      </c>
      <c r="T287" s="8">
        <v>46066</v>
      </c>
      <c r="U287" s="19"/>
      <c r="V287" s="55">
        <f>M287-U287-Y287-AA287-AC287-AE287-AG287</f>
        <v>0</v>
      </c>
      <c r="W287" s="15" t="s">
        <v>5057</v>
      </c>
      <c r="X287" s="19"/>
      <c r="Y287" s="19">
        <v>36</v>
      </c>
      <c r="Z287" s="18">
        <v>46065</v>
      </c>
    </row>
    <row r="288" spans="1:26" s="36" customFormat="1" ht="20.25" hidden="1" customHeight="1">
      <c r="A288" s="7">
        <v>46052</v>
      </c>
      <c r="B288" s="19" t="s">
        <v>5046</v>
      </c>
      <c r="C288" s="19" t="s">
        <v>290</v>
      </c>
      <c r="D288" s="19" t="s">
        <v>212</v>
      </c>
      <c r="E288" s="19" t="s">
        <v>62</v>
      </c>
      <c r="F288" s="19" t="s">
        <v>5052</v>
      </c>
      <c r="G288" s="19" t="s">
        <v>71</v>
      </c>
      <c r="H288" s="19" t="s">
        <v>31</v>
      </c>
      <c r="I288" s="270"/>
      <c r="J288" s="270" t="s">
        <v>27</v>
      </c>
      <c r="K288" s="19" t="s">
        <v>683</v>
      </c>
      <c r="L288" s="270" t="s">
        <v>35</v>
      </c>
      <c r="M288" s="20">
        <v>28</v>
      </c>
      <c r="N288" s="25">
        <v>1.29</v>
      </c>
      <c r="O288" s="19" t="s">
        <v>67</v>
      </c>
      <c r="P288" s="19" t="s">
        <v>63</v>
      </c>
      <c r="Q288" s="19" t="s">
        <v>29</v>
      </c>
      <c r="R288" s="19" t="s">
        <v>29</v>
      </c>
      <c r="S288" s="45" t="s">
        <v>5037</v>
      </c>
      <c r="T288" s="8">
        <v>46066</v>
      </c>
      <c r="U288" s="19"/>
      <c r="V288" s="55">
        <f>M288-U288-Y288-AA288-AC288-AE288-AG288</f>
        <v>-2.6999999999999993</v>
      </c>
      <c r="W288" s="15" t="s">
        <v>5058</v>
      </c>
      <c r="X288" s="19"/>
      <c r="Y288" s="19">
        <v>30.7</v>
      </c>
      <c r="Z288" s="18">
        <v>46065</v>
      </c>
    </row>
    <row r="289" spans="1:28" s="28" customFormat="1" ht="20.25" hidden="1" customHeight="1">
      <c r="A289" s="11">
        <v>46052</v>
      </c>
      <c r="B289" s="16" t="s">
        <v>5047</v>
      </c>
      <c r="C289" s="16" t="s">
        <v>304</v>
      </c>
      <c r="D289" s="16" t="s">
        <v>212</v>
      </c>
      <c r="E289" s="16" t="s">
        <v>62</v>
      </c>
      <c r="F289" s="16" t="s">
        <v>5053</v>
      </c>
      <c r="G289" s="16" t="s">
        <v>71</v>
      </c>
      <c r="H289" s="16" t="s">
        <v>31</v>
      </c>
      <c r="I289" s="16"/>
      <c r="J289" s="16" t="s">
        <v>27</v>
      </c>
      <c r="K289" s="16" t="s">
        <v>2355</v>
      </c>
      <c r="L289" s="16" t="s">
        <v>35</v>
      </c>
      <c r="M289" s="17">
        <v>50</v>
      </c>
      <c r="N289" s="23">
        <v>1.29</v>
      </c>
      <c r="O289" s="16" t="s">
        <v>67</v>
      </c>
      <c r="P289" s="16" t="s">
        <v>63</v>
      </c>
      <c r="Q289" s="16" t="s">
        <v>29</v>
      </c>
      <c r="R289" s="16" t="s">
        <v>29</v>
      </c>
      <c r="S289" s="12" t="s">
        <v>5037</v>
      </c>
      <c r="T289" s="13">
        <v>46066</v>
      </c>
      <c r="U289" s="19"/>
      <c r="V289" s="53">
        <f>M289-U289-Y289-AA289-AC289-AE289-AG289</f>
        <v>-0.29999999999999716</v>
      </c>
      <c r="W289" s="22" t="s">
        <v>5059</v>
      </c>
      <c r="X289" s="16"/>
      <c r="Y289" s="19">
        <v>50.3</v>
      </c>
      <c r="Z289" s="14">
        <v>46062</v>
      </c>
    </row>
    <row r="290" spans="1:28" s="122" customFormat="1" ht="20.25" hidden="1" customHeight="1">
      <c r="A290" s="300">
        <v>46052</v>
      </c>
      <c r="B290" s="301" t="s">
        <v>5048</v>
      </c>
      <c r="C290" s="301" t="s">
        <v>1568</v>
      </c>
      <c r="D290" s="301" t="s">
        <v>212</v>
      </c>
      <c r="E290" s="301" t="s">
        <v>62</v>
      </c>
      <c r="F290" s="301" t="s">
        <v>5054</v>
      </c>
      <c r="G290" s="301" t="s">
        <v>71</v>
      </c>
      <c r="H290" s="301" t="s">
        <v>26</v>
      </c>
      <c r="I290" s="270"/>
      <c r="J290" s="270" t="s">
        <v>27</v>
      </c>
      <c r="K290" s="301" t="s">
        <v>683</v>
      </c>
      <c r="L290" s="270" t="s">
        <v>35</v>
      </c>
      <c r="M290" s="302">
        <v>2293.14</v>
      </c>
      <c r="N290" s="303">
        <v>1.29</v>
      </c>
      <c r="O290" s="301" t="s">
        <v>67</v>
      </c>
      <c r="P290" s="301" t="s">
        <v>63</v>
      </c>
      <c r="Q290" s="301" t="s">
        <v>29</v>
      </c>
      <c r="R290" s="301" t="s">
        <v>29</v>
      </c>
      <c r="S290" s="304" t="s">
        <v>5037</v>
      </c>
      <c r="T290" s="305">
        <v>46066</v>
      </c>
      <c r="U290" s="301"/>
      <c r="V290" s="306">
        <f>M290-U290-Y290-AA290-AC290-AE290-AG290</f>
        <v>-0.16000000000030923</v>
      </c>
      <c r="W290" s="307" t="s">
        <v>5060</v>
      </c>
      <c r="X290" s="301"/>
      <c r="Y290" s="301">
        <v>2293.3000000000002</v>
      </c>
      <c r="Z290" s="386">
        <v>46073</v>
      </c>
    </row>
    <row r="291" spans="1:28" s="36" customFormat="1" ht="20.25" hidden="1" customHeight="1">
      <c r="A291" s="7">
        <v>46052</v>
      </c>
      <c r="B291" s="19" t="s">
        <v>5048</v>
      </c>
      <c r="C291" s="19" t="s">
        <v>1568</v>
      </c>
      <c r="D291" s="19" t="s">
        <v>212</v>
      </c>
      <c r="E291" s="19" t="s">
        <v>62</v>
      </c>
      <c r="F291" s="19" t="s">
        <v>5054</v>
      </c>
      <c r="G291" s="19" t="s">
        <v>71</v>
      </c>
      <c r="H291" s="19" t="s">
        <v>31</v>
      </c>
      <c r="I291" s="19"/>
      <c r="J291" s="19" t="s">
        <v>27</v>
      </c>
      <c r="K291" s="19" t="s">
        <v>3646</v>
      </c>
      <c r="L291" s="19" t="s">
        <v>35</v>
      </c>
      <c r="M291" s="20">
        <v>182.87</v>
      </c>
      <c r="N291" s="25">
        <v>1.29</v>
      </c>
      <c r="O291" s="19" t="s">
        <v>67</v>
      </c>
      <c r="P291" s="19" t="s">
        <v>63</v>
      </c>
      <c r="Q291" s="19" t="s">
        <v>29</v>
      </c>
      <c r="R291" s="19" t="s">
        <v>29</v>
      </c>
      <c r="S291" s="45" t="s">
        <v>5037</v>
      </c>
      <c r="T291" s="8">
        <v>46066</v>
      </c>
      <c r="U291" s="19"/>
      <c r="V291" s="55">
        <f>M291-U291-Y291-AA291-AC291-AE291-AG291</f>
        <v>-3.9300000000000068</v>
      </c>
      <c r="W291" s="15" t="s">
        <v>5061</v>
      </c>
      <c r="X291" s="19"/>
      <c r="Y291" s="19">
        <v>186.8</v>
      </c>
      <c r="Z291" s="18">
        <v>46078</v>
      </c>
    </row>
    <row r="292" spans="1:28" s="36" customFormat="1" ht="20.25" hidden="1" customHeight="1">
      <c r="A292" s="7">
        <v>46052</v>
      </c>
      <c r="B292" s="19" t="s">
        <v>5049</v>
      </c>
      <c r="C292" s="19" t="s">
        <v>267</v>
      </c>
      <c r="D292" s="19" t="s">
        <v>212</v>
      </c>
      <c r="E292" s="19" t="s">
        <v>62</v>
      </c>
      <c r="F292" s="19" t="s">
        <v>5055</v>
      </c>
      <c r="G292" s="19" t="s">
        <v>71</v>
      </c>
      <c r="H292" s="19" t="s">
        <v>26</v>
      </c>
      <c r="I292" s="270"/>
      <c r="J292" s="270" t="s">
        <v>27</v>
      </c>
      <c r="K292" s="19" t="s">
        <v>683</v>
      </c>
      <c r="L292" s="270" t="s">
        <v>35</v>
      </c>
      <c r="M292" s="20">
        <v>420</v>
      </c>
      <c r="N292" s="25">
        <v>1.29</v>
      </c>
      <c r="O292" s="19" t="s">
        <v>67</v>
      </c>
      <c r="P292" s="19" t="s">
        <v>63</v>
      </c>
      <c r="Q292" s="19" t="s">
        <v>29</v>
      </c>
      <c r="R292" s="19" t="s">
        <v>29</v>
      </c>
      <c r="S292" s="45" t="s">
        <v>5037</v>
      </c>
      <c r="T292" s="8">
        <v>46066</v>
      </c>
      <c r="U292" s="19"/>
      <c r="V292" s="55">
        <f>M292-U292-Y292-AA292-AC292-AE292-AG292</f>
        <v>-1</v>
      </c>
      <c r="W292" s="15" t="s">
        <v>5062</v>
      </c>
      <c r="X292" s="19"/>
      <c r="Y292" s="19">
        <v>421</v>
      </c>
      <c r="Z292" s="18">
        <v>46083</v>
      </c>
    </row>
    <row r="293" spans="1:28" s="36" customFormat="1" ht="20.25" hidden="1" customHeight="1">
      <c r="A293" s="7">
        <v>46052</v>
      </c>
      <c r="B293" s="19" t="s">
        <v>5050</v>
      </c>
      <c r="C293" s="19" t="s">
        <v>267</v>
      </c>
      <c r="D293" s="19" t="s">
        <v>212</v>
      </c>
      <c r="E293" s="19" t="s">
        <v>62</v>
      </c>
      <c r="F293" s="19" t="s">
        <v>5055</v>
      </c>
      <c r="G293" s="19" t="s">
        <v>71</v>
      </c>
      <c r="H293" s="19" t="s">
        <v>26</v>
      </c>
      <c r="I293" s="270"/>
      <c r="J293" s="270" t="s">
        <v>27</v>
      </c>
      <c r="K293" s="19" t="s">
        <v>683</v>
      </c>
      <c r="L293" s="270" t="s">
        <v>35</v>
      </c>
      <c r="M293" s="20">
        <v>80</v>
      </c>
      <c r="N293" s="25">
        <v>1.29</v>
      </c>
      <c r="O293" s="19" t="s">
        <v>67</v>
      </c>
      <c r="P293" s="19" t="s">
        <v>63</v>
      </c>
      <c r="Q293" s="19" t="s">
        <v>29</v>
      </c>
      <c r="R293" s="19" t="s">
        <v>29</v>
      </c>
      <c r="S293" s="45" t="s">
        <v>5037</v>
      </c>
      <c r="T293" s="8">
        <v>46066</v>
      </c>
      <c r="U293" s="19"/>
      <c r="V293" s="55">
        <f>M293-U293-Y293-AA293-AC293-AE293-AG293</f>
        <v>-1</v>
      </c>
      <c r="W293" s="15" t="s">
        <v>5063</v>
      </c>
      <c r="X293" s="19"/>
      <c r="Y293" s="19">
        <v>81</v>
      </c>
      <c r="Z293" s="18">
        <v>46083</v>
      </c>
    </row>
    <row r="294" spans="1:28" s="122" customFormat="1" ht="20.25" hidden="1" customHeight="1">
      <c r="A294" s="300">
        <v>46056</v>
      </c>
      <c r="B294" s="301" t="s">
        <v>5130</v>
      </c>
      <c r="C294" s="301" t="s">
        <v>304</v>
      </c>
      <c r="D294" s="301" t="s">
        <v>212</v>
      </c>
      <c r="E294" s="301" t="s">
        <v>62</v>
      </c>
      <c r="F294" s="301" t="s">
        <v>5131</v>
      </c>
      <c r="G294" s="301" t="s">
        <v>71</v>
      </c>
      <c r="H294" s="301" t="s">
        <v>31</v>
      </c>
      <c r="I294" s="270"/>
      <c r="J294" s="270" t="s">
        <v>27</v>
      </c>
      <c r="K294" s="301" t="s">
        <v>5132</v>
      </c>
      <c r="L294" s="270" t="s">
        <v>35</v>
      </c>
      <c r="M294" s="302">
        <v>50</v>
      </c>
      <c r="N294" s="303">
        <v>1.33</v>
      </c>
      <c r="O294" s="301" t="s">
        <v>67</v>
      </c>
      <c r="P294" s="301"/>
      <c r="Q294" s="301"/>
      <c r="R294" s="301"/>
      <c r="S294" s="304" t="s">
        <v>5122</v>
      </c>
      <c r="T294" s="305">
        <v>46070</v>
      </c>
      <c r="U294" s="301"/>
      <c r="V294" s="306">
        <f>M294-U294-Y294-AA294-AC294-AE294-AG294</f>
        <v>-1.7999999999999972</v>
      </c>
      <c r="W294" s="307" t="s">
        <v>5133</v>
      </c>
      <c r="X294" s="301"/>
      <c r="Y294" s="301">
        <v>51.8</v>
      </c>
      <c r="Z294" s="386">
        <v>46083</v>
      </c>
    </row>
    <row r="295" spans="1:28" s="122" customFormat="1" ht="20.25" hidden="1" customHeight="1">
      <c r="A295" s="300">
        <v>46057</v>
      </c>
      <c r="B295" s="301" t="s">
        <v>5166</v>
      </c>
      <c r="C295" s="301" t="s">
        <v>535</v>
      </c>
      <c r="D295" s="301" t="s">
        <v>212</v>
      </c>
      <c r="E295" s="301" t="s">
        <v>62</v>
      </c>
      <c r="F295" s="301" t="s">
        <v>5167</v>
      </c>
      <c r="G295" s="301" t="s">
        <v>71</v>
      </c>
      <c r="H295" s="301" t="s">
        <v>26</v>
      </c>
      <c r="I295" s="270"/>
      <c r="J295" s="270" t="s">
        <v>27</v>
      </c>
      <c r="K295" s="301" t="s">
        <v>1346</v>
      </c>
      <c r="L295" s="270" t="s">
        <v>35</v>
      </c>
      <c r="M295" s="302">
        <v>15</v>
      </c>
      <c r="N295" s="303">
        <v>1.31</v>
      </c>
      <c r="O295" s="301" t="s">
        <v>67</v>
      </c>
      <c r="P295" s="301"/>
      <c r="Q295" s="301"/>
      <c r="R295" s="301"/>
      <c r="S295" s="304" t="s">
        <v>5123</v>
      </c>
      <c r="T295" s="305">
        <v>46071</v>
      </c>
      <c r="U295" s="381"/>
      <c r="V295" s="306">
        <f>M295-U295-Y295-AA295-AC295-AE295-AG295</f>
        <v>0</v>
      </c>
      <c r="W295" s="307" t="s">
        <v>5168</v>
      </c>
      <c r="X295" s="301"/>
      <c r="Y295" s="335">
        <v>15</v>
      </c>
      <c r="Z295" s="386">
        <v>46057</v>
      </c>
    </row>
    <row r="296" spans="1:28" s="36" customFormat="1" ht="20.25" hidden="1" customHeight="1">
      <c r="A296" s="7">
        <v>46062</v>
      </c>
      <c r="B296" s="19" t="s">
        <v>5198</v>
      </c>
      <c r="C296" s="19" t="s">
        <v>267</v>
      </c>
      <c r="D296" s="19" t="s">
        <v>212</v>
      </c>
      <c r="E296" s="19" t="s">
        <v>62</v>
      </c>
      <c r="F296" s="19" t="s">
        <v>5199</v>
      </c>
      <c r="G296" s="19" t="s">
        <v>71</v>
      </c>
      <c r="H296" s="19" t="s">
        <v>31</v>
      </c>
      <c r="I296" s="1"/>
      <c r="J296" s="1" t="s">
        <v>27</v>
      </c>
      <c r="K296" s="19" t="s">
        <v>1470</v>
      </c>
      <c r="L296" s="1" t="s">
        <v>35</v>
      </c>
      <c r="M296" s="20">
        <v>50</v>
      </c>
      <c r="N296" s="25">
        <v>1.33</v>
      </c>
      <c r="O296" s="19" t="s">
        <v>67</v>
      </c>
      <c r="P296" s="19"/>
      <c r="Q296" s="19"/>
      <c r="R296" s="19"/>
      <c r="S296" s="45" t="s">
        <v>5003</v>
      </c>
      <c r="T296" s="8">
        <v>46076</v>
      </c>
      <c r="U296" s="19"/>
      <c r="V296" s="55">
        <f>M296-U296-Y296-AA296-AC296-AE296-AG296</f>
        <v>-0.39999999999999858</v>
      </c>
      <c r="W296" s="15" t="s">
        <v>5200</v>
      </c>
      <c r="X296" s="19"/>
      <c r="Y296" s="19">
        <v>50.4</v>
      </c>
      <c r="Z296" s="18">
        <v>46072</v>
      </c>
    </row>
    <row r="297" spans="1:28" s="36" customFormat="1" ht="20.25" hidden="1" customHeight="1">
      <c r="A297" s="7">
        <v>46065</v>
      </c>
      <c r="B297" s="19" t="s">
        <v>5243</v>
      </c>
      <c r="C297" s="19" t="s">
        <v>382</v>
      </c>
      <c r="D297" s="19" t="s">
        <v>212</v>
      </c>
      <c r="E297" s="19" t="s">
        <v>62</v>
      </c>
      <c r="F297" s="19" t="s">
        <v>5244</v>
      </c>
      <c r="G297" s="19" t="s">
        <v>71</v>
      </c>
      <c r="H297" s="19" t="s">
        <v>31</v>
      </c>
      <c r="I297" s="16"/>
      <c r="J297" s="16" t="s">
        <v>27</v>
      </c>
      <c r="K297" s="19" t="s">
        <v>913</v>
      </c>
      <c r="L297" s="16" t="s">
        <v>35</v>
      </c>
      <c r="M297" s="20">
        <v>947.72</v>
      </c>
      <c r="N297" s="25">
        <v>1.33</v>
      </c>
      <c r="O297" s="19" t="s">
        <v>67</v>
      </c>
      <c r="P297" s="19"/>
      <c r="Q297" s="19"/>
      <c r="R297" s="19"/>
      <c r="S297" s="45" t="s">
        <v>5241</v>
      </c>
      <c r="T297" s="8">
        <v>46079</v>
      </c>
      <c r="U297" s="19"/>
      <c r="V297" s="55">
        <f>M297-U297-Y297-AA297-AC297-AE297-AG297</f>
        <v>-7.999999999992724E-2</v>
      </c>
      <c r="W297" s="15" t="s">
        <v>5245</v>
      </c>
      <c r="X297" s="19"/>
      <c r="Y297" s="19">
        <v>947.8</v>
      </c>
      <c r="Z297" s="18">
        <v>46072</v>
      </c>
    </row>
    <row r="298" spans="1:28" s="28" customFormat="1" ht="20.25" hidden="1" customHeight="1">
      <c r="A298" s="11">
        <v>46065</v>
      </c>
      <c r="B298" s="16" t="s">
        <v>5246</v>
      </c>
      <c r="C298" s="16" t="s">
        <v>382</v>
      </c>
      <c r="D298" s="16" t="s">
        <v>212</v>
      </c>
      <c r="E298" s="16" t="s">
        <v>62</v>
      </c>
      <c r="F298" s="16" t="s">
        <v>5247</v>
      </c>
      <c r="G298" s="16" t="s">
        <v>71</v>
      </c>
      <c r="H298" s="16" t="s">
        <v>31</v>
      </c>
      <c r="I298" s="16"/>
      <c r="J298" s="16" t="s">
        <v>27</v>
      </c>
      <c r="K298" s="16" t="s">
        <v>2653</v>
      </c>
      <c r="L298" s="16" t="s">
        <v>35</v>
      </c>
      <c r="M298" s="17">
        <v>1207.5</v>
      </c>
      <c r="N298" s="23">
        <v>1.33</v>
      </c>
      <c r="O298" s="16" t="s">
        <v>67</v>
      </c>
      <c r="P298" s="16"/>
      <c r="Q298" s="16"/>
      <c r="R298" s="16"/>
      <c r="S298" s="12" t="s">
        <v>5241</v>
      </c>
      <c r="T298" s="13">
        <v>46079</v>
      </c>
      <c r="U298" s="19"/>
      <c r="V298" s="53">
        <f>M298-U298-Y298-AA298-AC298-AE298-AG298</f>
        <v>-3.5999999999999091</v>
      </c>
      <c r="W298" s="22" t="s">
        <v>5248</v>
      </c>
      <c r="X298" s="16"/>
      <c r="Y298" s="19">
        <v>1211.0999999999999</v>
      </c>
      <c r="Z298" s="14">
        <v>46085</v>
      </c>
    </row>
    <row r="299" spans="1:28" s="36" customFormat="1" ht="20.25" hidden="1" customHeight="1">
      <c r="A299" s="7">
        <v>46065</v>
      </c>
      <c r="B299" s="19" t="s">
        <v>5249</v>
      </c>
      <c r="C299" s="19" t="s">
        <v>382</v>
      </c>
      <c r="D299" s="19" t="s">
        <v>212</v>
      </c>
      <c r="E299" s="19" t="s">
        <v>62</v>
      </c>
      <c r="F299" s="19" t="s">
        <v>5250</v>
      </c>
      <c r="G299" s="19" t="s">
        <v>71</v>
      </c>
      <c r="H299" s="19" t="s">
        <v>26</v>
      </c>
      <c r="I299" s="16"/>
      <c r="J299" s="16" t="s">
        <v>27</v>
      </c>
      <c r="K299" s="19" t="s">
        <v>913</v>
      </c>
      <c r="L299" s="16" t="s">
        <v>35</v>
      </c>
      <c r="M299" s="20">
        <v>488.6</v>
      </c>
      <c r="N299" s="25">
        <v>1.33</v>
      </c>
      <c r="O299" s="19" t="s">
        <v>67</v>
      </c>
      <c r="P299" s="19"/>
      <c r="Q299" s="19"/>
      <c r="R299" s="19"/>
      <c r="S299" s="45" t="s">
        <v>5241</v>
      </c>
      <c r="T299" s="8">
        <v>46079</v>
      </c>
      <c r="U299" s="19"/>
      <c r="V299" s="55">
        <f>M299-U299-Y299-AA299-AC299-AE299-AG299</f>
        <v>-2</v>
      </c>
      <c r="W299" s="15" t="s">
        <v>5251</v>
      </c>
      <c r="X299" s="19"/>
      <c r="Y299" s="19">
        <v>490.6</v>
      </c>
      <c r="Z299" s="18">
        <v>46072</v>
      </c>
    </row>
    <row r="300" spans="1:28" s="36" customFormat="1" ht="20.25" hidden="1" customHeight="1">
      <c r="A300" s="7">
        <v>46073</v>
      </c>
      <c r="B300" s="19" t="s">
        <v>5320</v>
      </c>
      <c r="C300" s="19" t="s">
        <v>267</v>
      </c>
      <c r="D300" s="19" t="s">
        <v>212</v>
      </c>
      <c r="E300" s="19" t="s">
        <v>62</v>
      </c>
      <c r="F300" s="19" t="s">
        <v>5297</v>
      </c>
      <c r="G300" s="19" t="s">
        <v>71</v>
      </c>
      <c r="H300" s="19" t="s">
        <v>31</v>
      </c>
      <c r="I300" s="1"/>
      <c r="J300" s="1" t="s">
        <v>27</v>
      </c>
      <c r="K300" s="19" t="s">
        <v>5323</v>
      </c>
      <c r="L300" s="1" t="s">
        <v>35</v>
      </c>
      <c r="M300" s="20">
        <v>150</v>
      </c>
      <c r="N300" s="25">
        <v>0.67</v>
      </c>
      <c r="O300" s="19" t="s">
        <v>67</v>
      </c>
      <c r="P300" s="19"/>
      <c r="Q300" s="19"/>
      <c r="R300" s="19"/>
      <c r="S300" s="45" t="s">
        <v>5324</v>
      </c>
      <c r="T300" s="8">
        <v>46077</v>
      </c>
      <c r="U300" s="19"/>
      <c r="V300" s="55">
        <f>M300-U300-Y300-AA300-AC300-AE300-AG300</f>
        <v>-0.5</v>
      </c>
      <c r="W300" s="15" t="s">
        <v>5325</v>
      </c>
      <c r="X300" s="19"/>
      <c r="Y300" s="10">
        <v>75.900000000000006</v>
      </c>
      <c r="Z300" s="18">
        <v>46073</v>
      </c>
      <c r="AA300" s="19">
        <f>40+20.3+14.3</f>
        <v>74.599999999999994</v>
      </c>
      <c r="AB300" s="123">
        <v>46083</v>
      </c>
    </row>
    <row r="301" spans="1:28" s="28" customFormat="1" ht="20.25" hidden="1" customHeight="1">
      <c r="A301" s="11">
        <v>46073</v>
      </c>
      <c r="B301" s="16" t="s">
        <v>5321</v>
      </c>
      <c r="C301" s="16" t="s">
        <v>304</v>
      </c>
      <c r="D301" s="16" t="s">
        <v>212</v>
      </c>
      <c r="E301" s="16" t="s">
        <v>62</v>
      </c>
      <c r="F301" s="16" t="s">
        <v>5322</v>
      </c>
      <c r="G301" s="16" t="s">
        <v>71</v>
      </c>
      <c r="H301" s="16" t="s">
        <v>31</v>
      </c>
      <c r="I301" s="1"/>
      <c r="J301" s="1" t="s">
        <v>27</v>
      </c>
      <c r="K301" s="16" t="s">
        <v>5150</v>
      </c>
      <c r="L301" s="1" t="s">
        <v>35</v>
      </c>
      <c r="M301" s="17">
        <v>170</v>
      </c>
      <c r="N301" s="23">
        <v>1.33</v>
      </c>
      <c r="O301" s="16" t="s">
        <v>67</v>
      </c>
      <c r="P301" s="16"/>
      <c r="Q301" s="16"/>
      <c r="R301" s="16"/>
      <c r="S301" s="12" t="s">
        <v>5038</v>
      </c>
      <c r="T301" s="13">
        <v>46087</v>
      </c>
      <c r="U301" s="19"/>
      <c r="V301" s="53">
        <f>M301-U301-Y301-AA301-AC301-AE301-AG301</f>
        <v>-9.9999999999994316E-2</v>
      </c>
      <c r="W301" s="22" t="s">
        <v>5326</v>
      </c>
      <c r="X301" s="16"/>
      <c r="Y301" s="19">
        <v>170.1</v>
      </c>
      <c r="Z301" s="14">
        <v>46091</v>
      </c>
    </row>
    <row r="302" spans="1:28" s="28" customFormat="1" ht="20.25" hidden="1" customHeight="1">
      <c r="A302" s="11">
        <v>46076</v>
      </c>
      <c r="B302" s="16" t="s">
        <v>5335</v>
      </c>
      <c r="C302" s="16" t="s">
        <v>304</v>
      </c>
      <c r="D302" s="16" t="s">
        <v>212</v>
      </c>
      <c r="E302" s="16" t="s">
        <v>62</v>
      </c>
      <c r="F302" s="16" t="s">
        <v>5341</v>
      </c>
      <c r="G302" s="16" t="s">
        <v>71</v>
      </c>
      <c r="H302" s="16" t="s">
        <v>31</v>
      </c>
      <c r="I302" s="1"/>
      <c r="J302" s="1" t="s">
        <v>27</v>
      </c>
      <c r="K302" s="16" t="s">
        <v>1796</v>
      </c>
      <c r="L302" s="1" t="s">
        <v>35</v>
      </c>
      <c r="M302" s="17">
        <v>40</v>
      </c>
      <c r="N302" s="23">
        <v>1.33</v>
      </c>
      <c r="O302" s="16" t="s">
        <v>67</v>
      </c>
      <c r="P302" s="16" t="s">
        <v>63</v>
      </c>
      <c r="Q302" s="16" t="s">
        <v>29</v>
      </c>
      <c r="R302" s="16" t="s">
        <v>29</v>
      </c>
      <c r="S302" s="12" t="s">
        <v>5038</v>
      </c>
      <c r="T302" s="13">
        <v>46087</v>
      </c>
      <c r="U302" s="19"/>
      <c r="V302" s="53">
        <f>M302-U302-Y302-AA302-AC302-AE302-AG302</f>
        <v>-2.2000000000000028</v>
      </c>
      <c r="W302" s="22" t="s">
        <v>5348</v>
      </c>
      <c r="X302" s="16"/>
      <c r="Y302" s="19">
        <v>42.2</v>
      </c>
      <c r="Z302" s="14">
        <v>46091</v>
      </c>
    </row>
    <row r="303" spans="1:28" s="28" customFormat="1" ht="20.25" hidden="1" customHeight="1">
      <c r="A303" s="11">
        <v>46076</v>
      </c>
      <c r="B303" s="16" t="s">
        <v>5336</v>
      </c>
      <c r="C303" s="16" t="s">
        <v>228</v>
      </c>
      <c r="D303" s="16" t="s">
        <v>212</v>
      </c>
      <c r="E303" s="16" t="s">
        <v>62</v>
      </c>
      <c r="F303" s="16" t="s">
        <v>5342</v>
      </c>
      <c r="G303" s="16" t="s">
        <v>71</v>
      </c>
      <c r="H303" s="16" t="s">
        <v>31</v>
      </c>
      <c r="I303" s="1"/>
      <c r="J303" s="1" t="s">
        <v>27</v>
      </c>
      <c r="K303" s="16" t="s">
        <v>255</v>
      </c>
      <c r="L303" s="1" t="s">
        <v>35</v>
      </c>
      <c r="M303" s="17">
        <v>50</v>
      </c>
      <c r="N303" s="23">
        <v>1.33</v>
      </c>
      <c r="O303" s="16" t="s">
        <v>67</v>
      </c>
      <c r="P303" s="16" t="s">
        <v>63</v>
      </c>
      <c r="Q303" s="16" t="s">
        <v>29</v>
      </c>
      <c r="R303" s="16" t="s">
        <v>29</v>
      </c>
      <c r="S303" s="12" t="s">
        <v>5270</v>
      </c>
      <c r="T303" s="13">
        <v>46090</v>
      </c>
      <c r="U303" s="19"/>
      <c r="V303" s="53">
        <f>M303-U303-Y303-AA303-AC303-AE303-AG303</f>
        <v>-9.7000000000000028</v>
      </c>
      <c r="W303" s="22" t="s">
        <v>5349</v>
      </c>
      <c r="X303" s="16">
        <v>1</v>
      </c>
      <c r="Y303" s="19">
        <v>59.7</v>
      </c>
      <c r="Z303" s="14">
        <v>46083</v>
      </c>
    </row>
    <row r="304" spans="1:28" s="28" customFormat="1" ht="20.25" hidden="1" customHeight="1">
      <c r="A304" s="11">
        <v>46076</v>
      </c>
      <c r="B304" s="16" t="s">
        <v>5337</v>
      </c>
      <c r="C304" s="16" t="s">
        <v>228</v>
      </c>
      <c r="D304" s="16" t="s">
        <v>212</v>
      </c>
      <c r="E304" s="16" t="s">
        <v>62</v>
      </c>
      <c r="F304" s="16" t="s">
        <v>5343</v>
      </c>
      <c r="G304" s="16" t="s">
        <v>71</v>
      </c>
      <c r="H304" s="16" t="s">
        <v>31</v>
      </c>
      <c r="I304" s="1"/>
      <c r="J304" s="1" t="s">
        <v>27</v>
      </c>
      <c r="K304" s="16" t="s">
        <v>218</v>
      </c>
      <c r="L304" s="1" t="s">
        <v>35</v>
      </c>
      <c r="M304" s="17">
        <v>220</v>
      </c>
      <c r="N304" s="23">
        <v>1.33</v>
      </c>
      <c r="O304" s="16" t="s">
        <v>67</v>
      </c>
      <c r="P304" s="16" t="s">
        <v>63</v>
      </c>
      <c r="Q304" s="16" t="s">
        <v>29</v>
      </c>
      <c r="R304" s="16" t="s">
        <v>29</v>
      </c>
      <c r="S304" s="12" t="s">
        <v>5270</v>
      </c>
      <c r="T304" s="13">
        <v>46090</v>
      </c>
      <c r="U304" s="19"/>
      <c r="V304" s="53">
        <f>M304-U304-Y304-AA304-AC304-AE304-AG304</f>
        <v>-2.6999999999999886</v>
      </c>
      <c r="W304" s="22" t="s">
        <v>5350</v>
      </c>
      <c r="X304" s="16">
        <v>2</v>
      </c>
      <c r="Y304" s="19">
        <v>222.7</v>
      </c>
      <c r="Z304" s="14">
        <v>46083</v>
      </c>
    </row>
    <row r="305" spans="1:28" s="28" customFormat="1" ht="20.25" hidden="1" customHeight="1">
      <c r="A305" s="11">
        <v>46076</v>
      </c>
      <c r="B305" s="16" t="s">
        <v>5338</v>
      </c>
      <c r="C305" s="16" t="s">
        <v>228</v>
      </c>
      <c r="D305" s="16" t="s">
        <v>212</v>
      </c>
      <c r="E305" s="16" t="s">
        <v>62</v>
      </c>
      <c r="F305" s="16" t="s">
        <v>5344</v>
      </c>
      <c r="G305" s="16" t="s">
        <v>71</v>
      </c>
      <c r="H305" s="16" t="s">
        <v>31</v>
      </c>
      <c r="I305" s="1"/>
      <c r="J305" s="1" t="s">
        <v>27</v>
      </c>
      <c r="K305" s="16" t="s">
        <v>255</v>
      </c>
      <c r="L305" s="1" t="s">
        <v>35</v>
      </c>
      <c r="M305" s="17">
        <v>340</v>
      </c>
      <c r="N305" s="23">
        <v>1.33</v>
      </c>
      <c r="O305" s="16" t="s">
        <v>67</v>
      </c>
      <c r="P305" s="16" t="s">
        <v>63</v>
      </c>
      <c r="Q305" s="16" t="s">
        <v>29</v>
      </c>
      <c r="R305" s="16" t="s">
        <v>29</v>
      </c>
      <c r="S305" s="12" t="s">
        <v>5270</v>
      </c>
      <c r="T305" s="13">
        <v>46090</v>
      </c>
      <c r="U305" s="19"/>
      <c r="V305" s="53">
        <f>M305-U305-Y305-AA305-AC305-AE305-AG305</f>
        <v>0</v>
      </c>
      <c r="W305" s="22" t="s">
        <v>5351</v>
      </c>
      <c r="X305" s="16">
        <v>2</v>
      </c>
      <c r="Y305" s="19">
        <v>340</v>
      </c>
      <c r="Z305" s="14">
        <v>46083</v>
      </c>
    </row>
    <row r="306" spans="1:28" s="28" customFormat="1" ht="20.25" hidden="1" customHeight="1">
      <c r="A306" s="11">
        <v>46076</v>
      </c>
      <c r="B306" s="16" t="s">
        <v>5339</v>
      </c>
      <c r="C306" s="16" t="s">
        <v>290</v>
      </c>
      <c r="D306" s="16" t="s">
        <v>212</v>
      </c>
      <c r="E306" s="16" t="s">
        <v>62</v>
      </c>
      <c r="F306" s="16" t="s">
        <v>5345</v>
      </c>
      <c r="G306" s="16" t="s">
        <v>71</v>
      </c>
      <c r="H306" s="16" t="s">
        <v>31</v>
      </c>
      <c r="I306" s="1"/>
      <c r="J306" s="1" t="s">
        <v>27</v>
      </c>
      <c r="K306" s="16" t="s">
        <v>4495</v>
      </c>
      <c r="L306" s="1" t="s">
        <v>35</v>
      </c>
      <c r="M306" s="17">
        <v>30</v>
      </c>
      <c r="N306" s="23">
        <v>1.33</v>
      </c>
      <c r="O306" s="16" t="s">
        <v>67</v>
      </c>
      <c r="P306" s="16" t="s">
        <v>63</v>
      </c>
      <c r="Q306" s="16" t="s">
        <v>5347</v>
      </c>
      <c r="R306" s="16" t="s">
        <v>29</v>
      </c>
      <c r="S306" s="12" t="s">
        <v>5270</v>
      </c>
      <c r="T306" s="13">
        <v>46090</v>
      </c>
      <c r="U306" s="19"/>
      <c r="V306" s="53">
        <f>M306-U306-Y306-AA306-AC306-AE306-AG306</f>
        <v>-0.60000000000000142</v>
      </c>
      <c r="W306" s="22" t="s">
        <v>5352</v>
      </c>
      <c r="X306" s="16" t="s">
        <v>5553</v>
      </c>
      <c r="Y306" s="19">
        <v>30.6</v>
      </c>
      <c r="Z306" s="14">
        <v>46091</v>
      </c>
    </row>
    <row r="307" spans="1:28" s="28" customFormat="1" ht="20.25" hidden="1" customHeight="1">
      <c r="A307" s="11">
        <v>46076</v>
      </c>
      <c r="B307" s="16" t="s">
        <v>5340</v>
      </c>
      <c r="C307" s="16" t="s">
        <v>290</v>
      </c>
      <c r="D307" s="16" t="s">
        <v>212</v>
      </c>
      <c r="E307" s="16" t="s">
        <v>62</v>
      </c>
      <c r="F307" s="16" t="s">
        <v>5346</v>
      </c>
      <c r="G307" s="16" t="s">
        <v>71</v>
      </c>
      <c r="H307" s="16" t="s">
        <v>31</v>
      </c>
      <c r="I307" s="1"/>
      <c r="J307" s="1" t="s">
        <v>27</v>
      </c>
      <c r="K307" s="16" t="s">
        <v>239</v>
      </c>
      <c r="L307" s="1" t="s">
        <v>35</v>
      </c>
      <c r="M307" s="17">
        <v>580</v>
      </c>
      <c r="N307" s="23">
        <v>1.33</v>
      </c>
      <c r="O307" s="16" t="s">
        <v>67</v>
      </c>
      <c r="P307" s="16" t="s">
        <v>63</v>
      </c>
      <c r="Q307" s="16" t="s">
        <v>29</v>
      </c>
      <c r="R307" s="16" t="s">
        <v>29</v>
      </c>
      <c r="S307" s="12" t="s">
        <v>5270</v>
      </c>
      <c r="T307" s="13">
        <v>46090</v>
      </c>
      <c r="U307" s="19"/>
      <c r="V307" s="53">
        <f>M307-U307-Y307-AA307-AC307-AE307-AG307</f>
        <v>-0.5</v>
      </c>
      <c r="W307" s="22" t="s">
        <v>5353</v>
      </c>
      <c r="X307" s="16"/>
      <c r="Y307" s="19">
        <v>580.5</v>
      </c>
      <c r="Z307" s="14">
        <v>46091</v>
      </c>
    </row>
    <row r="308" spans="1:28" s="28" customFormat="1" ht="20.25" hidden="1" customHeight="1">
      <c r="A308" s="11">
        <v>46077</v>
      </c>
      <c r="B308" s="16" t="s">
        <v>5378</v>
      </c>
      <c r="C308" s="16" t="s">
        <v>290</v>
      </c>
      <c r="D308" s="16" t="s">
        <v>212</v>
      </c>
      <c r="E308" s="16" t="s">
        <v>62</v>
      </c>
      <c r="F308" s="16" t="s">
        <v>5387</v>
      </c>
      <c r="G308" s="16" t="s">
        <v>71</v>
      </c>
      <c r="H308" s="16" t="s">
        <v>31</v>
      </c>
      <c r="I308" s="1"/>
      <c r="J308" s="1" t="s">
        <v>27</v>
      </c>
      <c r="K308" s="16" t="s">
        <v>683</v>
      </c>
      <c r="L308" s="1" t="s">
        <v>35</v>
      </c>
      <c r="M308" s="17">
        <v>75</v>
      </c>
      <c r="N308" s="23">
        <v>1.33</v>
      </c>
      <c r="O308" s="16" t="s">
        <v>67</v>
      </c>
      <c r="P308" s="16" t="s">
        <v>63</v>
      </c>
      <c r="Q308" s="16" t="s">
        <v>29</v>
      </c>
      <c r="R308" s="16" t="s">
        <v>29</v>
      </c>
      <c r="S308" s="12" t="s">
        <v>5369</v>
      </c>
      <c r="T308" s="13">
        <v>46091</v>
      </c>
      <c r="U308" s="19"/>
      <c r="V308" s="53">
        <f>M308-U308-Y308-AA308-AC308-AE308-AG308</f>
        <v>-9.9999999999994316E-2</v>
      </c>
      <c r="W308" s="22" t="s">
        <v>5395</v>
      </c>
      <c r="X308" s="16"/>
      <c r="Y308" s="19">
        <v>75.099999999999994</v>
      </c>
      <c r="Z308" s="14">
        <v>46083</v>
      </c>
    </row>
    <row r="309" spans="1:28" s="28" customFormat="1" ht="20.25" hidden="1" customHeight="1">
      <c r="A309" s="11">
        <v>46077</v>
      </c>
      <c r="B309" s="16" t="s">
        <v>5379</v>
      </c>
      <c r="C309" s="16" t="s">
        <v>267</v>
      </c>
      <c r="D309" s="16" t="s">
        <v>212</v>
      </c>
      <c r="E309" s="16" t="s">
        <v>62</v>
      </c>
      <c r="F309" s="16" t="s">
        <v>4912</v>
      </c>
      <c r="G309" s="16" t="s">
        <v>71</v>
      </c>
      <c r="H309" s="16" t="s">
        <v>26</v>
      </c>
      <c r="I309" s="1"/>
      <c r="J309" s="1" t="s">
        <v>27</v>
      </c>
      <c r="K309" s="16" t="s">
        <v>1082</v>
      </c>
      <c r="L309" s="1" t="s">
        <v>35</v>
      </c>
      <c r="M309" s="17">
        <v>360</v>
      </c>
      <c r="N309" s="23">
        <v>1.33</v>
      </c>
      <c r="O309" s="16" t="s">
        <v>67</v>
      </c>
      <c r="P309" s="16" t="s">
        <v>63</v>
      </c>
      <c r="Q309" s="16" t="s">
        <v>29</v>
      </c>
      <c r="R309" s="16" t="s">
        <v>29</v>
      </c>
      <c r="S309" s="12" t="s">
        <v>5369</v>
      </c>
      <c r="T309" s="13">
        <v>46091</v>
      </c>
      <c r="U309" s="19"/>
      <c r="V309" s="53">
        <f>M309-U309-Y309-AA309-AC309-AE309-AG309</f>
        <v>-3.4999999999999787</v>
      </c>
      <c r="W309" s="22" t="s">
        <v>5396</v>
      </c>
      <c r="X309" s="16" t="s">
        <v>5467</v>
      </c>
      <c r="Y309" s="19">
        <v>306.89999999999998</v>
      </c>
      <c r="Z309" s="14">
        <v>46091</v>
      </c>
      <c r="AA309" s="19">
        <v>56.6</v>
      </c>
      <c r="AB309" s="252">
        <v>46093</v>
      </c>
    </row>
    <row r="310" spans="1:28" s="28" customFormat="1" ht="20.25" hidden="1" customHeight="1">
      <c r="A310" s="11">
        <v>46077</v>
      </c>
      <c r="B310" s="16" t="s">
        <v>5380</v>
      </c>
      <c r="C310" s="16" t="s">
        <v>267</v>
      </c>
      <c r="D310" s="16" t="s">
        <v>212</v>
      </c>
      <c r="E310" s="16" t="s">
        <v>62</v>
      </c>
      <c r="F310" s="16" t="s">
        <v>5388</v>
      </c>
      <c r="G310" s="16" t="s">
        <v>71</v>
      </c>
      <c r="H310" s="16" t="s">
        <v>26</v>
      </c>
      <c r="I310" s="16"/>
      <c r="J310" s="16" t="s">
        <v>27</v>
      </c>
      <c r="K310" s="16" t="s">
        <v>1093</v>
      </c>
      <c r="L310" s="16" t="s">
        <v>35</v>
      </c>
      <c r="M310" s="17">
        <f>25-9.6</f>
        <v>15.4</v>
      </c>
      <c r="N310" s="23">
        <v>1.33</v>
      </c>
      <c r="O310" s="16" t="s">
        <v>67</v>
      </c>
      <c r="P310" s="16" t="s">
        <v>63</v>
      </c>
      <c r="Q310" s="16" t="s">
        <v>29</v>
      </c>
      <c r="R310" s="16" t="s">
        <v>29</v>
      </c>
      <c r="S310" s="12" t="s">
        <v>5369</v>
      </c>
      <c r="T310" s="13">
        <v>46091</v>
      </c>
      <c r="U310" s="19"/>
      <c r="V310" s="53">
        <f>M310-U310-Y310-AA310-AC310-AE310-AG310</f>
        <v>0</v>
      </c>
      <c r="W310" s="22" t="s">
        <v>5397</v>
      </c>
      <c r="X310" s="16"/>
      <c r="Y310" s="19">
        <v>15.4</v>
      </c>
      <c r="Z310" s="14">
        <v>46111</v>
      </c>
    </row>
    <row r="311" spans="1:28" s="28" customFormat="1" ht="20.25" hidden="1" customHeight="1">
      <c r="A311" s="11">
        <v>46077</v>
      </c>
      <c r="B311" s="16" t="s">
        <v>5381</v>
      </c>
      <c r="C311" s="16" t="s">
        <v>304</v>
      </c>
      <c r="D311" s="16" t="s">
        <v>212</v>
      </c>
      <c r="E311" s="16" t="s">
        <v>62</v>
      </c>
      <c r="F311" s="16" t="s">
        <v>5389</v>
      </c>
      <c r="G311" s="16" t="s">
        <v>71</v>
      </c>
      <c r="H311" s="16" t="s">
        <v>31</v>
      </c>
      <c r="I311" s="1"/>
      <c r="J311" s="1" t="s">
        <v>27</v>
      </c>
      <c r="K311" s="16" t="s">
        <v>5394</v>
      </c>
      <c r="L311" s="1" t="s">
        <v>35</v>
      </c>
      <c r="M311" s="17">
        <v>200</v>
      </c>
      <c r="N311" s="23">
        <v>1.33</v>
      </c>
      <c r="O311" s="16" t="s">
        <v>67</v>
      </c>
      <c r="P311" s="16" t="s">
        <v>63</v>
      </c>
      <c r="Q311" s="16" t="s">
        <v>29</v>
      </c>
      <c r="R311" s="16" t="s">
        <v>29</v>
      </c>
      <c r="S311" s="12" t="s">
        <v>5369</v>
      </c>
      <c r="T311" s="13">
        <v>46091</v>
      </c>
      <c r="U311" s="19"/>
      <c r="V311" s="53">
        <f>M311-U311-Y311-AA311-AC311-AE311-AG311</f>
        <v>-1.8000000000000114</v>
      </c>
      <c r="W311" s="22" t="s">
        <v>5398</v>
      </c>
      <c r="X311" s="16"/>
      <c r="Y311" s="19">
        <v>201.8</v>
      </c>
      <c r="Z311" s="14">
        <v>46091</v>
      </c>
    </row>
    <row r="312" spans="1:28" s="28" customFormat="1" ht="20.25" hidden="1" customHeight="1">
      <c r="A312" s="11">
        <v>46077</v>
      </c>
      <c r="B312" s="16" t="s">
        <v>5382</v>
      </c>
      <c r="C312" s="16" t="s">
        <v>228</v>
      </c>
      <c r="D312" s="16" t="s">
        <v>212</v>
      </c>
      <c r="E312" s="16" t="s">
        <v>62</v>
      </c>
      <c r="F312" s="16" t="s">
        <v>5390</v>
      </c>
      <c r="G312" s="16" t="s">
        <v>71</v>
      </c>
      <c r="H312" s="16" t="s">
        <v>31</v>
      </c>
      <c r="I312" s="1"/>
      <c r="J312" s="1" t="s">
        <v>27</v>
      </c>
      <c r="K312" s="16" t="s">
        <v>1116</v>
      </c>
      <c r="L312" s="1" t="s">
        <v>35</v>
      </c>
      <c r="M312" s="17">
        <v>700</v>
      </c>
      <c r="N312" s="23">
        <v>1.33</v>
      </c>
      <c r="O312" s="16" t="s">
        <v>67</v>
      </c>
      <c r="P312" s="16" t="s">
        <v>63</v>
      </c>
      <c r="Q312" s="16" t="s">
        <v>29</v>
      </c>
      <c r="R312" s="16" t="s">
        <v>29</v>
      </c>
      <c r="S312" s="12" t="s">
        <v>5369</v>
      </c>
      <c r="T312" s="13">
        <v>46091</v>
      </c>
      <c r="U312" s="19"/>
      <c r="V312" s="53">
        <f>M312-U312-Y312-AA312-AC312-AE312-AG312</f>
        <v>-1.5</v>
      </c>
      <c r="W312" s="22" t="s">
        <v>5399</v>
      </c>
      <c r="X312" s="16">
        <v>5</v>
      </c>
      <c r="Y312" s="19">
        <v>701.5</v>
      </c>
      <c r="Z312" s="14">
        <v>46083</v>
      </c>
    </row>
    <row r="313" spans="1:28" s="28" customFormat="1" ht="20.25" hidden="1" customHeight="1">
      <c r="A313" s="11">
        <v>46077</v>
      </c>
      <c r="B313" s="16" t="s">
        <v>5383</v>
      </c>
      <c r="C313" s="16" t="s">
        <v>228</v>
      </c>
      <c r="D313" s="16" t="s">
        <v>212</v>
      </c>
      <c r="E313" s="16" t="s">
        <v>62</v>
      </c>
      <c r="F313" s="16" t="s">
        <v>5391</v>
      </c>
      <c r="G313" s="16" t="s">
        <v>71</v>
      </c>
      <c r="H313" s="16" t="s">
        <v>31</v>
      </c>
      <c r="I313" s="1"/>
      <c r="J313" s="1" t="s">
        <v>27</v>
      </c>
      <c r="K313" s="16" t="s">
        <v>1116</v>
      </c>
      <c r="L313" s="1" t="s">
        <v>35</v>
      </c>
      <c r="M313" s="17">
        <v>20</v>
      </c>
      <c r="N313" s="23">
        <v>1.33</v>
      </c>
      <c r="O313" s="16" t="s">
        <v>67</v>
      </c>
      <c r="P313" s="16" t="s">
        <v>63</v>
      </c>
      <c r="Q313" s="16" t="s">
        <v>29</v>
      </c>
      <c r="R313" s="16" t="s">
        <v>29</v>
      </c>
      <c r="S313" s="12" t="s">
        <v>5369</v>
      </c>
      <c r="T313" s="13">
        <v>46091</v>
      </c>
      <c r="U313" s="19"/>
      <c r="V313" s="53">
        <f>M313-U313-Y313-AA313-AC313-AE313-AG313</f>
        <v>-2</v>
      </c>
      <c r="W313" s="22" t="s">
        <v>5400</v>
      </c>
      <c r="X313" s="16">
        <v>1</v>
      </c>
      <c r="Y313" s="19">
        <v>22</v>
      </c>
      <c r="Z313" s="14">
        <v>46083</v>
      </c>
    </row>
    <row r="314" spans="1:28" s="28" customFormat="1" ht="20.25" hidden="1" customHeight="1">
      <c r="A314" s="11">
        <v>46077</v>
      </c>
      <c r="B314" s="16" t="s">
        <v>5384</v>
      </c>
      <c r="C314" s="16" t="s">
        <v>382</v>
      </c>
      <c r="D314" s="16" t="s">
        <v>212</v>
      </c>
      <c r="E314" s="16" t="s">
        <v>62</v>
      </c>
      <c r="F314" s="16" t="s">
        <v>5244</v>
      </c>
      <c r="G314" s="16" t="s">
        <v>71</v>
      </c>
      <c r="H314" s="16" t="s">
        <v>31</v>
      </c>
      <c r="I314" s="16"/>
      <c r="J314" s="16" t="s">
        <v>27</v>
      </c>
      <c r="K314" s="16" t="s">
        <v>913</v>
      </c>
      <c r="L314" s="16" t="s">
        <v>35</v>
      </c>
      <c r="M314" s="17">
        <v>2070</v>
      </c>
      <c r="N314" s="23">
        <v>1.33</v>
      </c>
      <c r="O314" s="16" t="s">
        <v>67</v>
      </c>
      <c r="P314" s="16" t="s">
        <v>63</v>
      </c>
      <c r="Q314" s="16" t="s">
        <v>29</v>
      </c>
      <c r="R314" s="16" t="s">
        <v>29</v>
      </c>
      <c r="S314" s="12" t="s">
        <v>5369</v>
      </c>
      <c r="T314" s="13">
        <v>46091</v>
      </c>
      <c r="U314" s="19"/>
      <c r="V314" s="53">
        <f>M314-U314-Y314-AA314-AC314-AE314-AG314</f>
        <v>0</v>
      </c>
      <c r="W314" s="22" t="s">
        <v>5401</v>
      </c>
      <c r="X314" s="16"/>
      <c r="Y314" s="19">
        <f>318.2+1751.8</f>
        <v>2070</v>
      </c>
      <c r="Z314" s="14">
        <v>46078</v>
      </c>
    </row>
    <row r="315" spans="1:28" s="28" customFormat="1" ht="20.25" hidden="1" customHeight="1">
      <c r="A315" s="11">
        <v>46077</v>
      </c>
      <c r="B315" s="16" t="s">
        <v>5385</v>
      </c>
      <c r="C315" s="16" t="s">
        <v>382</v>
      </c>
      <c r="D315" s="16" t="s">
        <v>212</v>
      </c>
      <c r="E315" s="16" t="s">
        <v>62</v>
      </c>
      <c r="F315" s="16" t="s">
        <v>5392</v>
      </c>
      <c r="G315" s="16" t="s">
        <v>71</v>
      </c>
      <c r="H315" s="16" t="s">
        <v>31</v>
      </c>
      <c r="I315" s="16"/>
      <c r="J315" s="16" t="s">
        <v>27</v>
      </c>
      <c r="K315" s="16" t="s">
        <v>913</v>
      </c>
      <c r="L315" s="16" t="s">
        <v>35</v>
      </c>
      <c r="M315" s="17">
        <v>300</v>
      </c>
      <c r="N315" s="23">
        <v>1.33</v>
      </c>
      <c r="O315" s="16" t="s">
        <v>67</v>
      </c>
      <c r="P315" s="16" t="s">
        <v>63</v>
      </c>
      <c r="Q315" s="16" t="s">
        <v>29</v>
      </c>
      <c r="R315" s="16" t="s">
        <v>29</v>
      </c>
      <c r="S315" s="12" t="s">
        <v>5369</v>
      </c>
      <c r="T315" s="13">
        <v>46091</v>
      </c>
      <c r="U315" s="19"/>
      <c r="V315" s="53">
        <f>M315-U315-Y315-AA315-AC315-AE315-AG315</f>
        <v>-5.3000000000000114</v>
      </c>
      <c r="W315" s="22" t="s">
        <v>5402</v>
      </c>
      <c r="X315" s="16"/>
      <c r="Y315" s="19">
        <v>305.3</v>
      </c>
      <c r="Z315" s="14">
        <v>46078</v>
      </c>
    </row>
    <row r="316" spans="1:28" s="36" customFormat="1" ht="20.25" hidden="1" customHeight="1">
      <c r="A316" s="7">
        <v>46077</v>
      </c>
      <c r="B316" s="19" t="s">
        <v>5386</v>
      </c>
      <c r="C316" s="19" t="s">
        <v>267</v>
      </c>
      <c r="D316" s="19" t="s">
        <v>212</v>
      </c>
      <c r="E316" s="19" t="s">
        <v>62</v>
      </c>
      <c r="F316" s="19" t="s">
        <v>5393</v>
      </c>
      <c r="G316" s="19" t="s">
        <v>71</v>
      </c>
      <c r="H316" s="19" t="s">
        <v>31</v>
      </c>
      <c r="I316" s="1"/>
      <c r="J316" s="1" t="s">
        <v>27</v>
      </c>
      <c r="K316" s="19" t="s">
        <v>4961</v>
      </c>
      <c r="L316" s="1" t="s">
        <v>35</v>
      </c>
      <c r="M316" s="20">
        <v>90</v>
      </c>
      <c r="N316" s="25">
        <v>1.33</v>
      </c>
      <c r="O316" s="19" t="s">
        <v>67</v>
      </c>
      <c r="P316" s="19" t="s">
        <v>63</v>
      </c>
      <c r="Q316" s="19" t="s">
        <v>29</v>
      </c>
      <c r="R316" s="19" t="s">
        <v>29</v>
      </c>
      <c r="S316" s="45" t="s">
        <v>5369</v>
      </c>
      <c r="T316" s="8">
        <v>46091</v>
      </c>
      <c r="U316" s="19"/>
      <c r="V316" s="55">
        <f>M316-U316-Y316-AA316-AC316-AE316-AG316</f>
        <v>0</v>
      </c>
      <c r="W316" s="15" t="s">
        <v>5403</v>
      </c>
      <c r="X316" s="19"/>
      <c r="Y316" s="19">
        <v>90</v>
      </c>
      <c r="Z316" s="18">
        <v>46083</v>
      </c>
    </row>
    <row r="317" spans="1:28" s="28" customFormat="1" ht="20.25" hidden="1" customHeight="1">
      <c r="A317" s="11">
        <v>46078</v>
      </c>
      <c r="B317" s="16" t="s">
        <v>5413</v>
      </c>
      <c r="C317" s="16" t="s">
        <v>400</v>
      </c>
      <c r="D317" s="16" t="s">
        <v>212</v>
      </c>
      <c r="E317" s="16" t="s">
        <v>62</v>
      </c>
      <c r="F317" s="16" t="s">
        <v>5414</v>
      </c>
      <c r="G317" s="16" t="s">
        <v>71</v>
      </c>
      <c r="H317" s="16" t="s">
        <v>31</v>
      </c>
      <c r="I317" s="1"/>
      <c r="J317" s="1" t="s">
        <v>27</v>
      </c>
      <c r="K317" s="16" t="s">
        <v>3646</v>
      </c>
      <c r="L317" s="1" t="s">
        <v>35</v>
      </c>
      <c r="M317" s="17">
        <v>600</v>
      </c>
      <c r="N317" s="23">
        <v>1.33</v>
      </c>
      <c r="O317" s="16" t="s">
        <v>67</v>
      </c>
      <c r="P317" s="16"/>
      <c r="Q317" s="16"/>
      <c r="R317" s="16"/>
      <c r="S317" s="12" t="s">
        <v>5415</v>
      </c>
      <c r="T317" s="13">
        <v>46084</v>
      </c>
      <c r="U317" s="19"/>
      <c r="V317" s="53">
        <f>M317-U317-Y317-AA317-AC317-AE317-AG317</f>
        <v>-0.30000000000006821</v>
      </c>
      <c r="W317" s="22" t="s">
        <v>5416</v>
      </c>
      <c r="X317" s="16"/>
      <c r="Y317" s="19">
        <f>488.1+112.2</f>
        <v>600.30000000000007</v>
      </c>
      <c r="Z317" s="14">
        <v>46091</v>
      </c>
    </row>
    <row r="318" spans="1:28" s="28" customFormat="1" ht="20.25" hidden="1" customHeight="1">
      <c r="A318" s="11">
        <v>46078</v>
      </c>
      <c r="B318" s="16" t="s">
        <v>5413</v>
      </c>
      <c r="C318" s="16" t="s">
        <v>400</v>
      </c>
      <c r="D318" s="16" t="s">
        <v>212</v>
      </c>
      <c r="E318" s="16" t="s">
        <v>62</v>
      </c>
      <c r="F318" s="16" t="s">
        <v>5414</v>
      </c>
      <c r="G318" s="16" t="s">
        <v>71</v>
      </c>
      <c r="H318" s="16" t="s">
        <v>31</v>
      </c>
      <c r="I318" s="16"/>
      <c r="J318" s="16" t="s">
        <v>27</v>
      </c>
      <c r="K318" s="16" t="s">
        <v>913</v>
      </c>
      <c r="L318" s="16" t="s">
        <v>35</v>
      </c>
      <c r="M318" s="17">
        <v>980</v>
      </c>
      <c r="N318" s="23">
        <v>1.33</v>
      </c>
      <c r="O318" s="16" t="s">
        <v>67</v>
      </c>
      <c r="P318" s="16"/>
      <c r="Q318" s="16"/>
      <c r="R318" s="16"/>
      <c r="S318" s="12" t="s">
        <v>5227</v>
      </c>
      <c r="T318" s="13">
        <v>46085</v>
      </c>
      <c r="U318" s="19"/>
      <c r="V318" s="53">
        <f>M318-U318-Y318-AA318-AC318-AE318-AG318</f>
        <v>-0.39999999999997726</v>
      </c>
      <c r="W318" s="22" t="s">
        <v>5417</v>
      </c>
      <c r="X318" s="16"/>
      <c r="Y318" s="19">
        <v>980.4</v>
      </c>
      <c r="Z318" s="14">
        <v>46084</v>
      </c>
    </row>
    <row r="319" spans="1:28" s="28" customFormat="1" ht="20.25" hidden="1" customHeight="1">
      <c r="A319" s="11">
        <v>46078</v>
      </c>
      <c r="B319" s="16" t="s">
        <v>5418</v>
      </c>
      <c r="C319" s="16" t="s">
        <v>267</v>
      </c>
      <c r="D319" s="16" t="s">
        <v>212</v>
      </c>
      <c r="E319" s="16" t="s">
        <v>62</v>
      </c>
      <c r="F319" s="16" t="s">
        <v>5419</v>
      </c>
      <c r="G319" s="16" t="s">
        <v>71</v>
      </c>
      <c r="H319" s="16" t="s">
        <v>31</v>
      </c>
      <c r="I319" s="1"/>
      <c r="J319" s="1" t="s">
        <v>27</v>
      </c>
      <c r="K319" s="16" t="s">
        <v>4961</v>
      </c>
      <c r="L319" s="1" t="s">
        <v>35</v>
      </c>
      <c r="M319" s="17">
        <v>500</v>
      </c>
      <c r="N319" s="23">
        <v>1.33</v>
      </c>
      <c r="O319" s="16" t="s">
        <v>67</v>
      </c>
      <c r="P319" s="16"/>
      <c r="Q319" s="16"/>
      <c r="R319" s="16"/>
      <c r="S319" s="12" t="s">
        <v>5406</v>
      </c>
      <c r="T319" s="13">
        <v>46092</v>
      </c>
      <c r="U319" s="19"/>
      <c r="V319" s="53">
        <f>M319-U319-Y319-AA319-AC319-AE319-AG319</f>
        <v>-3.4999999999999858</v>
      </c>
      <c r="W319" s="22" t="s">
        <v>5420</v>
      </c>
      <c r="X319" s="16"/>
      <c r="Y319" s="19">
        <v>407.7</v>
      </c>
      <c r="Z319" s="14">
        <v>46083</v>
      </c>
      <c r="AA319" s="19">
        <v>95.8</v>
      </c>
      <c r="AB319" s="252">
        <v>46091</v>
      </c>
    </row>
    <row r="320" spans="1:28" s="28" customFormat="1" ht="20.25" hidden="1" customHeight="1">
      <c r="A320" s="11">
        <v>46083</v>
      </c>
      <c r="B320" s="16" t="s">
        <v>5475</v>
      </c>
      <c r="C320" s="16" t="s">
        <v>267</v>
      </c>
      <c r="D320" s="16" t="s">
        <v>212</v>
      </c>
      <c r="E320" s="16" t="s">
        <v>62</v>
      </c>
      <c r="F320" s="16" t="s">
        <v>5477</v>
      </c>
      <c r="G320" s="16" t="s">
        <v>71</v>
      </c>
      <c r="H320" s="16" t="s">
        <v>26</v>
      </c>
      <c r="I320" s="1"/>
      <c r="J320" s="1" t="s">
        <v>27</v>
      </c>
      <c r="K320" s="16" t="s">
        <v>683</v>
      </c>
      <c r="L320" s="1" t="s">
        <v>35</v>
      </c>
      <c r="M320" s="17">
        <v>900</v>
      </c>
      <c r="N320" s="23">
        <v>1.33</v>
      </c>
      <c r="O320" s="16" t="s">
        <v>67</v>
      </c>
      <c r="P320" s="16"/>
      <c r="Q320" s="16"/>
      <c r="R320" s="16"/>
      <c r="S320" s="12" t="s">
        <v>5438</v>
      </c>
      <c r="T320" s="13">
        <v>46111</v>
      </c>
      <c r="U320" s="19"/>
      <c r="V320" s="53">
        <f>M320-U320-Y320-AA320-AC320-AE320-AG320</f>
        <v>-0.10000000000002274</v>
      </c>
      <c r="W320" s="22" t="s">
        <v>5481</v>
      </c>
      <c r="X320" s="16"/>
      <c r="Y320" s="19">
        <v>900.1</v>
      </c>
      <c r="Z320" s="14">
        <v>46091</v>
      </c>
    </row>
    <row r="321" spans="1:28" s="28" customFormat="1" ht="20.25" hidden="1" customHeight="1">
      <c r="A321" s="11">
        <v>46083</v>
      </c>
      <c r="B321" s="16" t="s">
        <v>5476</v>
      </c>
      <c r="C321" s="16" t="s">
        <v>304</v>
      </c>
      <c r="D321" s="16" t="s">
        <v>212</v>
      </c>
      <c r="E321" s="16" t="s">
        <v>62</v>
      </c>
      <c r="F321" s="16" t="s">
        <v>5478</v>
      </c>
      <c r="G321" s="16" t="s">
        <v>71</v>
      </c>
      <c r="H321" s="16" t="s">
        <v>31</v>
      </c>
      <c r="I321" s="1"/>
      <c r="J321" s="1" t="s">
        <v>27</v>
      </c>
      <c r="K321" s="16" t="s">
        <v>5479</v>
      </c>
      <c r="L321" s="1" t="s">
        <v>35</v>
      </c>
      <c r="M321" s="17">
        <v>220</v>
      </c>
      <c r="N321" s="23">
        <v>1.33</v>
      </c>
      <c r="O321" s="16" t="s">
        <v>67</v>
      </c>
      <c r="P321" s="16"/>
      <c r="Q321" s="16"/>
      <c r="R321" s="16"/>
      <c r="S321" s="12" t="s">
        <v>5480</v>
      </c>
      <c r="T321" s="13">
        <v>46097</v>
      </c>
      <c r="U321" s="19"/>
      <c r="V321" s="53">
        <f>M321-U321-Y321-AA321-AC321-AE321-AG321</f>
        <v>-3.5999999999999943</v>
      </c>
      <c r="W321" s="22" t="s">
        <v>5482</v>
      </c>
      <c r="X321" s="16"/>
      <c r="Y321" s="19">
        <v>223.6</v>
      </c>
      <c r="Z321" s="14">
        <v>46091</v>
      </c>
    </row>
    <row r="322" spans="1:28" s="28" customFormat="1" ht="20.25" hidden="1" customHeight="1">
      <c r="A322" s="11">
        <v>46084</v>
      </c>
      <c r="B322" s="16" t="s">
        <v>5490</v>
      </c>
      <c r="C322" s="16" t="s">
        <v>304</v>
      </c>
      <c r="D322" s="16" t="s">
        <v>212</v>
      </c>
      <c r="E322" s="16" t="s">
        <v>62</v>
      </c>
      <c r="F322" s="16" t="s">
        <v>5491</v>
      </c>
      <c r="G322" s="16" t="s">
        <v>71</v>
      </c>
      <c r="H322" s="16" t="s">
        <v>31</v>
      </c>
      <c r="I322" s="1"/>
      <c r="J322" s="1" t="s">
        <v>27</v>
      </c>
      <c r="K322" s="16" t="s">
        <v>588</v>
      </c>
      <c r="L322" s="1" t="s">
        <v>35</v>
      </c>
      <c r="M322" s="17">
        <v>20</v>
      </c>
      <c r="N322" s="23">
        <v>1.33</v>
      </c>
      <c r="O322" s="16" t="s">
        <v>67</v>
      </c>
      <c r="P322" s="16"/>
      <c r="Q322" s="16"/>
      <c r="R322" s="16"/>
      <c r="S322" s="12" t="s">
        <v>5492</v>
      </c>
      <c r="T322" s="13">
        <v>46098</v>
      </c>
      <c r="U322" s="19"/>
      <c r="V322" s="53">
        <f>M322-U322-Y322-AA322-AC322-AE322-AG322</f>
        <v>-0.30000000000000071</v>
      </c>
      <c r="W322" s="22" t="s">
        <v>5493</v>
      </c>
      <c r="X322" s="16"/>
      <c r="Y322" s="19">
        <v>20.3</v>
      </c>
      <c r="Z322" s="14">
        <v>46091</v>
      </c>
    </row>
    <row r="323" spans="1:28" s="28" customFormat="1" ht="20.25" hidden="1" customHeight="1">
      <c r="A323" s="11">
        <v>46084</v>
      </c>
      <c r="B323" s="16" t="s">
        <v>5494</v>
      </c>
      <c r="C323" s="16" t="s">
        <v>267</v>
      </c>
      <c r="D323" s="16" t="s">
        <v>212</v>
      </c>
      <c r="E323" s="16" t="s">
        <v>62</v>
      </c>
      <c r="F323" s="16" t="s">
        <v>5495</v>
      </c>
      <c r="G323" s="16" t="s">
        <v>71</v>
      </c>
      <c r="H323" s="16" t="s">
        <v>31</v>
      </c>
      <c r="I323" s="1"/>
      <c r="J323" s="1" t="s">
        <v>27</v>
      </c>
      <c r="K323" s="16" t="s">
        <v>588</v>
      </c>
      <c r="L323" s="1" t="s">
        <v>35</v>
      </c>
      <c r="M323" s="17">
        <v>50</v>
      </c>
      <c r="N323" s="23">
        <v>1.33</v>
      </c>
      <c r="O323" s="16" t="s">
        <v>67</v>
      </c>
      <c r="P323" s="16"/>
      <c r="Q323" s="16"/>
      <c r="R323" s="16"/>
      <c r="S323" s="12" t="s">
        <v>5438</v>
      </c>
      <c r="T323" s="13">
        <v>46111</v>
      </c>
      <c r="U323" s="19"/>
      <c r="V323" s="53">
        <f>M323-U323-Y323-AA323-AC323-AE323-AG323</f>
        <v>-0.79999999999999716</v>
      </c>
      <c r="W323" s="22" t="s">
        <v>5496</v>
      </c>
      <c r="X323" s="16"/>
      <c r="Y323" s="19">
        <v>50.8</v>
      </c>
      <c r="Z323" s="14">
        <v>46091</v>
      </c>
    </row>
    <row r="324" spans="1:28" s="28" customFormat="1" ht="20.25" hidden="1" customHeight="1">
      <c r="A324" s="11">
        <v>46086</v>
      </c>
      <c r="B324" s="16" t="s">
        <v>5531</v>
      </c>
      <c r="C324" s="16" t="s">
        <v>304</v>
      </c>
      <c r="D324" s="16" t="s">
        <v>212</v>
      </c>
      <c r="E324" s="16" t="s">
        <v>62</v>
      </c>
      <c r="F324" s="16" t="s">
        <v>5478</v>
      </c>
      <c r="G324" s="16" t="s">
        <v>71</v>
      </c>
      <c r="H324" s="16" t="s">
        <v>31</v>
      </c>
      <c r="I324" s="1"/>
      <c r="J324" s="1" t="s">
        <v>27</v>
      </c>
      <c r="K324" s="16" t="s">
        <v>5535</v>
      </c>
      <c r="L324" s="1" t="s">
        <v>35</v>
      </c>
      <c r="M324" s="17">
        <v>250</v>
      </c>
      <c r="N324" s="23">
        <v>1.33</v>
      </c>
      <c r="O324" s="16" t="s">
        <v>67</v>
      </c>
      <c r="P324" s="16" t="s">
        <v>63</v>
      </c>
      <c r="Q324" s="16" t="s">
        <v>29</v>
      </c>
      <c r="R324" s="16" t="s">
        <v>29</v>
      </c>
      <c r="S324" s="12" t="s">
        <v>5438</v>
      </c>
      <c r="T324" s="13">
        <v>46111</v>
      </c>
      <c r="U324" s="107"/>
      <c r="V324" s="53">
        <f>M324-U324-Y324-AA324-AC324-AE324-AG324</f>
        <v>-15.600000000000023</v>
      </c>
      <c r="W324" s="22" t="s">
        <v>5536</v>
      </c>
      <c r="X324" s="16"/>
      <c r="Y324" s="107">
        <v>265.60000000000002</v>
      </c>
      <c r="Z324" s="14">
        <v>46111</v>
      </c>
    </row>
    <row r="325" spans="1:28" s="28" customFormat="1" ht="20.25" hidden="1" customHeight="1">
      <c r="A325" s="11">
        <v>46086</v>
      </c>
      <c r="B325" s="16" t="s">
        <v>5532</v>
      </c>
      <c r="C325" s="16" t="s">
        <v>304</v>
      </c>
      <c r="D325" s="16" t="s">
        <v>212</v>
      </c>
      <c r="E325" s="16" t="s">
        <v>62</v>
      </c>
      <c r="F325" s="16" t="s">
        <v>5491</v>
      </c>
      <c r="G325" s="16" t="s">
        <v>71</v>
      </c>
      <c r="H325" s="16" t="s">
        <v>31</v>
      </c>
      <c r="I325" s="1"/>
      <c r="J325" s="1" t="s">
        <v>27</v>
      </c>
      <c r="K325" s="16" t="s">
        <v>537</v>
      </c>
      <c r="L325" s="1" t="s">
        <v>35</v>
      </c>
      <c r="M325" s="17">
        <v>23</v>
      </c>
      <c r="N325" s="23">
        <v>1.33</v>
      </c>
      <c r="O325" s="16" t="s">
        <v>67</v>
      </c>
      <c r="P325" s="16" t="s">
        <v>63</v>
      </c>
      <c r="Q325" s="16" t="s">
        <v>29</v>
      </c>
      <c r="R325" s="16" t="s">
        <v>29</v>
      </c>
      <c r="S325" s="12" t="s">
        <v>5438</v>
      </c>
      <c r="T325" s="13">
        <v>46111</v>
      </c>
      <c r="U325" s="19"/>
      <c r="V325" s="53">
        <f>M325-U325-Y325-AA325-AC325-AE325-AG325</f>
        <v>-0.5</v>
      </c>
      <c r="W325" s="22" t="s">
        <v>5537</v>
      </c>
      <c r="X325" s="16"/>
      <c r="Y325" s="19">
        <v>23.5</v>
      </c>
      <c r="Z325" s="14">
        <v>46111</v>
      </c>
    </row>
    <row r="326" spans="1:28" s="28" customFormat="1" ht="20.25" hidden="1" customHeight="1">
      <c r="A326" s="11">
        <v>46086</v>
      </c>
      <c r="B326" s="16" t="s">
        <v>5533</v>
      </c>
      <c r="C326" s="16" t="s">
        <v>304</v>
      </c>
      <c r="D326" s="16" t="s">
        <v>212</v>
      </c>
      <c r="E326" s="16" t="s">
        <v>62</v>
      </c>
      <c r="F326" s="16" t="s">
        <v>5534</v>
      </c>
      <c r="G326" s="16" t="s">
        <v>71</v>
      </c>
      <c r="H326" s="16" t="s">
        <v>31</v>
      </c>
      <c r="I326" s="1"/>
      <c r="J326" s="1" t="s">
        <v>27</v>
      </c>
      <c r="K326" s="16" t="s">
        <v>332</v>
      </c>
      <c r="L326" s="1" t="s">
        <v>35</v>
      </c>
      <c r="M326" s="17">
        <v>140</v>
      </c>
      <c r="N326" s="23">
        <v>1.33</v>
      </c>
      <c r="O326" s="16" t="s">
        <v>67</v>
      </c>
      <c r="P326" s="16" t="s">
        <v>63</v>
      </c>
      <c r="Q326" s="16" t="s">
        <v>29</v>
      </c>
      <c r="R326" s="16" t="s">
        <v>29</v>
      </c>
      <c r="S326" s="12" t="s">
        <v>5005</v>
      </c>
      <c r="T326" s="13">
        <v>46093</v>
      </c>
      <c r="U326" s="19"/>
      <c r="V326" s="53">
        <f>M326-U326-Y326-AA326-AC326-AE326-AG326</f>
        <v>-1.1999999999999886</v>
      </c>
      <c r="W326" s="22" t="s">
        <v>5538</v>
      </c>
      <c r="X326" s="16"/>
      <c r="Y326" s="19">
        <v>141.19999999999999</v>
      </c>
      <c r="Z326" s="14">
        <v>46091</v>
      </c>
    </row>
    <row r="327" spans="1:28" s="28" customFormat="1" ht="20.25" hidden="1" customHeight="1">
      <c r="A327" s="11">
        <v>46087</v>
      </c>
      <c r="B327" s="16" t="s">
        <v>5546</v>
      </c>
      <c r="C327" s="16" t="s">
        <v>267</v>
      </c>
      <c r="D327" s="16" t="s">
        <v>212</v>
      </c>
      <c r="E327" s="16" t="s">
        <v>62</v>
      </c>
      <c r="F327" s="16" t="s">
        <v>5548</v>
      </c>
      <c r="G327" s="16" t="s">
        <v>71</v>
      </c>
      <c r="H327" s="16" t="s">
        <v>26</v>
      </c>
      <c r="I327" s="1"/>
      <c r="J327" s="1" t="s">
        <v>27</v>
      </c>
      <c r="K327" s="16" t="s">
        <v>683</v>
      </c>
      <c r="L327" s="1" t="s">
        <v>35</v>
      </c>
      <c r="M327" s="17">
        <v>700</v>
      </c>
      <c r="N327" s="23">
        <v>1.33</v>
      </c>
      <c r="O327" s="16" t="s">
        <v>67</v>
      </c>
      <c r="P327" s="16" t="s">
        <v>63</v>
      </c>
      <c r="Q327" s="16" t="s">
        <v>29</v>
      </c>
      <c r="R327" s="16" t="s">
        <v>29</v>
      </c>
      <c r="S327" s="12" t="s">
        <v>5550</v>
      </c>
      <c r="T327" s="13">
        <v>46118</v>
      </c>
      <c r="U327" s="315"/>
      <c r="V327" s="53">
        <f>M327-U327-Y327-AA327-AC327-AE327-AG327</f>
        <v>-1</v>
      </c>
      <c r="W327" s="22" t="s">
        <v>5551</v>
      </c>
      <c r="X327" s="16"/>
      <c r="Y327" s="315">
        <v>701</v>
      </c>
      <c r="Z327" s="14">
        <v>46091</v>
      </c>
    </row>
    <row r="328" spans="1:28" s="28" customFormat="1" ht="20.25" hidden="1" customHeight="1">
      <c r="A328" s="11">
        <v>46087</v>
      </c>
      <c r="B328" s="16" t="s">
        <v>5547</v>
      </c>
      <c r="C328" s="16" t="s">
        <v>304</v>
      </c>
      <c r="D328" s="16" t="s">
        <v>212</v>
      </c>
      <c r="E328" s="16" t="s">
        <v>62</v>
      </c>
      <c r="F328" s="16" t="s">
        <v>5549</v>
      </c>
      <c r="G328" s="16" t="s">
        <v>71</v>
      </c>
      <c r="H328" s="16" t="s">
        <v>31</v>
      </c>
      <c r="I328" s="1"/>
      <c r="J328" s="1" t="s">
        <v>27</v>
      </c>
      <c r="K328" s="16" t="s">
        <v>340</v>
      </c>
      <c r="L328" s="1" t="s">
        <v>35</v>
      </c>
      <c r="M328" s="17">
        <v>130</v>
      </c>
      <c r="N328" s="23">
        <v>1.33</v>
      </c>
      <c r="O328" s="16" t="s">
        <v>67</v>
      </c>
      <c r="P328" s="16" t="s">
        <v>63</v>
      </c>
      <c r="Q328" s="16" t="s">
        <v>29</v>
      </c>
      <c r="R328" s="16" t="s">
        <v>29</v>
      </c>
      <c r="S328" s="12" t="s">
        <v>5543</v>
      </c>
      <c r="T328" s="13">
        <v>46114</v>
      </c>
      <c r="U328" s="19"/>
      <c r="V328" s="55">
        <f>M328-U328-Y328-AA328-AC328-AE328-AG328</f>
        <v>-2.1000000000000085</v>
      </c>
      <c r="W328" s="22" t="s">
        <v>5552</v>
      </c>
      <c r="X328" s="16"/>
      <c r="Y328" s="19">
        <v>39.4</v>
      </c>
      <c r="Z328" s="14">
        <v>46091</v>
      </c>
      <c r="AA328" s="19">
        <v>92.7</v>
      </c>
      <c r="AB328" s="252">
        <v>46111</v>
      </c>
    </row>
    <row r="329" spans="1:28" s="28" customFormat="1" ht="20.25" hidden="1" customHeight="1">
      <c r="A329" s="11">
        <v>46092</v>
      </c>
      <c r="B329" s="16" t="s">
        <v>5583</v>
      </c>
      <c r="C329" s="16" t="s">
        <v>304</v>
      </c>
      <c r="D329" s="16" t="s">
        <v>212</v>
      </c>
      <c r="E329" s="16" t="s">
        <v>62</v>
      </c>
      <c r="F329" s="16" t="s">
        <v>5587</v>
      </c>
      <c r="G329" s="16" t="s">
        <v>71</v>
      </c>
      <c r="H329" s="16" t="s">
        <v>31</v>
      </c>
      <c r="I329" s="16"/>
      <c r="J329" s="16" t="s">
        <v>27</v>
      </c>
      <c r="K329" s="16" t="s">
        <v>2123</v>
      </c>
      <c r="L329" s="16" t="s">
        <v>35</v>
      </c>
      <c r="M329" s="17">
        <v>200</v>
      </c>
      <c r="N329" s="23">
        <v>1.33</v>
      </c>
      <c r="O329" s="16" t="s">
        <v>67</v>
      </c>
      <c r="P329" s="16"/>
      <c r="Q329" s="16"/>
      <c r="R329" s="16"/>
      <c r="S329" s="12" t="s">
        <v>5576</v>
      </c>
      <c r="T329" s="13">
        <v>46113</v>
      </c>
      <c r="U329" s="19"/>
      <c r="V329" s="53">
        <f>M329-U329-Y329-AA329-AC329-AE329-AG329</f>
        <v>-6.2000000000000028</v>
      </c>
      <c r="W329" s="22" t="s">
        <v>5591</v>
      </c>
      <c r="X329" s="16"/>
      <c r="Y329" s="107">
        <f>75.2+15.6</f>
        <v>90.8</v>
      </c>
      <c r="Z329" s="14">
        <v>46111</v>
      </c>
      <c r="AA329" s="19">
        <f>52.2+34+29.2</f>
        <v>115.4</v>
      </c>
      <c r="AB329" s="252">
        <v>46125</v>
      </c>
    </row>
    <row r="330" spans="1:28" s="28" customFormat="1" ht="20.25" hidden="1" customHeight="1">
      <c r="A330" s="11">
        <v>46092</v>
      </c>
      <c r="B330" s="16" t="s">
        <v>5584</v>
      </c>
      <c r="C330" s="16" t="s">
        <v>400</v>
      </c>
      <c r="D330" s="16" t="s">
        <v>212</v>
      </c>
      <c r="E330" s="16" t="s">
        <v>62</v>
      </c>
      <c r="F330" s="16" t="s">
        <v>5588</v>
      </c>
      <c r="G330" s="16" t="s">
        <v>71</v>
      </c>
      <c r="H330" s="16" t="s">
        <v>31</v>
      </c>
      <c r="I330" s="16"/>
      <c r="J330" s="16" t="s">
        <v>27</v>
      </c>
      <c r="K330" s="16" t="s">
        <v>923</v>
      </c>
      <c r="L330" s="16" t="s">
        <v>35</v>
      </c>
      <c r="M330" s="17">
        <v>750</v>
      </c>
      <c r="N330" s="23">
        <v>1.33</v>
      </c>
      <c r="O330" s="16" t="s">
        <v>67</v>
      </c>
      <c r="P330" s="16"/>
      <c r="Q330" s="16"/>
      <c r="R330" s="16"/>
      <c r="S330" s="12" t="s">
        <v>5576</v>
      </c>
      <c r="T330" s="13">
        <v>46113</v>
      </c>
      <c r="U330" s="19"/>
      <c r="V330" s="53">
        <f>M330-U330-Y330-AA330-AC330-AE330-AG330</f>
        <v>-1.8999999999999773</v>
      </c>
      <c r="W330" s="22" t="s">
        <v>5592</v>
      </c>
      <c r="X330" s="16"/>
      <c r="Y330" s="19">
        <v>318.89999999999998</v>
      </c>
      <c r="Z330" s="14">
        <v>46118</v>
      </c>
      <c r="AA330" s="19">
        <v>433</v>
      </c>
      <c r="AB330" s="252">
        <v>46127</v>
      </c>
    </row>
    <row r="331" spans="1:28" s="28" customFormat="1" ht="20.25" hidden="1" customHeight="1">
      <c r="A331" s="11">
        <v>46092</v>
      </c>
      <c r="B331" s="16" t="s">
        <v>5585</v>
      </c>
      <c r="C331" s="16" t="s">
        <v>400</v>
      </c>
      <c r="D331" s="16" t="s">
        <v>212</v>
      </c>
      <c r="E331" s="16" t="s">
        <v>62</v>
      </c>
      <c r="F331" s="16" t="s">
        <v>5589</v>
      </c>
      <c r="G331" s="16" t="s">
        <v>71</v>
      </c>
      <c r="H331" s="16" t="s">
        <v>31</v>
      </c>
      <c r="I331" s="1"/>
      <c r="J331" s="1" t="s">
        <v>27</v>
      </c>
      <c r="K331" s="16" t="s">
        <v>1458</v>
      </c>
      <c r="L331" s="1" t="s">
        <v>35</v>
      </c>
      <c r="M331" s="17">
        <v>1000</v>
      </c>
      <c r="N331" s="23">
        <v>1.33</v>
      </c>
      <c r="O331" s="16" t="s">
        <v>67</v>
      </c>
      <c r="P331" s="16"/>
      <c r="Q331" s="16"/>
      <c r="R331" s="16"/>
      <c r="S331" s="12" t="s">
        <v>5576</v>
      </c>
      <c r="T331" s="13">
        <v>46113</v>
      </c>
      <c r="U331" s="19"/>
      <c r="V331" s="53">
        <f>M331-U331-Y331-AA331-AC331-AE331-AG331</f>
        <v>-1</v>
      </c>
      <c r="W331" s="22" t="s">
        <v>5593</v>
      </c>
      <c r="X331" s="16"/>
      <c r="Y331" s="19">
        <v>1001</v>
      </c>
      <c r="Z331" s="14">
        <v>46111</v>
      </c>
    </row>
    <row r="332" spans="1:28" s="28" customFormat="1" ht="20.25" hidden="1" customHeight="1">
      <c r="A332" s="11">
        <v>46092</v>
      </c>
      <c r="B332" s="16" t="s">
        <v>5586</v>
      </c>
      <c r="C332" s="16" t="s">
        <v>400</v>
      </c>
      <c r="D332" s="16" t="s">
        <v>212</v>
      </c>
      <c r="E332" s="16" t="s">
        <v>62</v>
      </c>
      <c r="F332" s="16" t="s">
        <v>5590</v>
      </c>
      <c r="G332" s="16" t="s">
        <v>71</v>
      </c>
      <c r="H332" s="16" t="s">
        <v>31</v>
      </c>
      <c r="I332" s="1"/>
      <c r="J332" s="1" t="s">
        <v>27</v>
      </c>
      <c r="K332" s="16" t="s">
        <v>1601</v>
      </c>
      <c r="L332" s="1" t="s">
        <v>35</v>
      </c>
      <c r="M332" s="17">
        <f>315+120</f>
        <v>435</v>
      </c>
      <c r="N332" s="23">
        <v>1.33</v>
      </c>
      <c r="O332" s="16" t="s">
        <v>67</v>
      </c>
      <c r="P332" s="16"/>
      <c r="Q332" s="16"/>
      <c r="R332" s="16"/>
      <c r="S332" s="12" t="s">
        <v>5576</v>
      </c>
      <c r="T332" s="13">
        <v>46113</v>
      </c>
      <c r="U332" s="19"/>
      <c r="V332" s="53">
        <f>M332-U332-Y332-AA332-AC332-AE332-AG332</f>
        <v>-0.80000000000001137</v>
      </c>
      <c r="W332" s="22" t="s">
        <v>5594</v>
      </c>
      <c r="X332" s="16"/>
      <c r="Y332" s="19">
        <v>435.8</v>
      </c>
      <c r="Z332" s="14">
        <v>46121</v>
      </c>
    </row>
    <row r="333" spans="1:28" s="28" customFormat="1" ht="20.25" hidden="1" customHeight="1">
      <c r="A333" s="11">
        <v>46092</v>
      </c>
      <c r="B333" s="16" t="s">
        <v>5586</v>
      </c>
      <c r="C333" s="16" t="s">
        <v>400</v>
      </c>
      <c r="D333" s="16" t="s">
        <v>212</v>
      </c>
      <c r="E333" s="16" t="s">
        <v>62</v>
      </c>
      <c r="F333" s="16" t="s">
        <v>5590</v>
      </c>
      <c r="G333" s="16" t="s">
        <v>71</v>
      </c>
      <c r="H333" s="16" t="s">
        <v>31</v>
      </c>
      <c r="I333" s="1"/>
      <c r="J333" s="1" t="s">
        <v>27</v>
      </c>
      <c r="K333" s="16" t="s">
        <v>3207</v>
      </c>
      <c r="L333" s="1" t="s">
        <v>35</v>
      </c>
      <c r="M333" s="17">
        <v>109</v>
      </c>
      <c r="N333" s="23">
        <v>1.33</v>
      </c>
      <c r="O333" s="16" t="s">
        <v>67</v>
      </c>
      <c r="P333" s="16"/>
      <c r="Q333" s="16"/>
      <c r="R333" s="16"/>
      <c r="S333" s="12" t="s">
        <v>5576</v>
      </c>
      <c r="T333" s="13">
        <v>46113</v>
      </c>
      <c r="U333" s="19"/>
      <c r="V333" s="53">
        <f>M333-U333-Y333-AA333-AC333-AE333-AG333</f>
        <v>-9.9999999999994316E-2</v>
      </c>
      <c r="W333" s="22" t="s">
        <v>5595</v>
      </c>
      <c r="X333" s="16"/>
      <c r="Y333" s="19">
        <v>109.1</v>
      </c>
      <c r="Z333" s="14">
        <v>46121</v>
      </c>
    </row>
    <row r="334" spans="1:28" s="28" customFormat="1" ht="20.25" hidden="1" customHeight="1">
      <c r="A334" s="11">
        <v>46093</v>
      </c>
      <c r="B334" s="16" t="s">
        <v>5609</v>
      </c>
      <c r="C334" s="16" t="s">
        <v>267</v>
      </c>
      <c r="D334" s="16" t="s">
        <v>212</v>
      </c>
      <c r="E334" s="16" t="s">
        <v>62</v>
      </c>
      <c r="F334" s="16" t="s">
        <v>5610</v>
      </c>
      <c r="G334" s="16" t="s">
        <v>71</v>
      </c>
      <c r="H334" s="16" t="s">
        <v>31</v>
      </c>
      <c r="I334" s="1"/>
      <c r="J334" s="1" t="s">
        <v>27</v>
      </c>
      <c r="K334" s="16" t="s">
        <v>683</v>
      </c>
      <c r="L334" s="1" t="s">
        <v>35</v>
      </c>
      <c r="M334" s="17">
        <v>20</v>
      </c>
      <c r="N334" s="23">
        <v>1.33</v>
      </c>
      <c r="O334" s="16" t="s">
        <v>67</v>
      </c>
      <c r="P334" s="16"/>
      <c r="Q334" s="16"/>
      <c r="R334" s="16"/>
      <c r="S334" s="12" t="s">
        <v>5550</v>
      </c>
      <c r="T334" s="13">
        <v>46118</v>
      </c>
      <c r="U334" s="19"/>
      <c r="V334" s="53">
        <f>M334-U334-Y334-AA334-AC334-AE334-AG334</f>
        <v>-5.8000000000000007</v>
      </c>
      <c r="W334" s="22" t="s">
        <v>5611</v>
      </c>
      <c r="X334" s="16"/>
      <c r="Y334" s="19">
        <v>25.8</v>
      </c>
      <c r="Z334" s="14">
        <v>46111</v>
      </c>
    </row>
    <row r="335" spans="1:28" s="28" customFormat="1" ht="20.25" hidden="1" customHeight="1">
      <c r="A335" s="11">
        <v>46094</v>
      </c>
      <c r="B335" s="16" t="s">
        <v>5621</v>
      </c>
      <c r="C335" s="16" t="s">
        <v>304</v>
      </c>
      <c r="D335" s="16" t="s">
        <v>212</v>
      </c>
      <c r="E335" s="16" t="s">
        <v>62</v>
      </c>
      <c r="F335" s="16" t="s">
        <v>5622</v>
      </c>
      <c r="G335" s="16" t="s">
        <v>71</v>
      </c>
      <c r="H335" s="16" t="s">
        <v>31</v>
      </c>
      <c r="I335" s="1"/>
      <c r="J335" s="1" t="s">
        <v>27</v>
      </c>
      <c r="K335" s="16" t="s">
        <v>5623</v>
      </c>
      <c r="L335" s="1" t="s">
        <v>35</v>
      </c>
      <c r="M335" s="17">
        <v>80</v>
      </c>
      <c r="N335" s="23">
        <v>1.33</v>
      </c>
      <c r="O335" s="16" t="s">
        <v>67</v>
      </c>
      <c r="P335" s="16"/>
      <c r="Q335" s="16"/>
      <c r="R335" s="16"/>
      <c r="S335" s="12" t="s">
        <v>5576</v>
      </c>
      <c r="T335" s="13">
        <v>46113</v>
      </c>
      <c r="U335" s="19"/>
      <c r="V335" s="53">
        <f>M335-U335-Y335-AA335-AC335-AE335-AG335</f>
        <v>-0.29999999999999716</v>
      </c>
      <c r="W335" s="22" t="s">
        <v>5624</v>
      </c>
      <c r="X335" s="16"/>
      <c r="Y335" s="19">
        <v>80.3</v>
      </c>
      <c r="Z335" s="14">
        <v>46111</v>
      </c>
    </row>
    <row r="336" spans="1:28" s="28" customFormat="1" ht="20.25" hidden="1" customHeight="1">
      <c r="A336" s="11">
        <v>46111</v>
      </c>
      <c r="B336" s="16" t="s">
        <v>5757</v>
      </c>
      <c r="C336" s="16" t="s">
        <v>267</v>
      </c>
      <c r="D336" s="16" t="s">
        <v>212</v>
      </c>
      <c r="E336" s="16" t="s">
        <v>62</v>
      </c>
      <c r="F336" s="16" t="s">
        <v>5760</v>
      </c>
      <c r="G336" s="16" t="s">
        <v>71</v>
      </c>
      <c r="H336" s="16" t="s">
        <v>26</v>
      </c>
      <c r="I336" s="16"/>
      <c r="J336" s="16" t="s">
        <v>27</v>
      </c>
      <c r="K336" s="16" t="s">
        <v>588</v>
      </c>
      <c r="L336" s="16" t="s">
        <v>35</v>
      </c>
      <c r="M336" s="17">
        <v>20</v>
      </c>
      <c r="N336" s="23">
        <v>1.33</v>
      </c>
      <c r="O336" s="16" t="s">
        <v>67</v>
      </c>
      <c r="P336" s="16" t="s">
        <v>63</v>
      </c>
      <c r="Q336" s="16" t="s">
        <v>29</v>
      </c>
      <c r="R336" s="16" t="s">
        <v>29</v>
      </c>
      <c r="S336" s="12" t="s">
        <v>5717</v>
      </c>
      <c r="T336" s="13">
        <v>46126</v>
      </c>
      <c r="U336" s="19"/>
      <c r="V336" s="53">
        <f>M336-U336-Y336-AA336-AC336-AE336-AG336</f>
        <v>-2</v>
      </c>
      <c r="W336" s="22" t="s">
        <v>5763</v>
      </c>
      <c r="X336" s="16"/>
      <c r="Y336" s="19">
        <v>22</v>
      </c>
      <c r="Z336" s="14">
        <v>46125</v>
      </c>
    </row>
    <row r="337" spans="1:28" s="28" customFormat="1" ht="20.25" hidden="1" customHeight="1">
      <c r="A337" s="11">
        <v>46111</v>
      </c>
      <c r="B337" s="16" t="s">
        <v>5758</v>
      </c>
      <c r="C337" s="16" t="s">
        <v>304</v>
      </c>
      <c r="D337" s="16" t="s">
        <v>212</v>
      </c>
      <c r="E337" s="16" t="s">
        <v>62</v>
      </c>
      <c r="F337" s="16" t="s">
        <v>5761</v>
      </c>
      <c r="G337" s="16" t="s">
        <v>71</v>
      </c>
      <c r="H337" s="16" t="s">
        <v>31</v>
      </c>
      <c r="I337" s="1"/>
      <c r="J337" s="1" t="s">
        <v>27</v>
      </c>
      <c r="K337" s="16" t="s">
        <v>250</v>
      </c>
      <c r="L337" s="1" t="s">
        <v>35</v>
      </c>
      <c r="M337" s="17">
        <v>120</v>
      </c>
      <c r="N337" s="23">
        <v>1.33</v>
      </c>
      <c r="O337" s="16" t="s">
        <v>67</v>
      </c>
      <c r="P337" s="16" t="s">
        <v>63</v>
      </c>
      <c r="Q337" s="16" t="s">
        <v>29</v>
      </c>
      <c r="R337" s="16" t="s">
        <v>29</v>
      </c>
      <c r="S337" s="12" t="s">
        <v>5717</v>
      </c>
      <c r="T337" s="13">
        <v>46126</v>
      </c>
      <c r="U337" s="19"/>
      <c r="V337" s="53">
        <f>M337-U337-Y337-AA337-AC337-AE337-AG337</f>
        <v>-9.9999999999994316E-2</v>
      </c>
      <c r="W337" s="22" t="s">
        <v>5764</v>
      </c>
      <c r="X337" s="16"/>
      <c r="Y337" s="19">
        <v>120.1</v>
      </c>
      <c r="Z337" s="14">
        <v>46121</v>
      </c>
    </row>
    <row r="338" spans="1:28" s="28" customFormat="1" ht="20.25" hidden="1" customHeight="1">
      <c r="A338" s="11">
        <v>46111</v>
      </c>
      <c r="B338" s="16" t="s">
        <v>5759</v>
      </c>
      <c r="C338" s="16" t="s">
        <v>1568</v>
      </c>
      <c r="D338" s="16" t="s">
        <v>212</v>
      </c>
      <c r="E338" s="16" t="s">
        <v>62</v>
      </c>
      <c r="F338" s="16" t="s">
        <v>5762</v>
      </c>
      <c r="G338" s="16" t="s">
        <v>71</v>
      </c>
      <c r="H338" s="16" t="s">
        <v>26</v>
      </c>
      <c r="I338" s="16"/>
      <c r="J338" s="16" t="s">
        <v>27</v>
      </c>
      <c r="K338" s="16" t="s">
        <v>683</v>
      </c>
      <c r="L338" s="16" t="s">
        <v>35</v>
      </c>
      <c r="M338" s="17">
        <v>565</v>
      </c>
      <c r="N338" s="23">
        <v>1.33</v>
      </c>
      <c r="O338" s="16" t="s">
        <v>67</v>
      </c>
      <c r="P338" s="16" t="s">
        <v>63</v>
      </c>
      <c r="Q338" s="16" t="s">
        <v>29</v>
      </c>
      <c r="R338" s="16" t="s">
        <v>29</v>
      </c>
      <c r="S338" s="12" t="s">
        <v>5717</v>
      </c>
      <c r="T338" s="13">
        <v>46126</v>
      </c>
      <c r="U338" s="19"/>
      <c r="V338" s="53">
        <f>M338-U338-Y338-AA338-AC338-AE338-AG338</f>
        <v>-0.29999999999995453</v>
      </c>
      <c r="W338" s="22" t="s">
        <v>5765</v>
      </c>
      <c r="X338" s="16"/>
      <c r="Y338" s="19">
        <f>306.4+258.9</f>
        <v>565.29999999999995</v>
      </c>
      <c r="Z338" s="14">
        <v>46125</v>
      </c>
    </row>
    <row r="339" spans="1:28" s="28" customFormat="1" ht="20.25" hidden="1" customHeight="1">
      <c r="A339" s="11">
        <v>46111</v>
      </c>
      <c r="B339" s="16" t="s">
        <v>5759</v>
      </c>
      <c r="C339" s="16" t="s">
        <v>1568</v>
      </c>
      <c r="D339" s="16" t="s">
        <v>212</v>
      </c>
      <c r="E339" s="16" t="s">
        <v>62</v>
      </c>
      <c r="F339" s="16" t="s">
        <v>5762</v>
      </c>
      <c r="G339" s="16" t="s">
        <v>71</v>
      </c>
      <c r="H339" s="16" t="s">
        <v>26</v>
      </c>
      <c r="I339" s="16"/>
      <c r="J339" s="16" t="s">
        <v>27</v>
      </c>
      <c r="K339" s="16" t="s">
        <v>340</v>
      </c>
      <c r="L339" s="16" t="s">
        <v>35</v>
      </c>
      <c r="M339" s="17">
        <v>149</v>
      </c>
      <c r="N339" s="23">
        <v>1.33</v>
      </c>
      <c r="O339" s="16" t="s">
        <v>67</v>
      </c>
      <c r="P339" s="16" t="s">
        <v>63</v>
      </c>
      <c r="Q339" s="16" t="s">
        <v>29</v>
      </c>
      <c r="R339" s="16" t="s">
        <v>29</v>
      </c>
      <c r="S339" s="12" t="s">
        <v>5717</v>
      </c>
      <c r="T339" s="13">
        <v>46126</v>
      </c>
      <c r="U339" s="19"/>
      <c r="V339" s="53">
        <f>M339-U339-Y339-AA339-AC339-AE339-AG339</f>
        <v>-0.90000000000000568</v>
      </c>
      <c r="W339" s="22" t="s">
        <v>5766</v>
      </c>
      <c r="X339" s="16"/>
      <c r="Y339" s="19">
        <v>149.9</v>
      </c>
      <c r="Z339" s="14">
        <v>46125</v>
      </c>
    </row>
    <row r="340" spans="1:28" s="28" customFormat="1" ht="20.25" hidden="1" customHeight="1">
      <c r="A340" s="11">
        <v>46111</v>
      </c>
      <c r="B340" s="16" t="s">
        <v>5759</v>
      </c>
      <c r="C340" s="16" t="s">
        <v>1568</v>
      </c>
      <c r="D340" s="16" t="s">
        <v>212</v>
      </c>
      <c r="E340" s="16" t="s">
        <v>62</v>
      </c>
      <c r="F340" s="16" t="s">
        <v>5762</v>
      </c>
      <c r="G340" s="16" t="s">
        <v>71</v>
      </c>
      <c r="H340" s="16" t="s">
        <v>31</v>
      </c>
      <c r="I340" s="16"/>
      <c r="J340" s="16" t="s">
        <v>27</v>
      </c>
      <c r="K340" s="16" t="s">
        <v>372</v>
      </c>
      <c r="L340" s="16" t="s">
        <v>35</v>
      </c>
      <c r="M340" s="17">
        <v>97</v>
      </c>
      <c r="N340" s="23">
        <v>1.33</v>
      </c>
      <c r="O340" s="16" t="s">
        <v>67</v>
      </c>
      <c r="P340" s="16" t="s">
        <v>63</v>
      </c>
      <c r="Q340" s="16" t="s">
        <v>29</v>
      </c>
      <c r="R340" s="16" t="s">
        <v>29</v>
      </c>
      <c r="S340" s="12" t="s">
        <v>5717</v>
      </c>
      <c r="T340" s="13">
        <v>46126</v>
      </c>
      <c r="U340" s="19"/>
      <c r="V340" s="53">
        <f>M340-U340-Y340-AA340-AC340-AE340-AG340</f>
        <v>-0.59999999999999432</v>
      </c>
      <c r="W340" s="22" t="s">
        <v>5767</v>
      </c>
      <c r="X340" s="16"/>
      <c r="Y340" s="19">
        <v>97.6</v>
      </c>
      <c r="Z340" s="14">
        <v>46125</v>
      </c>
    </row>
    <row r="341" spans="1:28" s="28" customFormat="1" ht="20.25" hidden="1" customHeight="1">
      <c r="A341" s="11">
        <v>46111</v>
      </c>
      <c r="B341" s="16" t="s">
        <v>5759</v>
      </c>
      <c r="C341" s="16" t="s">
        <v>1568</v>
      </c>
      <c r="D341" s="16" t="s">
        <v>212</v>
      </c>
      <c r="E341" s="16" t="s">
        <v>62</v>
      </c>
      <c r="F341" s="16" t="s">
        <v>5762</v>
      </c>
      <c r="G341" s="16" t="s">
        <v>71</v>
      </c>
      <c r="H341" s="16" t="s">
        <v>26</v>
      </c>
      <c r="I341" s="1"/>
      <c r="J341" s="1" t="s">
        <v>27</v>
      </c>
      <c r="K341" s="16" t="s">
        <v>1012</v>
      </c>
      <c r="L341" s="1" t="s">
        <v>35</v>
      </c>
      <c r="M341" s="17">
        <v>1381</v>
      </c>
      <c r="N341" s="23">
        <v>1.33</v>
      </c>
      <c r="O341" s="16" t="s">
        <v>67</v>
      </c>
      <c r="P341" s="16" t="s">
        <v>63</v>
      </c>
      <c r="Q341" s="16" t="s">
        <v>29</v>
      </c>
      <c r="R341" s="16" t="s">
        <v>29</v>
      </c>
      <c r="S341" s="12" t="s">
        <v>5717</v>
      </c>
      <c r="T341" s="13">
        <v>46126</v>
      </c>
      <c r="U341" s="19"/>
      <c r="V341" s="53">
        <f>M341-U341-Y341-AA341-AC341-AE341-AG341</f>
        <v>-6.8000000000000895</v>
      </c>
      <c r="W341" s="22" t="s">
        <v>5768</v>
      </c>
      <c r="X341" s="16"/>
      <c r="Y341" s="19">
        <f>705.7+643.7</f>
        <v>1349.4</v>
      </c>
      <c r="Z341" s="14">
        <v>46132</v>
      </c>
      <c r="AA341" s="19">
        <v>38.4</v>
      </c>
      <c r="AB341" s="252">
        <v>46136</v>
      </c>
    </row>
    <row r="342" spans="1:28" s="28" customFormat="1" ht="20.25" hidden="1" customHeight="1">
      <c r="A342" s="11">
        <v>46112</v>
      </c>
      <c r="B342" s="16" t="s">
        <v>5779</v>
      </c>
      <c r="C342" s="16" t="s">
        <v>228</v>
      </c>
      <c r="D342" s="16" t="s">
        <v>212</v>
      </c>
      <c r="E342" s="16" t="s">
        <v>62</v>
      </c>
      <c r="F342" s="16" t="s">
        <v>5782</v>
      </c>
      <c r="G342" s="16" t="s">
        <v>71</v>
      </c>
      <c r="H342" s="16" t="s">
        <v>31</v>
      </c>
      <c r="I342" s="1"/>
      <c r="J342" s="1" t="s">
        <v>27</v>
      </c>
      <c r="K342" s="16" t="s">
        <v>5784</v>
      </c>
      <c r="L342" s="1" t="s">
        <v>35</v>
      </c>
      <c r="M342" s="17">
        <v>85</v>
      </c>
      <c r="N342" s="23">
        <v>1.33</v>
      </c>
      <c r="O342" s="16" t="s">
        <v>67</v>
      </c>
      <c r="P342" s="16" t="s">
        <v>63</v>
      </c>
      <c r="Q342" s="16" t="s">
        <v>29</v>
      </c>
      <c r="R342" s="16" t="s">
        <v>29</v>
      </c>
      <c r="S342" s="12" t="s">
        <v>5717</v>
      </c>
      <c r="T342" s="13">
        <v>46126</v>
      </c>
      <c r="U342" s="19"/>
      <c r="V342" s="53">
        <f>M342-U342-Y342-AA342-AC342-AE342-AG342</f>
        <v>-1.4000000000000057</v>
      </c>
      <c r="W342" s="22" t="s">
        <v>5785</v>
      </c>
      <c r="X342" s="16"/>
      <c r="Y342" s="19">
        <v>86.4</v>
      </c>
      <c r="Z342" s="14">
        <v>46128</v>
      </c>
    </row>
    <row r="343" spans="1:28" s="28" customFormat="1" ht="20.25" hidden="1" customHeight="1">
      <c r="A343" s="11">
        <v>46112</v>
      </c>
      <c r="B343" s="16" t="s">
        <v>5780</v>
      </c>
      <c r="C343" s="16" t="s">
        <v>228</v>
      </c>
      <c r="D343" s="16" t="s">
        <v>212</v>
      </c>
      <c r="E343" s="16" t="s">
        <v>62</v>
      </c>
      <c r="F343" s="16" t="s">
        <v>5783</v>
      </c>
      <c r="G343" s="16" t="s">
        <v>71</v>
      </c>
      <c r="H343" s="16" t="s">
        <v>31</v>
      </c>
      <c r="I343" s="1"/>
      <c r="J343" s="1" t="s">
        <v>27</v>
      </c>
      <c r="K343" s="16" t="s">
        <v>2653</v>
      </c>
      <c r="L343" s="1" t="s">
        <v>35</v>
      </c>
      <c r="M343" s="17">
        <v>140</v>
      </c>
      <c r="N343" s="23">
        <v>1.33</v>
      </c>
      <c r="O343" s="16" t="s">
        <v>67</v>
      </c>
      <c r="P343" s="16" t="s">
        <v>63</v>
      </c>
      <c r="Q343" s="16" t="s">
        <v>29</v>
      </c>
      <c r="R343" s="16" t="s">
        <v>29</v>
      </c>
      <c r="S343" s="12" t="s">
        <v>5717</v>
      </c>
      <c r="T343" s="13">
        <v>46126</v>
      </c>
      <c r="U343" s="19"/>
      <c r="V343" s="53">
        <f>M343-U343-Y343-AA343-AC343-AE343-AG343</f>
        <v>-1.4000000000000057</v>
      </c>
      <c r="W343" s="22" t="s">
        <v>5786</v>
      </c>
      <c r="X343" s="16"/>
      <c r="Y343" s="19">
        <v>141.4</v>
      </c>
      <c r="Z343" s="14">
        <v>46128</v>
      </c>
    </row>
    <row r="344" spans="1:28" s="28" customFormat="1" ht="20.25" hidden="1" customHeight="1">
      <c r="A344" s="11">
        <v>46112</v>
      </c>
      <c r="B344" s="16" t="s">
        <v>5781</v>
      </c>
      <c r="C344" s="16" t="s">
        <v>304</v>
      </c>
      <c r="D344" s="16" t="s">
        <v>212</v>
      </c>
      <c r="E344" s="16" t="s">
        <v>62</v>
      </c>
      <c r="F344" s="16" t="s">
        <v>5534</v>
      </c>
      <c r="G344" s="16" t="s">
        <v>71</v>
      </c>
      <c r="H344" s="16" t="s">
        <v>31</v>
      </c>
      <c r="I344" s="16"/>
      <c r="J344" s="16" t="s">
        <v>27</v>
      </c>
      <c r="K344" s="16" t="s">
        <v>340</v>
      </c>
      <c r="L344" s="16" t="s">
        <v>35</v>
      </c>
      <c r="M344" s="17">
        <v>220</v>
      </c>
      <c r="N344" s="23">
        <v>1.33</v>
      </c>
      <c r="O344" s="16" t="s">
        <v>67</v>
      </c>
      <c r="P344" s="16" t="s">
        <v>63</v>
      </c>
      <c r="Q344" s="16" t="s">
        <v>29</v>
      </c>
      <c r="R344" s="16" t="s">
        <v>29</v>
      </c>
      <c r="S344" s="12" t="s">
        <v>5717</v>
      </c>
      <c r="T344" s="13">
        <v>46126</v>
      </c>
      <c r="U344" s="19"/>
      <c r="V344" s="53">
        <f>M344-U344-Y344-AA344-AC344-AE344-AG344</f>
        <v>-3.9000000000000057</v>
      </c>
      <c r="W344" s="22" t="s">
        <v>5787</v>
      </c>
      <c r="X344" s="16"/>
      <c r="Y344" s="19">
        <v>223.9</v>
      </c>
      <c r="Z344" s="14">
        <v>46125</v>
      </c>
    </row>
    <row r="345" spans="1:28" s="28" customFormat="1" ht="20.25" hidden="1" customHeight="1">
      <c r="A345" s="11">
        <v>46114</v>
      </c>
      <c r="B345" s="16" t="s">
        <v>5887</v>
      </c>
      <c r="C345" s="16" t="s">
        <v>304</v>
      </c>
      <c r="D345" s="16" t="s">
        <v>212</v>
      </c>
      <c r="E345" s="16" t="s">
        <v>62</v>
      </c>
      <c r="F345" s="16" t="s">
        <v>5888</v>
      </c>
      <c r="G345" s="16" t="s">
        <v>71</v>
      </c>
      <c r="H345" s="16" t="s">
        <v>31</v>
      </c>
      <c r="I345" s="16"/>
      <c r="J345" s="16" t="s">
        <v>27</v>
      </c>
      <c r="K345" s="16" t="s">
        <v>5535</v>
      </c>
      <c r="L345" s="16" t="s">
        <v>35</v>
      </c>
      <c r="M345" s="17">
        <v>100</v>
      </c>
      <c r="N345" s="23">
        <v>1.33</v>
      </c>
      <c r="O345" s="16" t="s">
        <v>67</v>
      </c>
      <c r="P345" s="16" t="s">
        <v>63</v>
      </c>
      <c r="Q345" s="16" t="s">
        <v>29</v>
      </c>
      <c r="R345" s="16" t="s">
        <v>29</v>
      </c>
      <c r="S345" s="12" t="s">
        <v>5719</v>
      </c>
      <c r="T345" s="13">
        <v>46136</v>
      </c>
      <c r="U345" s="19"/>
      <c r="V345" s="53">
        <f>M345-U345-Y345-AA345-AC345-AE345-AG345</f>
        <v>-0.40000000000000568</v>
      </c>
      <c r="W345" s="22" t="s">
        <v>5889</v>
      </c>
      <c r="X345" s="16"/>
      <c r="Y345" s="19">
        <v>100.4</v>
      </c>
      <c r="Z345" s="14">
        <v>46125</v>
      </c>
    </row>
    <row r="346" spans="1:28" s="101" customFormat="1" ht="20.25" hidden="1" customHeight="1">
      <c r="A346" s="3">
        <v>46126</v>
      </c>
      <c r="B346" s="1" t="s">
        <v>5968</v>
      </c>
      <c r="C346" s="1" t="s">
        <v>382</v>
      </c>
      <c r="D346" s="1" t="s">
        <v>212</v>
      </c>
      <c r="E346" s="1" t="s">
        <v>62</v>
      </c>
      <c r="F346" s="1" t="s">
        <v>5970</v>
      </c>
      <c r="G346" s="1" t="s">
        <v>71</v>
      </c>
      <c r="H346" s="1" t="s">
        <v>26</v>
      </c>
      <c r="I346" s="1"/>
      <c r="J346" s="1" t="s">
        <v>27</v>
      </c>
      <c r="K346" s="1" t="s">
        <v>239</v>
      </c>
      <c r="L346" s="1" t="s">
        <v>35</v>
      </c>
      <c r="M346" s="2">
        <v>80</v>
      </c>
      <c r="N346" s="6">
        <v>1.33</v>
      </c>
      <c r="O346" s="1" t="s">
        <v>67</v>
      </c>
      <c r="P346" s="1" t="s">
        <v>63</v>
      </c>
      <c r="Q346" s="1" t="s">
        <v>29</v>
      </c>
      <c r="R346" s="1" t="s">
        <v>29</v>
      </c>
      <c r="S346" s="121" t="s">
        <v>294</v>
      </c>
      <c r="T346" s="5">
        <v>46140</v>
      </c>
      <c r="U346" s="63">
        <v>80.400000000000006</v>
      </c>
      <c r="V346" s="83">
        <f>M346-U346-Y346-AA346-AC346-AE346-AG346</f>
        <v>-0.40000000000000568</v>
      </c>
      <c r="W346" s="4" t="s">
        <v>5972</v>
      </c>
      <c r="X346" s="1"/>
      <c r="Y346" s="63"/>
      <c r="Z346" s="390"/>
    </row>
    <row r="347" spans="1:28" s="28" customFormat="1" ht="20.25" hidden="1" customHeight="1">
      <c r="A347" s="11">
        <v>46126</v>
      </c>
      <c r="B347" s="16" t="s">
        <v>5969</v>
      </c>
      <c r="C347" s="16" t="s">
        <v>304</v>
      </c>
      <c r="D347" s="16" t="s">
        <v>212</v>
      </c>
      <c r="E347" s="16" t="s">
        <v>62</v>
      </c>
      <c r="F347" s="16" t="s">
        <v>5971</v>
      </c>
      <c r="G347" s="16" t="s">
        <v>71</v>
      </c>
      <c r="H347" s="16" t="s">
        <v>31</v>
      </c>
      <c r="I347" s="1"/>
      <c r="J347" s="1" t="s">
        <v>27</v>
      </c>
      <c r="K347" s="16" t="s">
        <v>1667</v>
      </c>
      <c r="L347" s="1" t="s">
        <v>35</v>
      </c>
      <c r="M347" s="17">
        <v>20</v>
      </c>
      <c r="N347" s="23">
        <v>1.33</v>
      </c>
      <c r="O347" s="16" t="s">
        <v>67</v>
      </c>
      <c r="P347" s="16" t="s">
        <v>63</v>
      </c>
      <c r="Q347" s="16" t="s">
        <v>29</v>
      </c>
      <c r="R347" s="16" t="s">
        <v>29</v>
      </c>
      <c r="S347" s="12" t="s">
        <v>294</v>
      </c>
      <c r="T347" s="13">
        <v>46140</v>
      </c>
      <c r="U347" s="19"/>
      <c r="V347" s="53">
        <f>M347-U347-Y347-AA347-AC347-AE347-AG347</f>
        <v>-2.8999999999999986</v>
      </c>
      <c r="W347" s="22" t="s">
        <v>5973</v>
      </c>
      <c r="X347" s="16"/>
      <c r="Y347" s="19">
        <v>22.9</v>
      </c>
      <c r="Z347" s="14">
        <v>46135</v>
      </c>
    </row>
    <row r="348" spans="1:28" s="101" customFormat="1" ht="20.25" customHeight="1">
      <c r="A348" s="3">
        <v>46129</v>
      </c>
      <c r="B348" s="1" t="s">
        <v>6021</v>
      </c>
      <c r="C348" s="1" t="s">
        <v>382</v>
      </c>
      <c r="D348" s="1" t="s">
        <v>212</v>
      </c>
      <c r="E348" s="1" t="s">
        <v>62</v>
      </c>
      <c r="F348" s="1" t="s">
        <v>6023</v>
      </c>
      <c r="G348" s="1" t="s">
        <v>71</v>
      </c>
      <c r="H348" s="1" t="s">
        <v>31</v>
      </c>
      <c r="I348" s="1"/>
      <c r="J348" s="1" t="s">
        <v>27</v>
      </c>
      <c r="K348" s="1" t="s">
        <v>3684</v>
      </c>
      <c r="L348" s="1" t="s">
        <v>35</v>
      </c>
      <c r="M348" s="2">
        <v>1725.5</v>
      </c>
      <c r="N348" s="6">
        <v>1.33</v>
      </c>
      <c r="O348" s="1" t="s">
        <v>67</v>
      </c>
      <c r="P348" s="1"/>
      <c r="Q348" s="1"/>
      <c r="R348" s="1"/>
      <c r="S348" s="121" t="s">
        <v>270</v>
      </c>
      <c r="T348" s="5">
        <v>46142</v>
      </c>
      <c r="U348" s="388"/>
      <c r="V348" s="83">
        <f>M348-U348-Y348-AA348-AC348-AE348-AG348</f>
        <v>1725.5</v>
      </c>
      <c r="W348" s="4" t="s">
        <v>6025</v>
      </c>
      <c r="X348" s="1"/>
      <c r="Y348" s="63"/>
      <c r="Z348" s="390"/>
    </row>
    <row r="349" spans="1:28" s="101" customFormat="1" ht="20.25" hidden="1" customHeight="1">
      <c r="A349" s="3">
        <v>46129</v>
      </c>
      <c r="B349" s="1" t="s">
        <v>6022</v>
      </c>
      <c r="C349" s="1" t="s">
        <v>382</v>
      </c>
      <c r="D349" s="1" t="s">
        <v>212</v>
      </c>
      <c r="E349" s="1" t="s">
        <v>62</v>
      </c>
      <c r="F349" s="1" t="s">
        <v>6024</v>
      </c>
      <c r="G349" s="1" t="s">
        <v>71</v>
      </c>
      <c r="H349" s="1" t="s">
        <v>31</v>
      </c>
      <c r="I349" s="1"/>
      <c r="J349" s="1" t="s">
        <v>27</v>
      </c>
      <c r="K349" s="1" t="s">
        <v>1476</v>
      </c>
      <c r="L349" s="1" t="s">
        <v>35</v>
      </c>
      <c r="M349" s="2">
        <v>205.6</v>
      </c>
      <c r="N349" s="6">
        <v>1.33</v>
      </c>
      <c r="O349" s="1" t="s">
        <v>67</v>
      </c>
      <c r="P349" s="1"/>
      <c r="Q349" s="1"/>
      <c r="R349" s="1"/>
      <c r="S349" s="121" t="s">
        <v>270</v>
      </c>
      <c r="T349" s="5">
        <v>46142</v>
      </c>
      <c r="U349" s="63">
        <f>92.4+115.1</f>
        <v>207.5</v>
      </c>
      <c r="V349" s="83">
        <f>M349-U349-Y349-AA349-AC349-AE349-AG349</f>
        <v>-1.9000000000000057</v>
      </c>
      <c r="W349" s="4" t="s">
        <v>6026</v>
      </c>
      <c r="X349" s="1"/>
      <c r="Y349" s="63"/>
      <c r="Z349" s="390"/>
    </row>
    <row r="350" spans="1:28" s="28" customFormat="1" ht="20.25" hidden="1" customHeight="1">
      <c r="A350" s="11">
        <v>46132</v>
      </c>
      <c r="B350" s="16" t="s">
        <v>6030</v>
      </c>
      <c r="C350" s="16" t="s">
        <v>267</v>
      </c>
      <c r="D350" s="16" t="s">
        <v>212</v>
      </c>
      <c r="E350" s="16" t="s">
        <v>62</v>
      </c>
      <c r="F350" s="16" t="s">
        <v>6031</v>
      </c>
      <c r="G350" s="16" t="s">
        <v>71</v>
      </c>
      <c r="H350" s="16" t="s">
        <v>26</v>
      </c>
      <c r="I350" s="1"/>
      <c r="J350" s="1" t="s">
        <v>27</v>
      </c>
      <c r="K350" s="16" t="s">
        <v>588</v>
      </c>
      <c r="L350" s="1" t="s">
        <v>35</v>
      </c>
      <c r="M350" s="17">
        <v>150</v>
      </c>
      <c r="N350" s="23">
        <v>1.33</v>
      </c>
      <c r="O350" s="16" t="s">
        <v>67</v>
      </c>
      <c r="P350" s="16" t="s">
        <v>63</v>
      </c>
      <c r="Q350" s="16" t="s">
        <v>29</v>
      </c>
      <c r="R350" s="16" t="s">
        <v>29</v>
      </c>
      <c r="S350" s="12" t="s">
        <v>5868</v>
      </c>
      <c r="T350" s="13">
        <v>46146</v>
      </c>
      <c r="U350" s="19"/>
      <c r="V350" s="53">
        <f>M350-U350-Y350-AA350-AC350-AE350-AG350</f>
        <v>-2.6999999999999886</v>
      </c>
      <c r="W350" s="22" t="s">
        <v>6032</v>
      </c>
      <c r="X350" s="16"/>
      <c r="Y350" s="19">
        <v>152.69999999999999</v>
      </c>
      <c r="Z350" s="14">
        <v>46140</v>
      </c>
    </row>
    <row r="351" spans="1:28" s="28" customFormat="1" ht="20.25" hidden="1" customHeight="1">
      <c r="A351" s="11">
        <v>46128</v>
      </c>
      <c r="B351" s="16" t="s">
        <v>6050</v>
      </c>
      <c r="C351" s="16" t="s">
        <v>304</v>
      </c>
      <c r="D351" s="16" t="s">
        <v>212</v>
      </c>
      <c r="E351" s="16" t="s">
        <v>62</v>
      </c>
      <c r="F351" s="16" t="s">
        <v>5888</v>
      </c>
      <c r="G351" s="16" t="s">
        <v>71</v>
      </c>
      <c r="H351" s="16" t="s">
        <v>31</v>
      </c>
      <c r="I351" s="1"/>
      <c r="J351" s="1" t="s">
        <v>27</v>
      </c>
      <c r="K351" s="16" t="s">
        <v>5623</v>
      </c>
      <c r="L351" s="1" t="s">
        <v>35</v>
      </c>
      <c r="M351" s="17">
        <v>150</v>
      </c>
      <c r="N351" s="23">
        <v>1.33</v>
      </c>
      <c r="O351" s="16" t="s">
        <v>67</v>
      </c>
      <c r="P351" s="16" t="s">
        <v>63</v>
      </c>
      <c r="Q351" s="16" t="s">
        <v>29</v>
      </c>
      <c r="R351" s="16" t="s">
        <v>29</v>
      </c>
      <c r="S351" s="12" t="s">
        <v>270</v>
      </c>
      <c r="T351" s="13">
        <v>46142</v>
      </c>
      <c r="U351" s="19"/>
      <c r="V351" s="53">
        <f>M351-U351-Y351-AA351-AC351-AE351-AG351</f>
        <v>-8.9000000000000057</v>
      </c>
      <c r="W351" s="22" t="s">
        <v>6051</v>
      </c>
      <c r="X351" s="16"/>
      <c r="Y351" s="19">
        <v>158.9</v>
      </c>
      <c r="Z351" s="14">
        <v>46141</v>
      </c>
    </row>
    <row r="352" spans="1:28" s="28" customFormat="1" ht="20.25" hidden="1" customHeight="1">
      <c r="A352" s="11">
        <v>46133</v>
      </c>
      <c r="B352" s="16" t="s">
        <v>6059</v>
      </c>
      <c r="C352" s="16" t="s">
        <v>304</v>
      </c>
      <c r="D352" s="16" t="s">
        <v>212</v>
      </c>
      <c r="E352" s="16" t="s">
        <v>62</v>
      </c>
      <c r="F352" s="16" t="s">
        <v>6070</v>
      </c>
      <c r="G352" s="16" t="s">
        <v>71</v>
      </c>
      <c r="H352" s="16" t="s">
        <v>31</v>
      </c>
      <c r="I352" s="1"/>
      <c r="J352" s="1" t="s">
        <v>27</v>
      </c>
      <c r="K352" s="16" t="s">
        <v>2355</v>
      </c>
      <c r="L352" s="1" t="s">
        <v>35</v>
      </c>
      <c r="M352" s="17">
        <v>200</v>
      </c>
      <c r="N352" s="23">
        <v>1.33</v>
      </c>
      <c r="O352" s="16" t="s">
        <v>67</v>
      </c>
      <c r="P352" s="16" t="s">
        <v>63</v>
      </c>
      <c r="Q352" s="16" t="s">
        <v>29</v>
      </c>
      <c r="R352" s="16" t="s">
        <v>29</v>
      </c>
      <c r="S352" s="12" t="s">
        <v>264</v>
      </c>
      <c r="T352" s="13">
        <v>46147</v>
      </c>
      <c r="U352" s="19"/>
      <c r="V352" s="53">
        <f>M352-U352-Y352-AA352-AC352-AE352-AG352</f>
        <v>-4.0999999999999943</v>
      </c>
      <c r="W352" s="22" t="s">
        <v>6081</v>
      </c>
      <c r="X352" s="16"/>
      <c r="Y352" s="19">
        <v>204.1</v>
      </c>
      <c r="Z352" s="14">
        <v>46140</v>
      </c>
    </row>
    <row r="353" spans="1:26" s="101" customFormat="1" ht="20.25" customHeight="1">
      <c r="A353" s="3">
        <v>46133</v>
      </c>
      <c r="B353" s="1" t="s">
        <v>6060</v>
      </c>
      <c r="C353" s="1" t="s">
        <v>382</v>
      </c>
      <c r="D353" s="1" t="s">
        <v>212</v>
      </c>
      <c r="E353" s="1" t="s">
        <v>62</v>
      </c>
      <c r="F353" s="1" t="s">
        <v>6071</v>
      </c>
      <c r="G353" s="1" t="s">
        <v>1714</v>
      </c>
      <c r="H353" s="1" t="s">
        <v>31</v>
      </c>
      <c r="I353" s="1"/>
      <c r="J353" s="1" t="s">
        <v>27</v>
      </c>
      <c r="K353" s="1" t="s">
        <v>3684</v>
      </c>
      <c r="L353" s="1" t="s">
        <v>35</v>
      </c>
      <c r="M353" s="2">
        <v>16.899999999999999</v>
      </c>
      <c r="N353" s="6">
        <v>1.33</v>
      </c>
      <c r="O353" s="1" t="s">
        <v>67</v>
      </c>
      <c r="P353" s="1" t="s">
        <v>63</v>
      </c>
      <c r="Q353" s="1" t="s">
        <v>29</v>
      </c>
      <c r="R353" s="1" t="s">
        <v>29</v>
      </c>
      <c r="S353" s="121" t="s">
        <v>264</v>
      </c>
      <c r="T353" s="5">
        <v>46147</v>
      </c>
      <c r="U353" s="63"/>
      <c r="V353" s="83">
        <f>M353-U353-Y353-AA353-AC353-AE353-AG353</f>
        <v>16.899999999999999</v>
      </c>
      <c r="W353" s="4" t="s">
        <v>6082</v>
      </c>
      <c r="X353" s="1"/>
      <c r="Y353" s="63"/>
      <c r="Z353" s="390"/>
    </row>
    <row r="354" spans="1:26" s="101" customFormat="1" ht="20.25" customHeight="1">
      <c r="A354" s="3">
        <v>46133</v>
      </c>
      <c r="B354" s="1" t="s">
        <v>6061</v>
      </c>
      <c r="C354" s="1" t="s">
        <v>382</v>
      </c>
      <c r="D354" s="1" t="s">
        <v>212</v>
      </c>
      <c r="E354" s="1" t="s">
        <v>62</v>
      </c>
      <c r="F354" s="1" t="s">
        <v>6072</v>
      </c>
      <c r="G354" s="1" t="s">
        <v>71</v>
      </c>
      <c r="H354" s="1" t="s">
        <v>31</v>
      </c>
      <c r="I354" s="1"/>
      <c r="J354" s="1" t="s">
        <v>27</v>
      </c>
      <c r="K354" s="1" t="s">
        <v>255</v>
      </c>
      <c r="L354" s="1" t="s">
        <v>35</v>
      </c>
      <c r="M354" s="2">
        <v>35.6</v>
      </c>
      <c r="N354" s="6">
        <v>1.33</v>
      </c>
      <c r="O354" s="1" t="s">
        <v>67</v>
      </c>
      <c r="P354" s="1" t="s">
        <v>63</v>
      </c>
      <c r="Q354" s="1" t="s">
        <v>29</v>
      </c>
      <c r="R354" s="1" t="s">
        <v>29</v>
      </c>
      <c r="S354" s="121" t="s">
        <v>264</v>
      </c>
      <c r="T354" s="5">
        <v>46147</v>
      </c>
      <c r="U354" s="63"/>
      <c r="V354" s="83">
        <f>M354-U354-Y354-AA354-AC354-AE354-AG354</f>
        <v>35.6</v>
      </c>
      <c r="W354" s="4" t="s">
        <v>6083</v>
      </c>
      <c r="X354" s="1"/>
      <c r="Y354" s="63"/>
      <c r="Z354" s="390"/>
    </row>
    <row r="355" spans="1:26" s="101" customFormat="1" ht="20.25" customHeight="1">
      <c r="A355" s="3">
        <v>46133</v>
      </c>
      <c r="B355" s="1" t="s">
        <v>6062</v>
      </c>
      <c r="C355" s="1" t="s">
        <v>382</v>
      </c>
      <c r="D355" s="1" t="s">
        <v>212</v>
      </c>
      <c r="E355" s="1" t="s">
        <v>62</v>
      </c>
      <c r="F355" s="1" t="s">
        <v>6073</v>
      </c>
      <c r="G355" s="1" t="s">
        <v>71</v>
      </c>
      <c r="H355" s="1" t="s">
        <v>31</v>
      </c>
      <c r="I355" s="1"/>
      <c r="J355" s="1" t="s">
        <v>27</v>
      </c>
      <c r="K355" s="1" t="s">
        <v>2462</v>
      </c>
      <c r="L355" s="1" t="s">
        <v>35</v>
      </c>
      <c r="M355" s="2">
        <v>1312.74</v>
      </c>
      <c r="N355" s="6">
        <v>1.33</v>
      </c>
      <c r="O355" s="1" t="s">
        <v>67</v>
      </c>
      <c r="P355" s="1" t="s">
        <v>63</v>
      </c>
      <c r="Q355" s="1" t="s">
        <v>29</v>
      </c>
      <c r="R355" s="1" t="s">
        <v>29</v>
      </c>
      <c r="S355" s="121" t="s">
        <v>264</v>
      </c>
      <c r="T355" s="5">
        <v>46147</v>
      </c>
      <c r="U355" s="63"/>
      <c r="V355" s="83">
        <f>M355-U355-Y355-AA355-AC355-AE355-AG355</f>
        <v>1312.74</v>
      </c>
      <c r="W355" s="4" t="s">
        <v>6084</v>
      </c>
      <c r="X355" s="1"/>
      <c r="Y355" s="63"/>
      <c r="Z355" s="390"/>
    </row>
    <row r="356" spans="1:26" s="101" customFormat="1" ht="20.25" customHeight="1">
      <c r="A356" s="3">
        <v>46133</v>
      </c>
      <c r="B356" s="1" t="s">
        <v>6063</v>
      </c>
      <c r="C356" s="1" t="s">
        <v>382</v>
      </c>
      <c r="D356" s="1" t="s">
        <v>212</v>
      </c>
      <c r="E356" s="1" t="s">
        <v>62</v>
      </c>
      <c r="F356" s="1" t="s">
        <v>6074</v>
      </c>
      <c r="G356" s="1" t="s">
        <v>71</v>
      </c>
      <c r="H356" s="1" t="s">
        <v>31</v>
      </c>
      <c r="I356" s="1"/>
      <c r="J356" s="1" t="s">
        <v>27</v>
      </c>
      <c r="K356" s="1" t="s">
        <v>2653</v>
      </c>
      <c r="L356" s="1" t="s">
        <v>35</v>
      </c>
      <c r="M356" s="2">
        <v>2962.65</v>
      </c>
      <c r="N356" s="6">
        <v>1.33</v>
      </c>
      <c r="O356" s="1" t="s">
        <v>67</v>
      </c>
      <c r="P356" s="1" t="s">
        <v>63</v>
      </c>
      <c r="Q356" s="1" t="s">
        <v>29</v>
      </c>
      <c r="R356" s="1" t="s">
        <v>29</v>
      </c>
      <c r="S356" s="121" t="s">
        <v>264</v>
      </c>
      <c r="T356" s="5">
        <v>46147</v>
      </c>
      <c r="U356" s="63"/>
      <c r="V356" s="83">
        <f>M356-U356-Y356-AA356-AC356-AE356-AG356</f>
        <v>2962.65</v>
      </c>
      <c r="W356" s="4" t="s">
        <v>6085</v>
      </c>
      <c r="X356" s="1"/>
      <c r="Y356" s="63"/>
      <c r="Z356" s="390"/>
    </row>
    <row r="357" spans="1:26" s="101" customFormat="1" ht="20.25" customHeight="1">
      <c r="A357" s="3">
        <v>46133</v>
      </c>
      <c r="B357" s="1" t="s">
        <v>6064</v>
      </c>
      <c r="C357" s="1" t="s">
        <v>382</v>
      </c>
      <c r="D357" s="1" t="s">
        <v>212</v>
      </c>
      <c r="E357" s="1" t="s">
        <v>62</v>
      </c>
      <c r="F357" s="1" t="s">
        <v>6075</v>
      </c>
      <c r="G357" s="1" t="s">
        <v>71</v>
      </c>
      <c r="H357" s="1" t="s">
        <v>31</v>
      </c>
      <c r="I357" s="1"/>
      <c r="J357" s="1" t="s">
        <v>27</v>
      </c>
      <c r="K357" s="1" t="s">
        <v>2653</v>
      </c>
      <c r="L357" s="1" t="s">
        <v>35</v>
      </c>
      <c r="M357" s="2">
        <v>171</v>
      </c>
      <c r="N357" s="6">
        <v>1.33</v>
      </c>
      <c r="O357" s="1" t="s">
        <v>67</v>
      </c>
      <c r="P357" s="1" t="s">
        <v>63</v>
      </c>
      <c r="Q357" s="1" t="s">
        <v>29</v>
      </c>
      <c r="R357" s="1" t="s">
        <v>29</v>
      </c>
      <c r="S357" s="121" t="s">
        <v>264</v>
      </c>
      <c r="T357" s="5">
        <v>46147</v>
      </c>
      <c r="U357" s="63"/>
      <c r="V357" s="83">
        <f>M357-U357-Y357-AA357-AC357-AE357-AG357</f>
        <v>171</v>
      </c>
      <c r="W357" s="4" t="s">
        <v>6086</v>
      </c>
      <c r="X357" s="1"/>
      <c r="Y357" s="63"/>
      <c r="Z357" s="390"/>
    </row>
    <row r="358" spans="1:26" s="101" customFormat="1" ht="20.25" customHeight="1">
      <c r="A358" s="3">
        <v>46133</v>
      </c>
      <c r="B358" s="1" t="s">
        <v>6065</v>
      </c>
      <c r="C358" s="1" t="s">
        <v>382</v>
      </c>
      <c r="D358" s="1" t="s">
        <v>212</v>
      </c>
      <c r="E358" s="1" t="s">
        <v>62</v>
      </c>
      <c r="F358" s="1" t="s">
        <v>6076</v>
      </c>
      <c r="G358" s="1" t="s">
        <v>71</v>
      </c>
      <c r="H358" s="1" t="s">
        <v>31</v>
      </c>
      <c r="I358" s="1"/>
      <c r="J358" s="1" t="s">
        <v>27</v>
      </c>
      <c r="K358" s="1" t="s">
        <v>913</v>
      </c>
      <c r="L358" s="1" t="s">
        <v>35</v>
      </c>
      <c r="M358" s="2">
        <v>101.7</v>
      </c>
      <c r="N358" s="6">
        <v>1.33</v>
      </c>
      <c r="O358" s="1" t="s">
        <v>67</v>
      </c>
      <c r="P358" s="1" t="s">
        <v>63</v>
      </c>
      <c r="Q358" s="1" t="s">
        <v>29</v>
      </c>
      <c r="R358" s="1" t="s">
        <v>29</v>
      </c>
      <c r="S358" s="121" t="s">
        <v>264</v>
      </c>
      <c r="T358" s="5">
        <v>46147</v>
      </c>
      <c r="U358" s="63"/>
      <c r="V358" s="83">
        <f>M358-U358-Y358-AA358-AC358-AE358-AG358</f>
        <v>101.7</v>
      </c>
      <c r="W358" s="4" t="s">
        <v>6087</v>
      </c>
      <c r="X358" s="1"/>
      <c r="Y358" s="63"/>
      <c r="Z358" s="390"/>
    </row>
    <row r="359" spans="1:26" s="101" customFormat="1" ht="20.25" customHeight="1">
      <c r="A359" s="3">
        <v>46133</v>
      </c>
      <c r="B359" s="1" t="s">
        <v>6066</v>
      </c>
      <c r="C359" s="1" t="s">
        <v>382</v>
      </c>
      <c r="D359" s="1" t="s">
        <v>212</v>
      </c>
      <c r="E359" s="1" t="s">
        <v>62</v>
      </c>
      <c r="F359" s="1" t="s">
        <v>6077</v>
      </c>
      <c r="G359" s="1" t="s">
        <v>71</v>
      </c>
      <c r="H359" s="1" t="s">
        <v>31</v>
      </c>
      <c r="I359" s="1"/>
      <c r="J359" s="1" t="s">
        <v>27</v>
      </c>
      <c r="K359" s="1" t="s">
        <v>239</v>
      </c>
      <c r="L359" s="1" t="s">
        <v>35</v>
      </c>
      <c r="M359" s="2">
        <v>763.8</v>
      </c>
      <c r="N359" s="6">
        <v>1.33</v>
      </c>
      <c r="O359" s="1" t="s">
        <v>67</v>
      </c>
      <c r="P359" s="1" t="s">
        <v>63</v>
      </c>
      <c r="Q359" s="1" t="s">
        <v>29</v>
      </c>
      <c r="R359" s="1" t="s">
        <v>29</v>
      </c>
      <c r="S359" s="121" t="s">
        <v>264</v>
      </c>
      <c r="T359" s="5">
        <v>46147</v>
      </c>
      <c r="U359" s="63"/>
      <c r="V359" s="83">
        <f>M359-U359-Y359-AA359-AC359-AE359-AG359</f>
        <v>763.8</v>
      </c>
      <c r="W359" s="4" t="s">
        <v>6088</v>
      </c>
      <c r="X359" s="1"/>
      <c r="Y359" s="63"/>
      <c r="Z359" s="390"/>
    </row>
    <row r="360" spans="1:26" s="101" customFormat="1" ht="20.25" customHeight="1">
      <c r="A360" s="3">
        <v>46133</v>
      </c>
      <c r="B360" s="1" t="s">
        <v>6067</v>
      </c>
      <c r="C360" s="1" t="s">
        <v>382</v>
      </c>
      <c r="D360" s="1" t="s">
        <v>212</v>
      </c>
      <c r="E360" s="1" t="s">
        <v>62</v>
      </c>
      <c r="F360" s="1" t="s">
        <v>6078</v>
      </c>
      <c r="G360" s="1" t="s">
        <v>71</v>
      </c>
      <c r="H360" s="1" t="s">
        <v>31</v>
      </c>
      <c r="I360" s="1"/>
      <c r="J360" s="1" t="s">
        <v>27</v>
      </c>
      <c r="K360" s="1" t="s">
        <v>239</v>
      </c>
      <c r="L360" s="1" t="s">
        <v>35</v>
      </c>
      <c r="M360" s="2">
        <v>215.84</v>
      </c>
      <c r="N360" s="6">
        <v>1.33</v>
      </c>
      <c r="O360" s="1" t="s">
        <v>67</v>
      </c>
      <c r="P360" s="1" t="s">
        <v>63</v>
      </c>
      <c r="Q360" s="1" t="s">
        <v>29</v>
      </c>
      <c r="R360" s="1" t="s">
        <v>29</v>
      </c>
      <c r="S360" s="121" t="s">
        <v>264</v>
      </c>
      <c r="T360" s="5">
        <v>46147</v>
      </c>
      <c r="U360" s="63"/>
      <c r="V360" s="83">
        <f>M360-U360-Y360-AA360-AC360-AE360-AG360</f>
        <v>215.84</v>
      </c>
      <c r="W360" s="4" t="s">
        <v>6089</v>
      </c>
      <c r="X360" s="1"/>
      <c r="Y360" s="63"/>
      <c r="Z360" s="390"/>
    </row>
    <row r="361" spans="1:26" s="101" customFormat="1" ht="20.25" hidden="1" customHeight="1">
      <c r="A361" s="3">
        <v>46133</v>
      </c>
      <c r="B361" s="1" t="s">
        <v>6068</v>
      </c>
      <c r="C361" s="1" t="s">
        <v>382</v>
      </c>
      <c r="D361" s="1" t="s">
        <v>212</v>
      </c>
      <c r="E361" s="1" t="s">
        <v>62</v>
      </c>
      <c r="F361" s="1" t="s">
        <v>6079</v>
      </c>
      <c r="G361" s="1" t="s">
        <v>71</v>
      </c>
      <c r="H361" s="1" t="s">
        <v>26</v>
      </c>
      <c r="I361" s="1"/>
      <c r="J361" s="1" t="s">
        <v>27</v>
      </c>
      <c r="K361" s="1" t="s">
        <v>913</v>
      </c>
      <c r="L361" s="1" t="s">
        <v>35</v>
      </c>
      <c r="M361" s="2">
        <v>92.5</v>
      </c>
      <c r="N361" s="6">
        <v>1.33</v>
      </c>
      <c r="O361" s="1" t="s">
        <v>67</v>
      </c>
      <c r="P361" s="1" t="s">
        <v>63</v>
      </c>
      <c r="Q361" s="1" t="s">
        <v>29</v>
      </c>
      <c r="R361" s="1" t="s">
        <v>29</v>
      </c>
      <c r="S361" s="121" t="s">
        <v>264</v>
      </c>
      <c r="T361" s="5">
        <v>46147</v>
      </c>
      <c r="U361" s="63">
        <v>96.9</v>
      </c>
      <c r="V361" s="83">
        <f>M361-U361-Y361-AA361-AC361-AE361-AG361</f>
        <v>-4.4000000000000057</v>
      </c>
      <c r="W361" s="4" t="s">
        <v>6090</v>
      </c>
      <c r="X361" s="1"/>
      <c r="Y361" s="63"/>
      <c r="Z361" s="390"/>
    </row>
    <row r="362" spans="1:26" s="101" customFormat="1" ht="20.25" customHeight="1">
      <c r="A362" s="3">
        <v>46133</v>
      </c>
      <c r="B362" s="1" t="s">
        <v>6069</v>
      </c>
      <c r="C362" s="1" t="s">
        <v>382</v>
      </c>
      <c r="D362" s="1" t="s">
        <v>212</v>
      </c>
      <c r="E362" s="1" t="s">
        <v>62</v>
      </c>
      <c r="F362" s="1" t="s">
        <v>6080</v>
      </c>
      <c r="G362" s="1" t="s">
        <v>71</v>
      </c>
      <c r="H362" s="1" t="s">
        <v>31</v>
      </c>
      <c r="I362" s="1"/>
      <c r="J362" s="1" t="s">
        <v>27</v>
      </c>
      <c r="K362" s="1" t="s">
        <v>913</v>
      </c>
      <c r="L362" s="1" t="s">
        <v>35</v>
      </c>
      <c r="M362" s="2">
        <v>35</v>
      </c>
      <c r="N362" s="6">
        <v>1.33</v>
      </c>
      <c r="O362" s="1" t="s">
        <v>67</v>
      </c>
      <c r="P362" s="1" t="s">
        <v>63</v>
      </c>
      <c r="Q362" s="1" t="s">
        <v>29</v>
      </c>
      <c r="R362" s="1" t="s">
        <v>29</v>
      </c>
      <c r="S362" s="121" t="s">
        <v>264</v>
      </c>
      <c r="T362" s="5">
        <v>46147</v>
      </c>
      <c r="U362" s="63"/>
      <c r="V362" s="83">
        <f>M362-U362-Y362-AA362-AC362-AE362-AG362</f>
        <v>35</v>
      </c>
      <c r="W362" s="4" t="s">
        <v>6091</v>
      </c>
      <c r="X362" s="1"/>
      <c r="Y362" s="63"/>
      <c r="Z362" s="390"/>
    </row>
    <row r="363" spans="1:26" s="101" customFormat="1" ht="20.25" customHeight="1">
      <c r="A363" s="3">
        <v>46134</v>
      </c>
      <c r="B363" s="1" t="s">
        <v>6101</v>
      </c>
      <c r="C363" s="1" t="s">
        <v>400</v>
      </c>
      <c r="D363" s="1" t="s">
        <v>212</v>
      </c>
      <c r="E363" s="1" t="s">
        <v>62</v>
      </c>
      <c r="F363" s="1" t="s">
        <v>6106</v>
      </c>
      <c r="G363" s="1" t="s">
        <v>71</v>
      </c>
      <c r="H363" s="1" t="s">
        <v>26</v>
      </c>
      <c r="I363" s="1"/>
      <c r="J363" s="1" t="s">
        <v>27</v>
      </c>
      <c r="K363" s="1" t="s">
        <v>239</v>
      </c>
      <c r="L363" s="1" t="s">
        <v>35</v>
      </c>
      <c r="M363" s="2">
        <v>30</v>
      </c>
      <c r="N363" s="6">
        <v>1.33</v>
      </c>
      <c r="O363" s="1" t="s">
        <v>67</v>
      </c>
      <c r="P363" s="1" t="s">
        <v>63</v>
      </c>
      <c r="Q363" s="1" t="s">
        <v>29</v>
      </c>
      <c r="R363" s="1" t="s">
        <v>29</v>
      </c>
      <c r="S363" s="121" t="s">
        <v>6099</v>
      </c>
      <c r="T363" s="5">
        <v>46148</v>
      </c>
      <c r="U363" s="63"/>
      <c r="V363" s="83">
        <f>M363-U363-Y363-AA363-AC363-AE363-AG363</f>
        <v>30</v>
      </c>
      <c r="W363" s="4" t="s">
        <v>6110</v>
      </c>
      <c r="X363" s="1"/>
      <c r="Y363" s="63"/>
      <c r="Z363" s="390"/>
    </row>
    <row r="364" spans="1:26" s="101" customFormat="1" ht="20.25" customHeight="1">
      <c r="A364" s="3">
        <v>46134</v>
      </c>
      <c r="B364" s="1" t="s">
        <v>6102</v>
      </c>
      <c r="C364" s="1" t="s">
        <v>400</v>
      </c>
      <c r="D364" s="1" t="s">
        <v>212</v>
      </c>
      <c r="E364" s="1" t="s">
        <v>62</v>
      </c>
      <c r="F364" s="1" t="s">
        <v>6107</v>
      </c>
      <c r="G364" s="1" t="s">
        <v>71</v>
      </c>
      <c r="H364" s="1" t="s">
        <v>31</v>
      </c>
      <c r="I364" s="1"/>
      <c r="J364" s="1" t="s">
        <v>27</v>
      </c>
      <c r="K364" s="1" t="s">
        <v>913</v>
      </c>
      <c r="L364" s="1" t="s">
        <v>35</v>
      </c>
      <c r="M364" s="2">
        <v>300</v>
      </c>
      <c r="N364" s="6">
        <v>1.33</v>
      </c>
      <c r="O364" s="1" t="s">
        <v>67</v>
      </c>
      <c r="P364" s="1" t="s">
        <v>63</v>
      </c>
      <c r="Q364" s="1" t="s">
        <v>29</v>
      </c>
      <c r="R364" s="1" t="s">
        <v>29</v>
      </c>
      <c r="S364" s="121" t="s">
        <v>6099</v>
      </c>
      <c r="T364" s="5">
        <v>46148</v>
      </c>
      <c r="U364" s="63"/>
      <c r="V364" s="83">
        <f>M364-U364-Y364-AA364-AC364-AE364-AG364</f>
        <v>300</v>
      </c>
      <c r="W364" s="4" t="s">
        <v>6111</v>
      </c>
      <c r="X364" s="1"/>
      <c r="Y364" s="63"/>
      <c r="Z364" s="390"/>
    </row>
    <row r="365" spans="1:26" s="101" customFormat="1" ht="20.25" customHeight="1">
      <c r="A365" s="3">
        <v>46134</v>
      </c>
      <c r="B365" s="1" t="s">
        <v>6103</v>
      </c>
      <c r="C365" s="1" t="s">
        <v>400</v>
      </c>
      <c r="D365" s="1" t="s">
        <v>212</v>
      </c>
      <c r="E365" s="1" t="s">
        <v>62</v>
      </c>
      <c r="F365" s="1" t="s">
        <v>6106</v>
      </c>
      <c r="G365" s="1" t="s">
        <v>71</v>
      </c>
      <c r="H365" s="1" t="s">
        <v>26</v>
      </c>
      <c r="I365" s="1"/>
      <c r="J365" s="1" t="s">
        <v>27</v>
      </c>
      <c r="K365" s="1" t="s">
        <v>239</v>
      </c>
      <c r="L365" s="1" t="s">
        <v>35</v>
      </c>
      <c r="M365" s="2">
        <v>80</v>
      </c>
      <c r="N365" s="6">
        <v>1.33</v>
      </c>
      <c r="O365" s="1" t="s">
        <v>67</v>
      </c>
      <c r="P365" s="1" t="s">
        <v>63</v>
      </c>
      <c r="Q365" s="1" t="s">
        <v>29</v>
      </c>
      <c r="R365" s="1" t="s">
        <v>29</v>
      </c>
      <c r="S365" s="121" t="s">
        <v>6099</v>
      </c>
      <c r="T365" s="5">
        <v>46148</v>
      </c>
      <c r="U365" s="63"/>
      <c r="V365" s="83">
        <f>M365-U365-Y365-AA365-AC365-AE365-AG365</f>
        <v>80</v>
      </c>
      <c r="W365" s="4" t="s">
        <v>6112</v>
      </c>
      <c r="X365" s="1"/>
      <c r="Y365" s="63"/>
      <c r="Z365" s="390"/>
    </row>
    <row r="366" spans="1:26" s="28" customFormat="1" ht="20.25" hidden="1" customHeight="1">
      <c r="A366" s="11">
        <v>46134</v>
      </c>
      <c r="B366" s="16" t="s">
        <v>6104</v>
      </c>
      <c r="C366" s="16" t="s">
        <v>400</v>
      </c>
      <c r="D366" s="16" t="s">
        <v>212</v>
      </c>
      <c r="E366" s="16" t="s">
        <v>62</v>
      </c>
      <c r="F366" s="16" t="s">
        <v>6108</v>
      </c>
      <c r="G366" s="16" t="s">
        <v>71</v>
      </c>
      <c r="H366" s="16" t="s">
        <v>31</v>
      </c>
      <c r="I366" s="1"/>
      <c r="J366" s="1" t="s">
        <v>27</v>
      </c>
      <c r="K366" s="16" t="s">
        <v>3646</v>
      </c>
      <c r="L366" s="1" t="s">
        <v>35</v>
      </c>
      <c r="M366" s="17">
        <v>84</v>
      </c>
      <c r="N366" s="23">
        <v>1.33</v>
      </c>
      <c r="O366" s="16" t="s">
        <v>67</v>
      </c>
      <c r="P366" s="16" t="s">
        <v>63</v>
      </c>
      <c r="Q366" s="16" t="s">
        <v>29</v>
      </c>
      <c r="R366" s="16" t="s">
        <v>29</v>
      </c>
      <c r="S366" s="12" t="s">
        <v>6099</v>
      </c>
      <c r="T366" s="13">
        <v>46148</v>
      </c>
      <c r="U366" s="19"/>
      <c r="V366" s="53">
        <f>M366-U366-Y366-AA366-AC366-AE366-AG366</f>
        <v>-2.7999999999999972</v>
      </c>
      <c r="W366" s="22" t="s">
        <v>6113</v>
      </c>
      <c r="X366" s="16"/>
      <c r="Y366" s="19">
        <v>86.8</v>
      </c>
      <c r="Z366" s="14">
        <v>46146</v>
      </c>
    </row>
    <row r="367" spans="1:26" s="28" customFormat="1" ht="20.25" hidden="1" customHeight="1">
      <c r="A367" s="11">
        <v>46134</v>
      </c>
      <c r="B367" s="16" t="s">
        <v>6105</v>
      </c>
      <c r="C367" s="16" t="s">
        <v>400</v>
      </c>
      <c r="D367" s="16" t="s">
        <v>212</v>
      </c>
      <c r="E367" s="16" t="s">
        <v>62</v>
      </c>
      <c r="F367" s="16" t="s">
        <v>6109</v>
      </c>
      <c r="G367" s="16" t="s">
        <v>71</v>
      </c>
      <c r="H367" s="16" t="s">
        <v>31</v>
      </c>
      <c r="I367" s="1"/>
      <c r="J367" s="1" t="s">
        <v>27</v>
      </c>
      <c r="K367" s="16" t="s">
        <v>4495</v>
      </c>
      <c r="L367" s="1" t="s">
        <v>35</v>
      </c>
      <c r="M367" s="17">
        <v>177</v>
      </c>
      <c r="N367" s="23">
        <v>1.33</v>
      </c>
      <c r="O367" s="16" t="s">
        <v>67</v>
      </c>
      <c r="P367" s="16" t="s">
        <v>63</v>
      </c>
      <c r="Q367" s="16" t="s">
        <v>29</v>
      </c>
      <c r="R367" s="16" t="s">
        <v>29</v>
      </c>
      <c r="S367" s="12" t="s">
        <v>6099</v>
      </c>
      <c r="T367" s="13">
        <v>46148</v>
      </c>
      <c r="U367" s="19"/>
      <c r="V367" s="53">
        <f>M367-U367-Y367-AA367-AC367-AE367-AG367</f>
        <v>-0.40000000000000568</v>
      </c>
      <c r="W367" s="22" t="s">
        <v>6114</v>
      </c>
      <c r="X367" s="16"/>
      <c r="Y367" s="19">
        <v>177.4</v>
      </c>
      <c r="Z367" s="14">
        <v>46146</v>
      </c>
    </row>
    <row r="368" spans="1:26" s="101" customFormat="1" ht="20.25" customHeight="1">
      <c r="A368" s="3">
        <v>46136</v>
      </c>
      <c r="B368" s="1" t="s">
        <v>6140</v>
      </c>
      <c r="C368" s="1" t="s">
        <v>382</v>
      </c>
      <c r="D368" s="1" t="s">
        <v>212</v>
      </c>
      <c r="E368" s="1" t="s">
        <v>62</v>
      </c>
      <c r="F368" s="1" t="s">
        <v>6145</v>
      </c>
      <c r="G368" s="1" t="s">
        <v>71</v>
      </c>
      <c r="H368" s="1" t="s">
        <v>31</v>
      </c>
      <c r="I368" s="1"/>
      <c r="J368" s="1" t="s">
        <v>27</v>
      </c>
      <c r="K368" s="1" t="s">
        <v>2653</v>
      </c>
      <c r="L368" s="1" t="s">
        <v>35</v>
      </c>
      <c r="M368" s="2">
        <v>99.6</v>
      </c>
      <c r="N368" s="6">
        <v>1.33</v>
      </c>
      <c r="O368" s="1" t="s">
        <v>67</v>
      </c>
      <c r="P368" s="1" t="s">
        <v>63</v>
      </c>
      <c r="Q368" s="1" t="s">
        <v>29</v>
      </c>
      <c r="R368" s="1" t="s">
        <v>29</v>
      </c>
      <c r="S368" s="121" t="s">
        <v>264</v>
      </c>
      <c r="T368" s="5">
        <v>46147</v>
      </c>
      <c r="U368" s="63"/>
      <c r="V368" s="83">
        <f>M368-U368-Y368-AA368-AC368-AE368-AG368</f>
        <v>99.6</v>
      </c>
      <c r="W368" s="4" t="s">
        <v>6149</v>
      </c>
      <c r="X368" s="1"/>
      <c r="Y368" s="63"/>
      <c r="Z368" s="390"/>
    </row>
    <row r="369" spans="1:26" s="101" customFormat="1" ht="20.25" customHeight="1">
      <c r="A369" s="3">
        <v>46136</v>
      </c>
      <c r="B369" s="1" t="s">
        <v>6141</v>
      </c>
      <c r="C369" s="1" t="s">
        <v>382</v>
      </c>
      <c r="D369" s="1" t="s">
        <v>212</v>
      </c>
      <c r="E369" s="1" t="s">
        <v>62</v>
      </c>
      <c r="F369" s="1" t="s">
        <v>6146</v>
      </c>
      <c r="G369" s="1" t="s">
        <v>71</v>
      </c>
      <c r="H369" s="1" t="s">
        <v>31</v>
      </c>
      <c r="I369" s="1"/>
      <c r="J369" s="1" t="s">
        <v>27</v>
      </c>
      <c r="K369" s="1" t="s">
        <v>2462</v>
      </c>
      <c r="L369" s="1" t="s">
        <v>35</v>
      </c>
      <c r="M369" s="2">
        <v>997.7</v>
      </c>
      <c r="N369" s="6">
        <v>1.33</v>
      </c>
      <c r="O369" s="1" t="s">
        <v>67</v>
      </c>
      <c r="P369" s="1" t="s">
        <v>63</v>
      </c>
      <c r="Q369" s="1" t="s">
        <v>29</v>
      </c>
      <c r="R369" s="1" t="s">
        <v>29</v>
      </c>
      <c r="S369" s="121" t="s">
        <v>264</v>
      </c>
      <c r="T369" s="5">
        <v>46147</v>
      </c>
      <c r="U369" s="63"/>
      <c r="V369" s="83">
        <f>M369-U369-Y369-AA369-AC369-AE369-AG369</f>
        <v>997.7</v>
      </c>
      <c r="W369" s="4" t="s">
        <v>6150</v>
      </c>
      <c r="X369" s="1"/>
      <c r="Y369" s="63"/>
      <c r="Z369" s="390"/>
    </row>
    <row r="370" spans="1:26" s="101" customFormat="1" ht="20.25" customHeight="1">
      <c r="A370" s="3">
        <v>46136</v>
      </c>
      <c r="B370" s="1" t="s">
        <v>6142</v>
      </c>
      <c r="C370" s="1" t="s">
        <v>382</v>
      </c>
      <c r="D370" s="1" t="s">
        <v>212</v>
      </c>
      <c r="E370" s="1" t="s">
        <v>62</v>
      </c>
      <c r="F370" s="1" t="s">
        <v>6074</v>
      </c>
      <c r="G370" s="1" t="s">
        <v>71</v>
      </c>
      <c r="H370" s="1" t="s">
        <v>31</v>
      </c>
      <c r="I370" s="1"/>
      <c r="J370" s="1" t="s">
        <v>27</v>
      </c>
      <c r="K370" s="1" t="s">
        <v>2653</v>
      </c>
      <c r="L370" s="1" t="s">
        <v>35</v>
      </c>
      <c r="M370" s="2">
        <v>319.60000000000002</v>
      </c>
      <c r="N370" s="6">
        <v>1.33</v>
      </c>
      <c r="O370" s="1" t="s">
        <v>67</v>
      </c>
      <c r="P370" s="1" t="s">
        <v>63</v>
      </c>
      <c r="Q370" s="1" t="s">
        <v>29</v>
      </c>
      <c r="R370" s="1" t="s">
        <v>29</v>
      </c>
      <c r="S370" s="121" t="s">
        <v>264</v>
      </c>
      <c r="T370" s="5">
        <v>46147</v>
      </c>
      <c r="U370" s="63"/>
      <c r="V370" s="83">
        <f>M370-U370-Y370-AA370-AC370-AE370-AG370</f>
        <v>319.60000000000002</v>
      </c>
      <c r="W370" s="4" t="s">
        <v>6151</v>
      </c>
      <c r="X370" s="1"/>
      <c r="Y370" s="63"/>
      <c r="Z370" s="390"/>
    </row>
    <row r="371" spans="1:26" s="101" customFormat="1" ht="20.25" customHeight="1">
      <c r="A371" s="3">
        <v>46136</v>
      </c>
      <c r="B371" s="1" t="s">
        <v>6143</v>
      </c>
      <c r="C371" s="1" t="s">
        <v>382</v>
      </c>
      <c r="D371" s="1" t="s">
        <v>212</v>
      </c>
      <c r="E371" s="1" t="s">
        <v>62</v>
      </c>
      <c r="F371" s="1" t="s">
        <v>6147</v>
      </c>
      <c r="G371" s="1" t="s">
        <v>71</v>
      </c>
      <c r="H371" s="1" t="s">
        <v>31</v>
      </c>
      <c r="I371" s="1"/>
      <c r="J371" s="1" t="s">
        <v>27</v>
      </c>
      <c r="K371" s="1" t="s">
        <v>2653</v>
      </c>
      <c r="L371" s="1" t="s">
        <v>35</v>
      </c>
      <c r="M371" s="2">
        <v>146.6</v>
      </c>
      <c r="N371" s="6">
        <v>1.33</v>
      </c>
      <c r="O371" s="1" t="s">
        <v>67</v>
      </c>
      <c r="P371" s="1" t="s">
        <v>63</v>
      </c>
      <c r="Q371" s="1" t="s">
        <v>29</v>
      </c>
      <c r="R371" s="1" t="s">
        <v>29</v>
      </c>
      <c r="S371" s="121" t="s">
        <v>264</v>
      </c>
      <c r="T371" s="5">
        <v>46147</v>
      </c>
      <c r="U371" s="63"/>
      <c r="V371" s="83">
        <f>M371-U371-Y371-AA371-AC371-AE371-AG371</f>
        <v>146.6</v>
      </c>
      <c r="W371" s="4" t="s">
        <v>6152</v>
      </c>
      <c r="X371" s="1"/>
      <c r="Y371" s="63"/>
      <c r="Z371" s="390"/>
    </row>
    <row r="372" spans="1:26" s="101" customFormat="1" ht="20.25" customHeight="1">
      <c r="A372" s="3">
        <v>46136</v>
      </c>
      <c r="B372" s="1" t="s">
        <v>6144</v>
      </c>
      <c r="C372" s="1" t="s">
        <v>382</v>
      </c>
      <c r="D372" s="1" t="s">
        <v>212</v>
      </c>
      <c r="E372" s="1" t="s">
        <v>62</v>
      </c>
      <c r="F372" s="1" t="s">
        <v>6148</v>
      </c>
      <c r="G372" s="1" t="s">
        <v>71</v>
      </c>
      <c r="H372" s="1" t="s">
        <v>31</v>
      </c>
      <c r="I372" s="1"/>
      <c r="J372" s="1" t="s">
        <v>27</v>
      </c>
      <c r="K372" s="1" t="s">
        <v>2462</v>
      </c>
      <c r="L372" s="1" t="s">
        <v>35</v>
      </c>
      <c r="M372" s="2">
        <v>158</v>
      </c>
      <c r="N372" s="6">
        <v>1.33</v>
      </c>
      <c r="O372" s="1" t="s">
        <v>67</v>
      </c>
      <c r="P372" s="1" t="s">
        <v>63</v>
      </c>
      <c r="Q372" s="1" t="s">
        <v>29</v>
      </c>
      <c r="R372" s="1" t="s">
        <v>29</v>
      </c>
      <c r="S372" s="121" t="s">
        <v>264</v>
      </c>
      <c r="T372" s="5">
        <v>46147</v>
      </c>
      <c r="U372" s="63"/>
      <c r="V372" s="83">
        <f>M372-U372-Y372-AA372-AC372-AE372-AG372</f>
        <v>158</v>
      </c>
      <c r="W372" s="4" t="s">
        <v>6153</v>
      </c>
      <c r="X372" s="1"/>
      <c r="Y372" s="63"/>
      <c r="Z372" s="390"/>
    </row>
    <row r="373" spans="1:26" s="101" customFormat="1" ht="20.25" customHeight="1">
      <c r="A373" s="3">
        <v>46141</v>
      </c>
      <c r="B373" s="1" t="s">
        <v>6188</v>
      </c>
      <c r="C373" s="1" t="s">
        <v>228</v>
      </c>
      <c r="D373" s="1" t="s">
        <v>212</v>
      </c>
      <c r="E373" s="1" t="s">
        <v>62</v>
      </c>
      <c r="F373" s="1" t="s">
        <v>6194</v>
      </c>
      <c r="G373" s="1" t="s">
        <v>71</v>
      </c>
      <c r="H373" s="1" t="s">
        <v>31</v>
      </c>
      <c r="I373" s="1"/>
      <c r="J373" s="1" t="s">
        <v>27</v>
      </c>
      <c r="K373" s="1" t="s">
        <v>1116</v>
      </c>
      <c r="L373" s="1" t="s">
        <v>35</v>
      </c>
      <c r="M373" s="2">
        <v>68</v>
      </c>
      <c r="N373" s="6">
        <v>1.33</v>
      </c>
      <c r="O373" s="1" t="s">
        <v>67</v>
      </c>
      <c r="P373" s="1" t="s">
        <v>63</v>
      </c>
      <c r="Q373" s="1" t="s">
        <v>29</v>
      </c>
      <c r="R373" s="1" t="s">
        <v>29</v>
      </c>
      <c r="S373" s="121" t="s">
        <v>6099</v>
      </c>
      <c r="T373" s="5">
        <v>46148</v>
      </c>
      <c r="U373" s="63"/>
      <c r="V373" s="83">
        <f>M373-U373-Y373-AA373-AC373-AE373-AG373</f>
        <v>68</v>
      </c>
      <c r="W373" s="4" t="s">
        <v>6201</v>
      </c>
      <c r="X373" s="1"/>
      <c r="Y373" s="63"/>
      <c r="Z373" s="390"/>
    </row>
    <row r="374" spans="1:26" s="101" customFormat="1" ht="20.25" customHeight="1">
      <c r="A374" s="3">
        <v>46141</v>
      </c>
      <c r="B374" s="1" t="s">
        <v>6189</v>
      </c>
      <c r="C374" s="1" t="s">
        <v>228</v>
      </c>
      <c r="D374" s="1" t="s">
        <v>212</v>
      </c>
      <c r="E374" s="1" t="s">
        <v>62</v>
      </c>
      <c r="F374" s="1" t="s">
        <v>6195</v>
      </c>
      <c r="G374" s="1" t="s">
        <v>71</v>
      </c>
      <c r="H374" s="1" t="s">
        <v>31</v>
      </c>
      <c r="I374" s="1"/>
      <c r="J374" s="1" t="s">
        <v>27</v>
      </c>
      <c r="K374" s="1" t="s">
        <v>1106</v>
      </c>
      <c r="L374" s="1" t="s">
        <v>35</v>
      </c>
      <c r="M374" s="2">
        <v>42</v>
      </c>
      <c r="N374" s="6">
        <v>1.33</v>
      </c>
      <c r="O374" s="1" t="s">
        <v>67</v>
      </c>
      <c r="P374" s="1" t="s">
        <v>63</v>
      </c>
      <c r="Q374" s="1" t="s">
        <v>29</v>
      </c>
      <c r="R374" s="1" t="s">
        <v>29</v>
      </c>
      <c r="S374" s="121" t="s">
        <v>6099</v>
      </c>
      <c r="T374" s="5">
        <v>46148</v>
      </c>
      <c r="U374" s="63"/>
      <c r="V374" s="83">
        <f>M374-U374-Y374-AA374-AC374-AE374-AG374</f>
        <v>42</v>
      </c>
      <c r="W374" s="4" t="s">
        <v>6202</v>
      </c>
      <c r="X374" s="1"/>
      <c r="Y374" s="63"/>
      <c r="Z374" s="390"/>
    </row>
    <row r="375" spans="1:26" s="101" customFormat="1" ht="20.25" customHeight="1">
      <c r="A375" s="3">
        <v>46141</v>
      </c>
      <c r="B375" s="1" t="s">
        <v>6190</v>
      </c>
      <c r="C375" s="1" t="s">
        <v>304</v>
      </c>
      <c r="D375" s="1" t="s">
        <v>212</v>
      </c>
      <c r="E375" s="1" t="s">
        <v>62</v>
      </c>
      <c r="F375" s="1" t="s">
        <v>6196</v>
      </c>
      <c r="G375" s="1" t="s">
        <v>71</v>
      </c>
      <c r="H375" s="1" t="s">
        <v>26</v>
      </c>
      <c r="I375" s="1"/>
      <c r="J375" s="1" t="s">
        <v>27</v>
      </c>
      <c r="K375" s="1" t="s">
        <v>218</v>
      </c>
      <c r="L375" s="1" t="s">
        <v>35</v>
      </c>
      <c r="M375" s="2">
        <v>120</v>
      </c>
      <c r="N375" s="6">
        <v>1.33</v>
      </c>
      <c r="O375" s="1" t="s">
        <v>67</v>
      </c>
      <c r="P375" s="1" t="s">
        <v>63</v>
      </c>
      <c r="Q375" s="1" t="s">
        <v>29</v>
      </c>
      <c r="R375" s="1" t="s">
        <v>29</v>
      </c>
      <c r="S375" s="121" t="s">
        <v>6099</v>
      </c>
      <c r="T375" s="5">
        <v>46148</v>
      </c>
      <c r="U375" s="63"/>
      <c r="V375" s="83">
        <f>M375-U375-Y375-AA375-AC375-AE375-AG375</f>
        <v>120</v>
      </c>
      <c r="W375" s="4" t="s">
        <v>6203</v>
      </c>
      <c r="X375" s="1"/>
      <c r="Y375" s="63"/>
      <c r="Z375" s="390"/>
    </row>
    <row r="376" spans="1:26" s="101" customFormat="1" ht="20.25" customHeight="1">
      <c r="A376" s="3">
        <v>46141</v>
      </c>
      <c r="B376" s="1" t="s">
        <v>6191</v>
      </c>
      <c r="C376" s="1" t="s">
        <v>267</v>
      </c>
      <c r="D376" s="1" t="s">
        <v>212</v>
      </c>
      <c r="E376" s="1" t="s">
        <v>62</v>
      </c>
      <c r="F376" s="1" t="s">
        <v>6197</v>
      </c>
      <c r="G376" s="1" t="s">
        <v>71</v>
      </c>
      <c r="H376" s="1" t="s">
        <v>31</v>
      </c>
      <c r="I376" s="1"/>
      <c r="J376" s="1" t="s">
        <v>27</v>
      </c>
      <c r="K376" s="1" t="s">
        <v>3778</v>
      </c>
      <c r="L376" s="1" t="s">
        <v>35</v>
      </c>
      <c r="M376" s="2">
        <v>420</v>
      </c>
      <c r="N376" s="6">
        <v>1.33</v>
      </c>
      <c r="O376" s="1" t="s">
        <v>67</v>
      </c>
      <c r="P376" s="1" t="s">
        <v>63</v>
      </c>
      <c r="Q376" s="1" t="s">
        <v>29</v>
      </c>
      <c r="R376" s="1" t="s">
        <v>29</v>
      </c>
      <c r="S376" s="121" t="s">
        <v>6200</v>
      </c>
      <c r="T376" s="5">
        <v>46155</v>
      </c>
      <c r="U376" s="63"/>
      <c r="V376" s="83">
        <f>M376-U376-Y376-AA376-AC376-AE376-AG376</f>
        <v>420</v>
      </c>
      <c r="W376" s="4" t="s">
        <v>6204</v>
      </c>
      <c r="X376" s="1"/>
      <c r="Y376" s="63"/>
      <c r="Z376" s="390"/>
    </row>
    <row r="377" spans="1:26" s="101" customFormat="1" ht="20.25" customHeight="1">
      <c r="A377" s="3">
        <v>46141</v>
      </c>
      <c r="B377" s="1" t="s">
        <v>6192</v>
      </c>
      <c r="C377" s="1" t="s">
        <v>267</v>
      </c>
      <c r="D377" s="1" t="s">
        <v>212</v>
      </c>
      <c r="E377" s="1" t="s">
        <v>62</v>
      </c>
      <c r="F377" s="1" t="s">
        <v>6198</v>
      </c>
      <c r="G377" s="1" t="s">
        <v>71</v>
      </c>
      <c r="H377" s="1" t="s">
        <v>26</v>
      </c>
      <c r="I377" s="1"/>
      <c r="J377" s="1" t="s">
        <v>27</v>
      </c>
      <c r="K377" s="1" t="s">
        <v>3778</v>
      </c>
      <c r="L377" s="1" t="s">
        <v>35</v>
      </c>
      <c r="M377" s="2">
        <v>850</v>
      </c>
      <c r="N377" s="6">
        <v>1.33</v>
      </c>
      <c r="O377" s="1" t="s">
        <v>67</v>
      </c>
      <c r="P377" s="1" t="s">
        <v>63</v>
      </c>
      <c r="Q377" s="1" t="s">
        <v>29</v>
      </c>
      <c r="R377" s="1" t="s">
        <v>29</v>
      </c>
      <c r="S377" s="121" t="s">
        <v>6200</v>
      </c>
      <c r="T377" s="5">
        <v>46155</v>
      </c>
      <c r="U377" s="63"/>
      <c r="V377" s="83">
        <f>M377-U377-Y377-AA377-AC377-AE377-AG377</f>
        <v>850</v>
      </c>
      <c r="W377" s="4" t="s">
        <v>6205</v>
      </c>
      <c r="X377" s="1"/>
      <c r="Y377" s="63"/>
      <c r="Z377" s="390"/>
    </row>
    <row r="378" spans="1:26" s="101" customFormat="1" ht="20.25" customHeight="1">
      <c r="A378" s="3">
        <v>46141</v>
      </c>
      <c r="B378" s="1" t="s">
        <v>6193</v>
      </c>
      <c r="C378" s="1" t="s">
        <v>267</v>
      </c>
      <c r="D378" s="1" t="s">
        <v>212</v>
      </c>
      <c r="E378" s="1" t="s">
        <v>62</v>
      </c>
      <c r="F378" s="1" t="s">
        <v>6199</v>
      </c>
      <c r="G378" s="1" t="s">
        <v>71</v>
      </c>
      <c r="H378" s="1" t="s">
        <v>31</v>
      </c>
      <c r="I378" s="1"/>
      <c r="J378" s="1" t="s">
        <v>27</v>
      </c>
      <c r="K378" s="1" t="s">
        <v>5535</v>
      </c>
      <c r="L378" s="1" t="s">
        <v>35</v>
      </c>
      <c r="M378" s="2">
        <v>150</v>
      </c>
      <c r="N378" s="6">
        <v>1.33</v>
      </c>
      <c r="O378" s="1" t="s">
        <v>67</v>
      </c>
      <c r="P378" s="1" t="s">
        <v>63</v>
      </c>
      <c r="Q378" s="1" t="s">
        <v>29</v>
      </c>
      <c r="R378" s="1" t="s">
        <v>29</v>
      </c>
      <c r="S378" s="121" t="s">
        <v>6200</v>
      </c>
      <c r="T378" s="5">
        <v>46155</v>
      </c>
      <c r="U378" s="63"/>
      <c r="V378" s="83">
        <f>M378-U378-Y378-AA378-AC378-AE378-AG378</f>
        <v>150</v>
      </c>
      <c r="W378" s="4" t="s">
        <v>6206</v>
      </c>
      <c r="X378" s="1"/>
      <c r="Y378" s="63"/>
      <c r="Z378" s="390"/>
    </row>
    <row r="379" spans="1:26" s="101" customFormat="1" ht="20.25" customHeight="1">
      <c r="A379" s="3">
        <v>46142</v>
      </c>
      <c r="B379" s="1" t="s">
        <v>6225</v>
      </c>
      <c r="C379" s="1" t="s">
        <v>304</v>
      </c>
      <c r="D379" s="1" t="s">
        <v>212</v>
      </c>
      <c r="E379" s="1" t="s">
        <v>62</v>
      </c>
      <c r="F379" s="1" t="s">
        <v>6226</v>
      </c>
      <c r="G379" s="1" t="s">
        <v>71</v>
      </c>
      <c r="H379" s="1" t="s">
        <v>31</v>
      </c>
      <c r="I379" s="1"/>
      <c r="J379" s="1" t="s">
        <v>27</v>
      </c>
      <c r="K379" s="1" t="s">
        <v>3778</v>
      </c>
      <c r="L379" s="1" t="s">
        <v>35</v>
      </c>
      <c r="M379" s="2">
        <v>300</v>
      </c>
      <c r="N379" s="6">
        <v>1.33</v>
      </c>
      <c r="O379" s="1" t="s">
        <v>67</v>
      </c>
      <c r="P379" s="1"/>
      <c r="Q379" s="1"/>
      <c r="R379" s="1"/>
      <c r="S379" s="121" t="s">
        <v>6227</v>
      </c>
      <c r="T379" s="5">
        <v>46156</v>
      </c>
      <c r="U379" s="63"/>
      <c r="V379" s="83">
        <f>M379-U379-Y379-AA379-AC379-AE379-AG379</f>
        <v>300</v>
      </c>
      <c r="W379" s="4" t="s">
        <v>6228</v>
      </c>
      <c r="X379" s="1"/>
      <c r="Y379" s="63"/>
      <c r="Z379" s="390"/>
    </row>
  </sheetData>
  <autoFilter ref="A3:BF379" xr:uid="{920C191C-4E9C-414E-B4A3-32FC832CB98D}">
    <filterColumn colId="1">
      <colorFilter dxfId="1"/>
    </filterColumn>
    <filterColumn colId="21">
      <customFilters>
        <customFilter operator="greaterThan" val="1"/>
      </customFilters>
    </filterColumn>
  </autoFilter>
  <mergeCells count="30">
    <mergeCell ref="M2:M3"/>
    <mergeCell ref="Q2:Q3"/>
    <mergeCell ref="F2:F3"/>
    <mergeCell ref="G2:G3"/>
    <mergeCell ref="E2:E3"/>
    <mergeCell ref="I2:I3"/>
    <mergeCell ref="J2:J3"/>
    <mergeCell ref="K2:K3"/>
    <mergeCell ref="L2:L3"/>
    <mergeCell ref="H2:H3"/>
    <mergeCell ref="N2:N3"/>
    <mergeCell ref="O2:O3"/>
    <mergeCell ref="P2:P3"/>
    <mergeCell ref="A1:C1"/>
    <mergeCell ref="A2:A3"/>
    <mergeCell ref="B2:B3"/>
    <mergeCell ref="C2:C3"/>
    <mergeCell ref="D2:D3"/>
    <mergeCell ref="AG2:AH2"/>
    <mergeCell ref="R2:R3"/>
    <mergeCell ref="S2:S3"/>
    <mergeCell ref="T2:T3"/>
    <mergeCell ref="U2:U3"/>
    <mergeCell ref="V2:V3"/>
    <mergeCell ref="W2:W3"/>
    <mergeCell ref="X2:X3"/>
    <mergeCell ref="Y2:Z2"/>
    <mergeCell ref="AA2:AB2"/>
    <mergeCell ref="AC2:AD2"/>
    <mergeCell ref="AE2:AF2"/>
  </mergeCells>
  <pageMargins left="0.7" right="0.7" top="0.75" bottom="0.75" header="0.3" footer="0.3"/>
  <pageSetup paperSize="9" scale="5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BA57-5489-4E19-A566-A45B9AFB0CFC}">
  <sheetPr codeName="Sheet6" filterMode="1"/>
  <dimension ref="A1:AC116"/>
  <sheetViews>
    <sheetView workbookViewId="0">
      <pane xSplit="4" ySplit="2" topLeftCell="J3" activePane="bottomRight" state="frozen"/>
      <selection pane="topRight" activeCell="D1" sqref="D1"/>
      <selection pane="bottomLeft" activeCell="A3" sqref="A3"/>
      <selection pane="bottomRight" activeCell="T112" sqref="T112"/>
    </sheetView>
  </sheetViews>
  <sheetFormatPr defaultRowHeight="15"/>
  <cols>
    <col min="1" max="1" width="10.7109375" bestFit="1" customWidth="1"/>
    <col min="2" max="2" width="10.7109375" customWidth="1"/>
    <col min="3" max="3" width="26.5703125" bestFit="1" customWidth="1"/>
    <col min="4" max="4" width="27.28515625" customWidth="1"/>
    <col min="5" max="5" width="15" customWidth="1"/>
    <col min="6" max="6" width="18.5703125" bestFit="1" customWidth="1"/>
    <col min="7" max="7" width="16.42578125" customWidth="1"/>
    <col min="8" max="8" width="11.85546875" customWidth="1"/>
    <col min="9" max="9" width="23.42578125" bestFit="1" customWidth="1"/>
    <col min="10" max="10" width="10.7109375" customWidth="1"/>
    <col min="11" max="11" width="11.85546875" bestFit="1" customWidth="1"/>
    <col min="12" max="12" width="14.5703125" customWidth="1"/>
    <col min="13" max="13" width="9.85546875" customWidth="1"/>
    <col min="14" max="14" width="15" customWidth="1"/>
    <col min="15" max="15" width="11.28515625" customWidth="1"/>
    <col min="16" max="16" width="9.140625" customWidth="1"/>
    <col min="17" max="17" width="16.7109375" customWidth="1"/>
    <col min="18" max="18" width="12.85546875" customWidth="1"/>
    <col min="19" max="19" width="16" customWidth="1"/>
    <col min="20" max="20" width="17" bestFit="1" customWidth="1"/>
    <col min="21" max="21" width="17.85546875" bestFit="1" customWidth="1"/>
    <col min="22" max="23" width="8.7109375" customWidth="1"/>
    <col min="24" max="24" width="5.85546875" customWidth="1"/>
    <col min="25" max="25" width="6.28515625" bestFit="1" customWidth="1"/>
    <col min="26" max="27" width="5.85546875" customWidth="1"/>
  </cols>
  <sheetData>
    <row r="1" spans="1:27" ht="28.5">
      <c r="A1" s="437" t="s">
        <v>4676</v>
      </c>
      <c r="B1" s="437"/>
      <c r="C1" s="437"/>
      <c r="D1" s="437"/>
      <c r="E1" s="39"/>
      <c r="F1" s="39"/>
      <c r="G1" s="39"/>
      <c r="H1" s="39"/>
      <c r="I1" s="39"/>
      <c r="J1" s="39"/>
      <c r="K1" s="39"/>
      <c r="L1" s="102" t="s">
        <v>141</v>
      </c>
      <c r="M1" s="39"/>
      <c r="N1" s="39"/>
      <c r="O1" s="39"/>
      <c r="P1" s="39"/>
      <c r="Q1" s="39"/>
      <c r="R1" s="47">
        <f>SUBTOTAL(9,R3:R1048576)</f>
        <v>793.7</v>
      </c>
      <c r="S1" s="40">
        <f>SUBTOTAL(9,S3:S1048576)</f>
        <v>170.1</v>
      </c>
      <c r="T1" s="39"/>
      <c r="U1" s="39"/>
      <c r="V1" s="43"/>
      <c r="W1" s="42"/>
      <c r="X1" s="39"/>
      <c r="Y1" s="39"/>
      <c r="Z1" s="39"/>
      <c r="AA1" s="39"/>
    </row>
    <row r="2" spans="1:27" s="66" customFormat="1" ht="42" customHeight="1">
      <c r="A2" s="69" t="s">
        <v>48</v>
      </c>
      <c r="B2" s="385" t="s">
        <v>19</v>
      </c>
      <c r="C2" s="70" t="s">
        <v>2</v>
      </c>
      <c r="D2" s="70" t="s">
        <v>49</v>
      </c>
      <c r="E2" s="70" t="s">
        <v>6</v>
      </c>
      <c r="F2" s="71" t="s">
        <v>7</v>
      </c>
      <c r="G2" s="70" t="s">
        <v>50</v>
      </c>
      <c r="H2" s="70" t="s">
        <v>8</v>
      </c>
      <c r="I2" s="70" t="s">
        <v>10</v>
      </c>
      <c r="J2" s="70" t="s">
        <v>51</v>
      </c>
      <c r="K2" s="71" t="s">
        <v>3</v>
      </c>
      <c r="L2" s="72" t="s">
        <v>52</v>
      </c>
      <c r="M2" s="73" t="s">
        <v>53</v>
      </c>
      <c r="N2" s="70" t="s">
        <v>54</v>
      </c>
      <c r="O2" s="70" t="s">
        <v>55</v>
      </c>
      <c r="P2" s="70" t="s">
        <v>20</v>
      </c>
      <c r="Q2" s="70" t="s">
        <v>56</v>
      </c>
      <c r="R2" s="74" t="s">
        <v>18</v>
      </c>
      <c r="S2" s="75" t="s">
        <v>41</v>
      </c>
      <c r="T2" s="70" t="s">
        <v>57</v>
      </c>
      <c r="U2" s="70" t="s">
        <v>20</v>
      </c>
      <c r="V2" s="438" t="s">
        <v>58</v>
      </c>
      <c r="W2" s="439"/>
      <c r="X2" s="438" t="s">
        <v>59</v>
      </c>
      <c r="Y2" s="439"/>
      <c r="Z2" s="438" t="s">
        <v>60</v>
      </c>
      <c r="AA2" s="439"/>
    </row>
    <row r="3" spans="1:27" s="97" customFormat="1" ht="20.25" hidden="1" customHeight="1">
      <c r="A3" s="91">
        <v>45681</v>
      </c>
      <c r="B3" s="91"/>
      <c r="C3" s="92" t="s">
        <v>70</v>
      </c>
      <c r="D3" s="92" t="s">
        <v>89</v>
      </c>
      <c r="E3" s="92" t="s">
        <v>64</v>
      </c>
      <c r="F3" s="92" t="s">
        <v>31</v>
      </c>
      <c r="G3" s="92" t="s">
        <v>90</v>
      </c>
      <c r="H3" s="92" t="s">
        <v>63</v>
      </c>
      <c r="I3" s="92" t="s">
        <v>30</v>
      </c>
      <c r="J3" s="93" t="s">
        <v>25</v>
      </c>
      <c r="K3" s="92" t="s">
        <v>24</v>
      </c>
      <c r="L3" s="94">
        <v>2451.6</v>
      </c>
      <c r="M3" s="95"/>
      <c r="N3" s="92" t="s">
        <v>92</v>
      </c>
      <c r="O3" s="92" t="s">
        <v>93</v>
      </c>
      <c r="P3" s="96" t="s">
        <v>94</v>
      </c>
      <c r="Q3" s="96" t="s">
        <v>95</v>
      </c>
      <c r="R3" s="89"/>
      <c r="S3" s="90">
        <f>L3-R3-V3</f>
        <v>0</v>
      </c>
      <c r="T3" s="95" t="s">
        <v>91</v>
      </c>
      <c r="U3" s="95">
        <v>230.2</v>
      </c>
      <c r="V3" s="89">
        <v>2451.6</v>
      </c>
      <c r="W3" s="100">
        <v>45701</v>
      </c>
    </row>
    <row r="4" spans="1:27" s="97" customFormat="1" ht="20.25" hidden="1" customHeight="1">
      <c r="A4" s="91">
        <v>45681</v>
      </c>
      <c r="B4" s="91"/>
      <c r="C4" s="92" t="s">
        <v>70</v>
      </c>
      <c r="D4" s="92" t="s">
        <v>89</v>
      </c>
      <c r="E4" s="92" t="s">
        <v>64</v>
      </c>
      <c r="F4" s="92" t="s">
        <v>31</v>
      </c>
      <c r="G4" s="92" t="s">
        <v>90</v>
      </c>
      <c r="H4" s="92" t="s">
        <v>63</v>
      </c>
      <c r="I4" s="92" t="s">
        <v>30</v>
      </c>
      <c r="J4" s="93" t="s">
        <v>25</v>
      </c>
      <c r="K4" s="92" t="s">
        <v>24</v>
      </c>
      <c r="L4" s="94">
        <v>7263.3</v>
      </c>
      <c r="M4" s="95"/>
      <c r="N4" s="92" t="s">
        <v>97</v>
      </c>
      <c r="O4" s="92" t="s">
        <v>98</v>
      </c>
      <c r="P4" s="96" t="s">
        <v>94</v>
      </c>
      <c r="Q4" s="96" t="s">
        <v>95</v>
      </c>
      <c r="R4" s="98"/>
      <c r="S4" s="99">
        <f t="shared" ref="S4:S9" si="0">L4-R4-V4</f>
        <v>0</v>
      </c>
      <c r="T4" s="95" t="s">
        <v>96</v>
      </c>
      <c r="U4" s="95"/>
      <c r="V4" s="89">
        <f>3007.1+4256.2</f>
        <v>7263.2999999999993</v>
      </c>
      <c r="W4" s="100">
        <v>45701</v>
      </c>
    </row>
    <row r="5" spans="1:27" s="97" customFormat="1" ht="20.25" hidden="1" customHeight="1">
      <c r="A5" s="91">
        <v>45681</v>
      </c>
      <c r="B5" s="91"/>
      <c r="C5" s="92" t="s">
        <v>70</v>
      </c>
      <c r="D5" s="92" t="s">
        <v>89</v>
      </c>
      <c r="E5" s="92" t="s">
        <v>64</v>
      </c>
      <c r="F5" s="92" t="s">
        <v>31</v>
      </c>
      <c r="G5" s="92" t="s">
        <v>90</v>
      </c>
      <c r="H5" s="92" t="s">
        <v>63</v>
      </c>
      <c r="I5" s="92" t="s">
        <v>30</v>
      </c>
      <c r="J5" s="93" t="s">
        <v>25</v>
      </c>
      <c r="K5" s="92" t="s">
        <v>24</v>
      </c>
      <c r="L5" s="94">
        <v>230.2</v>
      </c>
      <c r="M5" s="95"/>
      <c r="N5" s="92" t="s">
        <v>97</v>
      </c>
      <c r="O5" s="92" t="s">
        <v>98</v>
      </c>
      <c r="P5" s="96" t="s">
        <v>94</v>
      </c>
      <c r="Q5" s="96" t="s">
        <v>95</v>
      </c>
      <c r="R5" s="98"/>
      <c r="S5" s="99">
        <f>L5-R5-V5</f>
        <v>0</v>
      </c>
      <c r="T5" s="95" t="s">
        <v>109</v>
      </c>
      <c r="U5" s="95"/>
      <c r="V5" s="89">
        <v>230.2</v>
      </c>
      <c r="W5" s="100">
        <v>45701</v>
      </c>
    </row>
    <row r="6" spans="1:27" s="97" customFormat="1" ht="20.25" hidden="1" customHeight="1">
      <c r="A6" s="91">
        <v>45681</v>
      </c>
      <c r="B6" s="91"/>
      <c r="C6" s="92" t="s">
        <v>70</v>
      </c>
      <c r="D6" s="92" t="s">
        <v>89</v>
      </c>
      <c r="E6" s="92" t="s">
        <v>64</v>
      </c>
      <c r="F6" s="92" t="s">
        <v>31</v>
      </c>
      <c r="G6" s="92" t="s">
        <v>90</v>
      </c>
      <c r="H6" s="92" t="s">
        <v>63</v>
      </c>
      <c r="I6" s="92" t="s">
        <v>30</v>
      </c>
      <c r="J6" s="93" t="s">
        <v>25</v>
      </c>
      <c r="K6" s="92" t="s">
        <v>24</v>
      </c>
      <c r="L6" s="94">
        <v>7522.8</v>
      </c>
      <c r="M6" s="95"/>
      <c r="N6" s="92" t="s">
        <v>97</v>
      </c>
      <c r="O6" s="92" t="s">
        <v>98</v>
      </c>
      <c r="P6" s="96" t="s">
        <v>94</v>
      </c>
      <c r="Q6" s="96" t="s">
        <v>95</v>
      </c>
      <c r="R6" s="98"/>
      <c r="S6" s="99">
        <f t="shared" si="0"/>
        <v>0</v>
      </c>
      <c r="T6" s="95" t="s">
        <v>99</v>
      </c>
      <c r="U6" s="95"/>
      <c r="V6" s="89">
        <f>1852.2+3104.5+2566.1</f>
        <v>7522.7999999999993</v>
      </c>
      <c r="W6" s="100">
        <v>45701</v>
      </c>
    </row>
    <row r="7" spans="1:27" s="97" customFormat="1" ht="20.25" hidden="1" customHeight="1">
      <c r="A7" s="91">
        <v>45681</v>
      </c>
      <c r="B7" s="91"/>
      <c r="C7" s="92" t="s">
        <v>70</v>
      </c>
      <c r="D7" s="92" t="s">
        <v>89</v>
      </c>
      <c r="E7" s="92" t="s">
        <v>64</v>
      </c>
      <c r="F7" s="92" t="s">
        <v>31</v>
      </c>
      <c r="G7" s="92" t="s">
        <v>90</v>
      </c>
      <c r="H7" s="92" t="s">
        <v>63</v>
      </c>
      <c r="I7" s="92" t="s">
        <v>73</v>
      </c>
      <c r="J7" s="93" t="s">
        <v>25</v>
      </c>
      <c r="K7" s="92" t="s">
        <v>24</v>
      </c>
      <c r="L7" s="94">
        <v>204.9</v>
      </c>
      <c r="M7" s="95"/>
      <c r="N7" s="92" t="s">
        <v>92</v>
      </c>
      <c r="O7" s="92" t="s">
        <v>93</v>
      </c>
      <c r="P7" s="96" t="s">
        <v>94</v>
      </c>
      <c r="Q7" s="96" t="s">
        <v>95</v>
      </c>
      <c r="R7" s="89"/>
      <c r="S7" s="90">
        <f t="shared" si="0"/>
        <v>0</v>
      </c>
      <c r="T7" s="95" t="s">
        <v>100</v>
      </c>
      <c r="U7" s="95"/>
      <c r="V7" s="89">
        <v>204.9</v>
      </c>
      <c r="W7" s="100">
        <v>45701</v>
      </c>
    </row>
    <row r="8" spans="1:27" s="97" customFormat="1" ht="20.25" hidden="1" customHeight="1">
      <c r="A8" s="91">
        <v>45681</v>
      </c>
      <c r="B8" s="91"/>
      <c r="C8" s="92" t="s">
        <v>70</v>
      </c>
      <c r="D8" s="92" t="s">
        <v>101</v>
      </c>
      <c r="E8" s="92" t="s">
        <v>64</v>
      </c>
      <c r="F8" s="92" t="s">
        <v>31</v>
      </c>
      <c r="G8" s="92" t="s">
        <v>102</v>
      </c>
      <c r="H8" s="92" t="s">
        <v>63</v>
      </c>
      <c r="I8" s="92" t="s">
        <v>103</v>
      </c>
      <c r="J8" s="93" t="s">
        <v>25</v>
      </c>
      <c r="K8" s="92" t="s">
        <v>24</v>
      </c>
      <c r="L8" s="94">
        <v>4509.8</v>
      </c>
      <c r="M8" s="95"/>
      <c r="N8" s="92" t="s">
        <v>92</v>
      </c>
      <c r="O8" s="92" t="s">
        <v>93</v>
      </c>
      <c r="P8" s="96" t="s">
        <v>105</v>
      </c>
      <c r="Q8" s="96" t="s">
        <v>95</v>
      </c>
      <c r="R8" s="89"/>
      <c r="S8" s="90">
        <f t="shared" si="0"/>
        <v>0</v>
      </c>
      <c r="T8" s="95" t="s">
        <v>104</v>
      </c>
      <c r="U8" s="95" t="s">
        <v>111</v>
      </c>
      <c r="V8" s="89">
        <f>3377.1+168.1+964.6</f>
        <v>4509.8</v>
      </c>
      <c r="W8" s="100">
        <v>45701</v>
      </c>
    </row>
    <row r="9" spans="1:27" s="97" customFormat="1" ht="20.25" hidden="1" customHeight="1">
      <c r="A9" s="91">
        <v>45681</v>
      </c>
      <c r="B9" s="91"/>
      <c r="C9" s="92" t="s">
        <v>70</v>
      </c>
      <c r="D9" s="92" t="s">
        <v>106</v>
      </c>
      <c r="E9" s="92" t="s">
        <v>64</v>
      </c>
      <c r="F9" s="92" t="s">
        <v>31</v>
      </c>
      <c r="G9" s="92" t="s">
        <v>107</v>
      </c>
      <c r="H9" s="92" t="s">
        <v>63</v>
      </c>
      <c r="I9" s="92" t="s">
        <v>30</v>
      </c>
      <c r="J9" s="93" t="s">
        <v>25</v>
      </c>
      <c r="K9" s="92" t="s">
        <v>24</v>
      </c>
      <c r="L9" s="94">
        <v>4184.1000000000004</v>
      </c>
      <c r="M9" s="95"/>
      <c r="N9" s="92" t="s">
        <v>92</v>
      </c>
      <c r="O9" s="92" t="s">
        <v>93</v>
      </c>
      <c r="P9" s="96" t="s">
        <v>105</v>
      </c>
      <c r="Q9" s="96" t="s">
        <v>95</v>
      </c>
      <c r="R9" s="89"/>
      <c r="S9" s="90">
        <f t="shared" si="0"/>
        <v>0</v>
      </c>
      <c r="T9" s="95" t="s">
        <v>108</v>
      </c>
      <c r="U9" s="95">
        <f>3238.6+1103.2</f>
        <v>4341.8</v>
      </c>
      <c r="V9" s="89">
        <v>4184.1000000000004</v>
      </c>
      <c r="W9" s="100">
        <v>45701</v>
      </c>
    </row>
    <row r="10" spans="1:27" s="97" customFormat="1" ht="20.25" hidden="1" customHeight="1">
      <c r="A10" s="11">
        <v>45698</v>
      </c>
      <c r="B10" s="11"/>
      <c r="C10" s="16" t="s">
        <v>32</v>
      </c>
      <c r="D10" s="16" t="s">
        <v>113</v>
      </c>
      <c r="E10" s="16" t="s">
        <v>114</v>
      </c>
      <c r="F10" s="16" t="s">
        <v>26</v>
      </c>
      <c r="G10" s="92" t="s">
        <v>63</v>
      </c>
      <c r="H10" s="92" t="s">
        <v>63</v>
      </c>
      <c r="I10" s="16" t="s">
        <v>115</v>
      </c>
      <c r="J10" s="93" t="s">
        <v>47</v>
      </c>
      <c r="K10" s="92" t="s">
        <v>24</v>
      </c>
      <c r="L10" s="17">
        <v>100</v>
      </c>
      <c r="M10" s="22" t="s">
        <v>116</v>
      </c>
      <c r="N10" s="92" t="s">
        <v>92</v>
      </c>
      <c r="O10" s="92" t="s">
        <v>93</v>
      </c>
      <c r="P10" s="96" t="s">
        <v>135</v>
      </c>
      <c r="Q10" s="96" t="s">
        <v>95</v>
      </c>
      <c r="R10" s="89"/>
      <c r="S10" s="90">
        <f t="shared" ref="S10:S28" si="1">L10-R10-V10</f>
        <v>0</v>
      </c>
      <c r="T10" s="22" t="s">
        <v>116</v>
      </c>
      <c r="U10" s="89"/>
      <c r="V10" s="89">
        <v>100</v>
      </c>
      <c r="W10" s="100">
        <v>45702</v>
      </c>
    </row>
    <row r="11" spans="1:27" s="97" customFormat="1" ht="20.25" hidden="1" customHeight="1">
      <c r="A11" s="11">
        <v>45698</v>
      </c>
      <c r="B11" s="11"/>
      <c r="C11" s="16" t="s">
        <v>32</v>
      </c>
      <c r="D11" s="16" t="s">
        <v>113</v>
      </c>
      <c r="E11" s="16" t="s">
        <v>117</v>
      </c>
      <c r="F11" s="16" t="s">
        <v>26</v>
      </c>
      <c r="G11" s="92" t="s">
        <v>63</v>
      </c>
      <c r="H11" s="92" t="s">
        <v>63</v>
      </c>
      <c r="I11" s="16" t="s">
        <v>115</v>
      </c>
      <c r="J11" s="93" t="s">
        <v>47</v>
      </c>
      <c r="K11" s="92" t="s">
        <v>24</v>
      </c>
      <c r="L11" s="17">
        <v>150</v>
      </c>
      <c r="M11" s="22" t="s">
        <v>118</v>
      </c>
      <c r="N11" s="92" t="s">
        <v>92</v>
      </c>
      <c r="O11" s="92" t="s">
        <v>93</v>
      </c>
      <c r="P11" s="96" t="s">
        <v>135</v>
      </c>
      <c r="Q11" s="96" t="s">
        <v>95</v>
      </c>
      <c r="R11" s="89"/>
      <c r="S11" s="90">
        <f t="shared" si="1"/>
        <v>0</v>
      </c>
      <c r="T11" s="22" t="s">
        <v>118</v>
      </c>
      <c r="U11" s="89"/>
      <c r="V11" s="89">
        <v>150</v>
      </c>
      <c r="W11" s="100">
        <v>45702</v>
      </c>
    </row>
    <row r="12" spans="1:27" s="97" customFormat="1" ht="20.25" hidden="1" customHeight="1">
      <c r="A12" s="11">
        <v>45698</v>
      </c>
      <c r="B12" s="11"/>
      <c r="C12" s="16" t="s">
        <v>32</v>
      </c>
      <c r="D12" s="16" t="s">
        <v>113</v>
      </c>
      <c r="E12" s="16" t="s">
        <v>117</v>
      </c>
      <c r="F12" s="16" t="s">
        <v>26</v>
      </c>
      <c r="G12" s="92" t="s">
        <v>63</v>
      </c>
      <c r="H12" s="92" t="s">
        <v>63</v>
      </c>
      <c r="I12" s="16" t="s">
        <v>119</v>
      </c>
      <c r="J12" s="93" t="s">
        <v>47</v>
      </c>
      <c r="K12" s="92" t="s">
        <v>24</v>
      </c>
      <c r="L12" s="17">
        <v>50</v>
      </c>
      <c r="M12" s="22" t="s">
        <v>120</v>
      </c>
      <c r="N12" s="92" t="s">
        <v>92</v>
      </c>
      <c r="O12" s="92" t="s">
        <v>93</v>
      </c>
      <c r="P12" s="96" t="s">
        <v>135</v>
      </c>
      <c r="Q12" s="96" t="s">
        <v>95</v>
      </c>
      <c r="R12" s="89"/>
      <c r="S12" s="90">
        <f t="shared" si="1"/>
        <v>0</v>
      </c>
      <c r="T12" s="22" t="s">
        <v>120</v>
      </c>
      <c r="U12" s="89"/>
      <c r="V12" s="89">
        <v>50</v>
      </c>
      <c r="W12" s="100">
        <v>45702</v>
      </c>
    </row>
    <row r="13" spans="1:27" s="97" customFormat="1" ht="20.25" hidden="1" customHeight="1">
      <c r="A13" s="11">
        <v>45698</v>
      </c>
      <c r="B13" s="11"/>
      <c r="C13" s="16" t="s">
        <v>32</v>
      </c>
      <c r="D13" s="16" t="s">
        <v>113</v>
      </c>
      <c r="E13" s="16" t="s">
        <v>117</v>
      </c>
      <c r="F13" s="16" t="s">
        <v>26</v>
      </c>
      <c r="G13" s="92" t="s">
        <v>63</v>
      </c>
      <c r="H13" s="92" t="s">
        <v>63</v>
      </c>
      <c r="I13" s="16" t="s">
        <v>121</v>
      </c>
      <c r="J13" s="93" t="s">
        <v>47</v>
      </c>
      <c r="K13" s="92" t="s">
        <v>24</v>
      </c>
      <c r="L13" s="17">
        <v>65.7</v>
      </c>
      <c r="M13" s="22" t="s">
        <v>122</v>
      </c>
      <c r="N13" s="92" t="s">
        <v>92</v>
      </c>
      <c r="O13" s="92" t="s">
        <v>93</v>
      </c>
      <c r="P13" s="96" t="s">
        <v>135</v>
      </c>
      <c r="Q13" s="96" t="s">
        <v>95</v>
      </c>
      <c r="R13" s="89"/>
      <c r="S13" s="90">
        <f t="shared" si="1"/>
        <v>0</v>
      </c>
      <c r="T13" s="22" t="s">
        <v>122</v>
      </c>
      <c r="U13" s="89"/>
      <c r="V13" s="89">
        <v>65.7</v>
      </c>
      <c r="W13" s="100">
        <v>45702</v>
      </c>
    </row>
    <row r="14" spans="1:27" s="97" customFormat="1" ht="20.25" hidden="1" customHeight="1">
      <c r="A14" s="91">
        <v>45699</v>
      </c>
      <c r="B14" s="91"/>
      <c r="C14" s="16" t="s">
        <v>32</v>
      </c>
      <c r="D14" s="92" t="s">
        <v>136</v>
      </c>
      <c r="E14" s="92" t="s">
        <v>117</v>
      </c>
      <c r="F14" s="16" t="s">
        <v>26</v>
      </c>
      <c r="G14" s="92" t="s">
        <v>63</v>
      </c>
      <c r="H14" s="92" t="s">
        <v>63</v>
      </c>
      <c r="I14" s="92" t="s">
        <v>30</v>
      </c>
      <c r="J14" s="93" t="s">
        <v>25</v>
      </c>
      <c r="K14" s="92" t="s">
        <v>24</v>
      </c>
      <c r="L14" s="94">
        <v>19264.5</v>
      </c>
      <c r="M14" s="95" t="s">
        <v>137</v>
      </c>
      <c r="N14" s="92" t="s">
        <v>138</v>
      </c>
      <c r="O14" s="92" t="s">
        <v>148</v>
      </c>
      <c r="P14" s="96" t="s">
        <v>105</v>
      </c>
      <c r="Q14" s="96" t="s">
        <v>95</v>
      </c>
      <c r="R14" s="89"/>
      <c r="S14" s="90">
        <f t="shared" si="1"/>
        <v>0</v>
      </c>
      <c r="T14" s="95" t="s">
        <v>137</v>
      </c>
      <c r="U14" s="89"/>
      <c r="V14" s="89">
        <v>19264.5</v>
      </c>
      <c r="W14" s="100">
        <v>45727</v>
      </c>
    </row>
    <row r="15" spans="1:27" s="97" customFormat="1" ht="20.25" hidden="1" customHeight="1">
      <c r="A15" s="91">
        <v>45700</v>
      </c>
      <c r="B15" s="91"/>
      <c r="C15" s="16" t="s">
        <v>128</v>
      </c>
      <c r="D15" s="16" t="s">
        <v>129</v>
      </c>
      <c r="E15" s="16" t="s">
        <v>130</v>
      </c>
      <c r="F15" s="16" t="s">
        <v>26</v>
      </c>
      <c r="G15" s="92" t="s">
        <v>63</v>
      </c>
      <c r="H15" s="92" t="s">
        <v>63</v>
      </c>
      <c r="I15" s="16" t="s">
        <v>131</v>
      </c>
      <c r="J15" s="93" t="s">
        <v>25</v>
      </c>
      <c r="K15" s="92" t="s">
        <v>24</v>
      </c>
      <c r="L15" s="17">
        <v>1220</v>
      </c>
      <c r="M15" s="95" t="s">
        <v>124</v>
      </c>
      <c r="N15" s="92" t="s">
        <v>132</v>
      </c>
      <c r="O15" s="92" t="s">
        <v>133</v>
      </c>
      <c r="P15" s="96" t="s">
        <v>105</v>
      </c>
      <c r="Q15" s="96" t="s">
        <v>95</v>
      </c>
      <c r="R15" s="89"/>
      <c r="S15" s="90">
        <f t="shared" si="1"/>
        <v>0</v>
      </c>
      <c r="T15" s="95" t="s">
        <v>124</v>
      </c>
      <c r="U15" s="89"/>
      <c r="V15" s="89">
        <v>1220</v>
      </c>
      <c r="W15" s="100">
        <v>45706</v>
      </c>
    </row>
    <row r="16" spans="1:27" s="97" customFormat="1" ht="20.25" hidden="1" customHeight="1">
      <c r="A16" s="91">
        <v>45700</v>
      </c>
      <c r="B16" s="91"/>
      <c r="C16" s="16" t="s">
        <v>128</v>
      </c>
      <c r="D16" s="16" t="s">
        <v>129</v>
      </c>
      <c r="E16" s="16" t="s">
        <v>130</v>
      </c>
      <c r="F16" s="16" t="s">
        <v>26</v>
      </c>
      <c r="G16" s="92" t="s">
        <v>63</v>
      </c>
      <c r="H16" s="92" t="s">
        <v>63</v>
      </c>
      <c r="I16" s="16" t="s">
        <v>87</v>
      </c>
      <c r="J16" s="93" t="s">
        <v>25</v>
      </c>
      <c r="K16" s="92" t="s">
        <v>24</v>
      </c>
      <c r="L16" s="17">
        <v>4327.1000000000004</v>
      </c>
      <c r="M16" s="95" t="s">
        <v>125</v>
      </c>
      <c r="N16" s="92" t="s">
        <v>132</v>
      </c>
      <c r="O16" s="92" t="s">
        <v>133</v>
      </c>
      <c r="P16" s="96" t="s">
        <v>105</v>
      </c>
      <c r="Q16" s="96" t="s">
        <v>95</v>
      </c>
      <c r="R16" s="89"/>
      <c r="S16" s="90">
        <f t="shared" si="1"/>
        <v>0</v>
      </c>
      <c r="T16" s="95" t="s">
        <v>125</v>
      </c>
      <c r="U16" s="89"/>
      <c r="V16" s="89">
        <v>4327.1000000000004</v>
      </c>
      <c r="W16" s="100">
        <v>45706</v>
      </c>
    </row>
    <row r="17" spans="1:23" s="97" customFormat="1" ht="20.25" hidden="1" customHeight="1">
      <c r="A17" s="91">
        <v>45700</v>
      </c>
      <c r="B17" s="91"/>
      <c r="C17" s="16" t="s">
        <v>128</v>
      </c>
      <c r="D17" s="16" t="s">
        <v>134</v>
      </c>
      <c r="E17" s="16" t="s">
        <v>114</v>
      </c>
      <c r="F17" s="16" t="s">
        <v>26</v>
      </c>
      <c r="G17" s="92" t="s">
        <v>63</v>
      </c>
      <c r="H17" s="92" t="s">
        <v>63</v>
      </c>
      <c r="I17" s="16" t="s">
        <v>74</v>
      </c>
      <c r="J17" s="93" t="s">
        <v>25</v>
      </c>
      <c r="K17" s="92" t="s">
        <v>24</v>
      </c>
      <c r="L17" s="17">
        <v>176.2</v>
      </c>
      <c r="M17" s="95" t="s">
        <v>126</v>
      </c>
      <c r="N17" s="92" t="s">
        <v>92</v>
      </c>
      <c r="O17" s="92" t="s">
        <v>93</v>
      </c>
      <c r="P17" s="96" t="s">
        <v>105</v>
      </c>
      <c r="Q17" s="96" t="s">
        <v>95</v>
      </c>
      <c r="R17" s="89"/>
      <c r="S17" s="90">
        <f t="shared" si="1"/>
        <v>0</v>
      </c>
      <c r="T17" s="95" t="s">
        <v>126</v>
      </c>
      <c r="U17" s="89"/>
      <c r="V17" s="89">
        <v>176.2</v>
      </c>
      <c r="W17" s="100">
        <v>45709</v>
      </c>
    </row>
    <row r="18" spans="1:23" s="97" customFormat="1" ht="20.25" hidden="1" customHeight="1">
      <c r="A18" s="91">
        <v>45700</v>
      </c>
      <c r="B18" s="91"/>
      <c r="C18" s="16" t="s">
        <v>128</v>
      </c>
      <c r="D18" s="16" t="s">
        <v>134</v>
      </c>
      <c r="E18" s="16" t="s">
        <v>114</v>
      </c>
      <c r="F18" s="16" t="s">
        <v>26</v>
      </c>
      <c r="G18" s="92" t="s">
        <v>63</v>
      </c>
      <c r="H18" s="92" t="s">
        <v>63</v>
      </c>
      <c r="I18" s="16" t="s">
        <v>74</v>
      </c>
      <c r="J18" s="93" t="s">
        <v>25</v>
      </c>
      <c r="K18" s="92" t="s">
        <v>24</v>
      </c>
      <c r="L18" s="17">
        <v>78.7</v>
      </c>
      <c r="M18" s="95" t="s">
        <v>127</v>
      </c>
      <c r="N18" s="92" t="s">
        <v>92</v>
      </c>
      <c r="O18" s="92" t="s">
        <v>93</v>
      </c>
      <c r="P18" s="96" t="s">
        <v>105</v>
      </c>
      <c r="Q18" s="96" t="s">
        <v>95</v>
      </c>
      <c r="R18" s="89"/>
      <c r="S18" s="90">
        <f t="shared" si="1"/>
        <v>0</v>
      </c>
      <c r="T18" s="95" t="s">
        <v>127</v>
      </c>
      <c r="U18" s="89"/>
      <c r="V18" s="89">
        <v>78.7</v>
      </c>
      <c r="W18" s="100">
        <v>45709</v>
      </c>
    </row>
    <row r="19" spans="1:23" s="97" customFormat="1" ht="20.25" hidden="1" customHeight="1">
      <c r="A19" s="91">
        <v>45712</v>
      </c>
      <c r="B19" s="91"/>
      <c r="C19" s="16" t="s">
        <v>128</v>
      </c>
      <c r="D19" s="92" t="s">
        <v>142</v>
      </c>
      <c r="E19" s="16" t="s">
        <v>130</v>
      </c>
      <c r="F19" s="16" t="s">
        <v>26</v>
      </c>
      <c r="G19" s="92" t="s">
        <v>63</v>
      </c>
      <c r="H19" s="92" t="s">
        <v>63</v>
      </c>
      <c r="I19" s="92" t="s">
        <v>143</v>
      </c>
      <c r="J19" s="93" t="s">
        <v>25</v>
      </c>
      <c r="K19" s="92" t="s">
        <v>24</v>
      </c>
      <c r="L19" s="94">
        <v>263.60000000000002</v>
      </c>
      <c r="M19" s="95" t="s">
        <v>144</v>
      </c>
      <c r="N19" s="92" t="s">
        <v>92</v>
      </c>
      <c r="O19" s="92" t="s">
        <v>93</v>
      </c>
      <c r="P19" s="96" t="s">
        <v>105</v>
      </c>
      <c r="Q19" s="96" t="s">
        <v>95</v>
      </c>
      <c r="R19" s="89"/>
      <c r="S19" s="90">
        <f t="shared" si="1"/>
        <v>0</v>
      </c>
      <c r="T19" s="95" t="s">
        <v>144</v>
      </c>
      <c r="U19" s="89"/>
      <c r="V19" s="89">
        <v>263.60000000000002</v>
      </c>
      <c r="W19" s="100">
        <v>45720</v>
      </c>
    </row>
    <row r="20" spans="1:23" s="97" customFormat="1" ht="20.25" hidden="1" customHeight="1">
      <c r="A20" s="110">
        <v>45714</v>
      </c>
      <c r="B20" s="91"/>
      <c r="C20" s="111" t="s">
        <v>70</v>
      </c>
      <c r="D20" s="111" t="s">
        <v>145</v>
      </c>
      <c r="E20" s="111" t="s">
        <v>64</v>
      </c>
      <c r="F20" s="111" t="s">
        <v>31</v>
      </c>
      <c r="G20" s="111" t="s">
        <v>63</v>
      </c>
      <c r="H20" s="111" t="s">
        <v>63</v>
      </c>
      <c r="I20" s="111" t="s">
        <v>30</v>
      </c>
      <c r="J20" s="112" t="s">
        <v>25</v>
      </c>
      <c r="K20" s="111" t="s">
        <v>24</v>
      </c>
      <c r="L20" s="113">
        <v>5484.6</v>
      </c>
      <c r="M20" s="114" t="s">
        <v>146</v>
      </c>
      <c r="N20" s="111" t="s">
        <v>92</v>
      </c>
      <c r="O20" s="111" t="s">
        <v>93</v>
      </c>
      <c r="P20" s="115" t="s">
        <v>105</v>
      </c>
      <c r="Q20" s="115" t="s">
        <v>95</v>
      </c>
      <c r="R20" s="116"/>
      <c r="S20" s="117">
        <f t="shared" si="1"/>
        <v>-0.5999999999994543</v>
      </c>
      <c r="T20" s="118" t="s">
        <v>146</v>
      </c>
      <c r="V20" s="116">
        <v>5485.2</v>
      </c>
      <c r="W20" s="119">
        <v>45723</v>
      </c>
    </row>
    <row r="21" spans="1:23" s="97" customFormat="1" ht="20.25" hidden="1" customHeight="1">
      <c r="A21" s="91">
        <v>45722</v>
      </c>
      <c r="B21" s="91"/>
      <c r="C21" s="92" t="s">
        <v>61</v>
      </c>
      <c r="D21" s="92">
        <v>5080</v>
      </c>
      <c r="E21" s="92" t="s">
        <v>64</v>
      </c>
      <c r="F21" s="92" t="s">
        <v>31</v>
      </c>
      <c r="G21" s="92" t="s">
        <v>63</v>
      </c>
      <c r="H21" s="92" t="s">
        <v>63</v>
      </c>
      <c r="I21" s="92" t="s">
        <v>30</v>
      </c>
      <c r="J21" s="93" t="s">
        <v>25</v>
      </c>
      <c r="K21" s="92" t="s">
        <v>24</v>
      </c>
      <c r="L21" s="94">
        <v>2456.3000000000002</v>
      </c>
      <c r="M21" s="95" t="s">
        <v>150</v>
      </c>
      <c r="N21" s="92" t="s">
        <v>92</v>
      </c>
      <c r="O21" s="92" t="s">
        <v>93</v>
      </c>
      <c r="P21" s="96" t="s">
        <v>94</v>
      </c>
      <c r="Q21" s="96" t="s">
        <v>95</v>
      </c>
      <c r="R21" s="116"/>
      <c r="S21" s="117">
        <f t="shared" si="1"/>
        <v>-0.29999999999972715</v>
      </c>
      <c r="T21" s="95" t="s">
        <v>150</v>
      </c>
      <c r="U21" s="89"/>
      <c r="V21" s="116">
        <v>2456.6</v>
      </c>
      <c r="W21" s="100">
        <v>45756</v>
      </c>
    </row>
    <row r="22" spans="1:23" s="97" customFormat="1" ht="20.25" hidden="1" customHeight="1">
      <c r="A22" s="91">
        <v>45722</v>
      </c>
      <c r="B22" s="91"/>
      <c r="C22" s="92" t="s">
        <v>61</v>
      </c>
      <c r="D22" s="92" t="s">
        <v>149</v>
      </c>
      <c r="E22" s="92" t="s">
        <v>64</v>
      </c>
      <c r="F22" s="92" t="s">
        <v>31</v>
      </c>
      <c r="G22" s="92" t="s">
        <v>63</v>
      </c>
      <c r="H22" s="92" t="s">
        <v>63</v>
      </c>
      <c r="I22" s="92" t="s">
        <v>30</v>
      </c>
      <c r="J22" s="93" t="s">
        <v>25</v>
      </c>
      <c r="K22" s="92" t="s">
        <v>24</v>
      </c>
      <c r="L22" s="94">
        <v>1610</v>
      </c>
      <c r="M22" s="95" t="s">
        <v>151</v>
      </c>
      <c r="N22" s="92" t="s">
        <v>92</v>
      </c>
      <c r="O22" s="92" t="s">
        <v>93</v>
      </c>
      <c r="P22" s="96" t="s">
        <v>94</v>
      </c>
      <c r="Q22" s="96" t="s">
        <v>95</v>
      </c>
      <c r="R22" s="116"/>
      <c r="S22" s="117">
        <f t="shared" si="1"/>
        <v>-0.29999999999995453</v>
      </c>
      <c r="T22" s="95" t="s">
        <v>151</v>
      </c>
      <c r="U22" s="89"/>
      <c r="V22" s="116">
        <v>1610.3</v>
      </c>
      <c r="W22" s="100">
        <v>45756</v>
      </c>
    </row>
    <row r="23" spans="1:23" s="97" customFormat="1" ht="20.25" hidden="1" customHeight="1">
      <c r="A23" s="91">
        <v>45722</v>
      </c>
      <c r="B23" s="91"/>
      <c r="C23" s="92" t="s">
        <v>61</v>
      </c>
      <c r="D23" s="92">
        <v>5080</v>
      </c>
      <c r="E23" s="92" t="s">
        <v>64</v>
      </c>
      <c r="F23" s="92" t="s">
        <v>31</v>
      </c>
      <c r="G23" s="92" t="s">
        <v>63</v>
      </c>
      <c r="H23" s="92" t="s">
        <v>63</v>
      </c>
      <c r="I23" s="92" t="s">
        <v>30</v>
      </c>
      <c r="J23" s="93" t="s">
        <v>25</v>
      </c>
      <c r="K23" s="92" t="s">
        <v>24</v>
      </c>
      <c r="L23" s="94">
        <v>1936</v>
      </c>
      <c r="M23" s="95" t="s">
        <v>152</v>
      </c>
      <c r="N23" s="92" t="s">
        <v>92</v>
      </c>
      <c r="O23" s="92" t="s">
        <v>93</v>
      </c>
      <c r="P23" s="96" t="s">
        <v>94</v>
      </c>
      <c r="Q23" s="96" t="s">
        <v>95</v>
      </c>
      <c r="R23" s="89"/>
      <c r="S23" s="90">
        <f t="shared" si="1"/>
        <v>0</v>
      </c>
      <c r="T23" s="95" t="s">
        <v>152</v>
      </c>
      <c r="U23" s="89"/>
      <c r="V23" s="89">
        <f>786.1+1149.9</f>
        <v>1936</v>
      </c>
      <c r="W23" s="100">
        <v>45756</v>
      </c>
    </row>
    <row r="24" spans="1:23" s="97" customFormat="1" ht="20.25" hidden="1" customHeight="1">
      <c r="A24" s="91">
        <v>45728</v>
      </c>
      <c r="B24" s="91"/>
      <c r="C24" s="92" t="s">
        <v>23</v>
      </c>
      <c r="D24" s="92" t="s">
        <v>153</v>
      </c>
      <c r="E24" s="92" t="s">
        <v>117</v>
      </c>
      <c r="F24" s="92" t="s">
        <v>26</v>
      </c>
      <c r="G24" s="92" t="s">
        <v>63</v>
      </c>
      <c r="H24" s="92" t="s">
        <v>63</v>
      </c>
      <c r="I24" s="92" t="s">
        <v>30</v>
      </c>
      <c r="J24" s="93" t="s">
        <v>25</v>
      </c>
      <c r="K24" s="92" t="s">
        <v>24</v>
      </c>
      <c r="L24" s="94">
        <v>1440.1</v>
      </c>
      <c r="M24" s="95" t="s">
        <v>154</v>
      </c>
      <c r="N24" s="92" t="s">
        <v>138</v>
      </c>
      <c r="O24" s="92" t="s">
        <v>148</v>
      </c>
      <c r="P24" s="96" t="s">
        <v>105</v>
      </c>
      <c r="Q24" s="96" t="s">
        <v>95</v>
      </c>
      <c r="R24" s="89"/>
      <c r="S24" s="90">
        <f t="shared" si="1"/>
        <v>-1</v>
      </c>
      <c r="T24" s="95" t="s">
        <v>154</v>
      </c>
      <c r="U24" s="89"/>
      <c r="V24" s="89">
        <v>1441.1</v>
      </c>
      <c r="W24" s="100">
        <v>45756</v>
      </c>
    </row>
    <row r="25" spans="1:23" s="97" customFormat="1" ht="20.25" hidden="1" customHeight="1">
      <c r="A25" s="91">
        <v>45728</v>
      </c>
      <c r="B25" s="91"/>
      <c r="C25" s="92" t="s">
        <v>23</v>
      </c>
      <c r="D25" s="92" t="s">
        <v>153</v>
      </c>
      <c r="E25" s="92" t="s">
        <v>117</v>
      </c>
      <c r="F25" s="92" t="s">
        <v>31</v>
      </c>
      <c r="G25" s="92" t="s">
        <v>63</v>
      </c>
      <c r="H25" s="92" t="s">
        <v>63</v>
      </c>
      <c r="I25" s="92" t="s">
        <v>30</v>
      </c>
      <c r="J25" s="93" t="s">
        <v>25</v>
      </c>
      <c r="K25" s="92" t="s">
        <v>24</v>
      </c>
      <c r="L25" s="94">
        <v>535.6</v>
      </c>
      <c r="M25" s="95" t="s">
        <v>155</v>
      </c>
      <c r="N25" s="92" t="s">
        <v>138</v>
      </c>
      <c r="O25" s="92" t="s">
        <v>148</v>
      </c>
      <c r="P25" s="96" t="s">
        <v>105</v>
      </c>
      <c r="Q25" s="96" t="s">
        <v>95</v>
      </c>
      <c r="R25" s="89"/>
      <c r="S25" s="90">
        <f t="shared" si="1"/>
        <v>-1.3999999999999773</v>
      </c>
      <c r="T25" s="95" t="s">
        <v>155</v>
      </c>
      <c r="U25" s="89"/>
      <c r="V25" s="89">
        <v>537</v>
      </c>
      <c r="W25" s="100">
        <v>45756</v>
      </c>
    </row>
    <row r="26" spans="1:23" s="97" customFormat="1" ht="20.25" hidden="1" customHeight="1">
      <c r="A26" s="91">
        <v>45728</v>
      </c>
      <c r="B26" s="91"/>
      <c r="C26" s="92" t="s">
        <v>23</v>
      </c>
      <c r="D26" s="92" t="s">
        <v>153</v>
      </c>
      <c r="E26" s="92" t="s">
        <v>117</v>
      </c>
      <c r="F26" s="92" t="s">
        <v>31</v>
      </c>
      <c r="G26" s="92" t="s">
        <v>63</v>
      </c>
      <c r="H26" s="92" t="s">
        <v>63</v>
      </c>
      <c r="I26" s="92" t="s">
        <v>156</v>
      </c>
      <c r="J26" s="93" t="s">
        <v>25</v>
      </c>
      <c r="K26" s="92" t="s">
        <v>24</v>
      </c>
      <c r="L26" s="94">
        <v>600</v>
      </c>
      <c r="M26" s="95" t="s">
        <v>157</v>
      </c>
      <c r="N26" s="92" t="s">
        <v>92</v>
      </c>
      <c r="O26" s="92" t="s">
        <v>93</v>
      </c>
      <c r="P26" s="96" t="s">
        <v>105</v>
      </c>
      <c r="Q26" s="96" t="s">
        <v>95</v>
      </c>
      <c r="R26" s="89"/>
      <c r="S26" s="90">
        <f t="shared" si="1"/>
        <v>0</v>
      </c>
      <c r="T26" s="95" t="s">
        <v>157</v>
      </c>
      <c r="U26" s="89"/>
      <c r="V26" s="89">
        <v>600</v>
      </c>
      <c r="W26" s="100">
        <v>45730</v>
      </c>
    </row>
    <row r="27" spans="1:23" s="97" customFormat="1" ht="20.25" hidden="1" customHeight="1">
      <c r="A27" s="91">
        <v>45737</v>
      </c>
      <c r="B27" s="91"/>
      <c r="C27" s="92" t="s">
        <v>23</v>
      </c>
      <c r="D27" s="92" t="s">
        <v>158</v>
      </c>
      <c r="E27" s="92" t="s">
        <v>114</v>
      </c>
      <c r="F27" s="92" t="s">
        <v>26</v>
      </c>
      <c r="G27" s="92" t="s">
        <v>63</v>
      </c>
      <c r="H27" s="92" t="s">
        <v>63</v>
      </c>
      <c r="I27" s="92" t="s">
        <v>159</v>
      </c>
      <c r="J27" s="93" t="s">
        <v>25</v>
      </c>
      <c r="K27" s="92" t="s">
        <v>24</v>
      </c>
      <c r="L27" s="94">
        <v>11357.2</v>
      </c>
      <c r="M27" s="95" t="s">
        <v>160</v>
      </c>
      <c r="N27" s="92" t="s">
        <v>92</v>
      </c>
      <c r="O27" s="92" t="s">
        <v>93</v>
      </c>
      <c r="P27" s="96" t="s">
        <v>105</v>
      </c>
      <c r="Q27" s="96" t="s">
        <v>95</v>
      </c>
      <c r="R27" s="89"/>
      <c r="S27" s="90">
        <f t="shared" si="1"/>
        <v>0</v>
      </c>
      <c r="T27" s="95" t="s">
        <v>160</v>
      </c>
      <c r="U27" s="89"/>
      <c r="V27" s="89">
        <f>3507.2+7850</f>
        <v>11357.2</v>
      </c>
      <c r="W27" s="100">
        <v>45740</v>
      </c>
    </row>
    <row r="28" spans="1:23" s="97" customFormat="1" ht="20.25" hidden="1" customHeight="1">
      <c r="A28" s="91">
        <v>45741</v>
      </c>
      <c r="B28" s="91"/>
      <c r="C28" s="92" t="s">
        <v>23</v>
      </c>
      <c r="D28" s="92" t="s">
        <v>161</v>
      </c>
      <c r="E28" s="92" t="s">
        <v>114</v>
      </c>
      <c r="F28" s="92" t="s">
        <v>26</v>
      </c>
      <c r="G28" s="92" t="s">
        <v>63</v>
      </c>
      <c r="H28" s="92" t="s">
        <v>63</v>
      </c>
      <c r="I28" s="92" t="s">
        <v>159</v>
      </c>
      <c r="J28" s="93" t="s">
        <v>25</v>
      </c>
      <c r="K28" s="92" t="s">
        <v>24</v>
      </c>
      <c r="L28" s="94">
        <v>9317</v>
      </c>
      <c r="M28" s="95" t="s">
        <v>162</v>
      </c>
      <c r="N28" s="92" t="s">
        <v>92</v>
      </c>
      <c r="O28" s="92" t="s">
        <v>93</v>
      </c>
      <c r="P28" s="96" t="s">
        <v>105</v>
      </c>
      <c r="Q28" s="96" t="s">
        <v>95</v>
      </c>
      <c r="R28" s="89"/>
      <c r="S28" s="90">
        <f t="shared" si="1"/>
        <v>0</v>
      </c>
      <c r="T28" s="95" t="s">
        <v>162</v>
      </c>
      <c r="U28" s="89"/>
      <c r="V28" s="89">
        <v>9317</v>
      </c>
      <c r="W28" s="100">
        <v>45756</v>
      </c>
    </row>
    <row r="29" spans="1:23" s="97" customFormat="1" ht="20.25" hidden="1" customHeight="1">
      <c r="A29" s="162">
        <v>45763</v>
      </c>
      <c r="B29" s="162"/>
      <c r="C29" s="163" t="s">
        <v>32</v>
      </c>
      <c r="D29" s="163" t="s">
        <v>163</v>
      </c>
      <c r="E29" s="163" t="s">
        <v>117</v>
      </c>
      <c r="F29" s="163" t="s">
        <v>31</v>
      </c>
      <c r="G29" s="163" t="s">
        <v>63</v>
      </c>
      <c r="H29" s="163" t="s">
        <v>63</v>
      </c>
      <c r="I29" s="163" t="s">
        <v>164</v>
      </c>
      <c r="J29" s="93" t="s">
        <v>25</v>
      </c>
      <c r="K29" s="163" t="s">
        <v>24</v>
      </c>
      <c r="L29" s="164">
        <v>11788</v>
      </c>
      <c r="M29" s="165" t="s">
        <v>165</v>
      </c>
      <c r="N29" s="163" t="s">
        <v>166</v>
      </c>
      <c r="O29" s="163" t="s">
        <v>167</v>
      </c>
      <c r="P29" s="96" t="s">
        <v>135</v>
      </c>
      <c r="Q29" s="96" t="s">
        <v>95</v>
      </c>
      <c r="R29" s="89"/>
      <c r="S29" s="90">
        <f t="shared" ref="S29:S41" si="2">L29-R29-V29</f>
        <v>0</v>
      </c>
      <c r="T29" s="165" t="s">
        <v>165</v>
      </c>
      <c r="U29" s="89"/>
      <c r="V29" s="89">
        <f>5594.5+5297+896.5</f>
        <v>11788</v>
      </c>
      <c r="W29" s="100">
        <v>45792</v>
      </c>
    </row>
    <row r="30" spans="1:23" s="97" customFormat="1" ht="20.25" hidden="1" customHeight="1">
      <c r="A30" s="162">
        <v>45763</v>
      </c>
      <c r="B30" s="162"/>
      <c r="C30" s="163" t="s">
        <v>32</v>
      </c>
      <c r="D30" s="163" t="s">
        <v>163</v>
      </c>
      <c r="E30" s="163" t="s">
        <v>117</v>
      </c>
      <c r="F30" s="163" t="s">
        <v>31</v>
      </c>
      <c r="G30" s="163" t="s">
        <v>63</v>
      </c>
      <c r="H30" s="163" t="s">
        <v>63</v>
      </c>
      <c r="I30" s="163" t="s">
        <v>168</v>
      </c>
      <c r="J30" s="93" t="s">
        <v>25</v>
      </c>
      <c r="K30" s="163" t="s">
        <v>24</v>
      </c>
      <c r="L30" s="164">
        <v>1890.1</v>
      </c>
      <c r="M30" s="165" t="s">
        <v>169</v>
      </c>
      <c r="N30" s="163" t="s">
        <v>166</v>
      </c>
      <c r="O30" s="163" t="s">
        <v>167</v>
      </c>
      <c r="P30" s="96" t="s">
        <v>135</v>
      </c>
      <c r="Q30" s="96" t="s">
        <v>95</v>
      </c>
      <c r="R30" s="89"/>
      <c r="S30" s="90">
        <f t="shared" si="2"/>
        <v>0</v>
      </c>
      <c r="T30" s="165" t="s">
        <v>169</v>
      </c>
      <c r="U30" s="89">
        <v>1800</v>
      </c>
      <c r="V30" s="89">
        <f>1655.8+234.3</f>
        <v>1890.1</v>
      </c>
      <c r="W30" s="100">
        <v>45792</v>
      </c>
    </row>
    <row r="31" spans="1:23" s="97" customFormat="1" ht="20.25" hidden="1" customHeight="1">
      <c r="A31" s="162">
        <v>45763</v>
      </c>
      <c r="B31" s="162"/>
      <c r="C31" s="163" t="s">
        <v>32</v>
      </c>
      <c r="D31" s="163" t="s">
        <v>163</v>
      </c>
      <c r="E31" s="163" t="s">
        <v>117</v>
      </c>
      <c r="F31" s="163" t="s">
        <v>31</v>
      </c>
      <c r="G31" s="163" t="s">
        <v>63</v>
      </c>
      <c r="H31" s="163" t="s">
        <v>63</v>
      </c>
      <c r="I31" s="163" t="s">
        <v>86</v>
      </c>
      <c r="J31" s="93" t="s">
        <v>25</v>
      </c>
      <c r="K31" s="163" t="s">
        <v>24</v>
      </c>
      <c r="L31" s="164">
        <v>6263.8</v>
      </c>
      <c r="M31" s="165" t="s">
        <v>170</v>
      </c>
      <c r="N31" s="163" t="s">
        <v>166</v>
      </c>
      <c r="O31" s="163" t="s">
        <v>167</v>
      </c>
      <c r="P31" s="96" t="s">
        <v>135</v>
      </c>
      <c r="Q31" s="96" t="s">
        <v>95</v>
      </c>
      <c r="R31" s="89"/>
      <c r="S31" s="90">
        <f t="shared" si="2"/>
        <v>0</v>
      </c>
      <c r="T31" s="165" t="s">
        <v>170</v>
      </c>
      <c r="U31" s="89">
        <v>3000</v>
      </c>
      <c r="V31" s="89">
        <v>6263.8</v>
      </c>
      <c r="W31" s="100">
        <v>45792</v>
      </c>
    </row>
    <row r="32" spans="1:23" s="97" customFormat="1" ht="20.25" hidden="1" customHeight="1">
      <c r="A32" s="162">
        <v>45763</v>
      </c>
      <c r="B32" s="162"/>
      <c r="C32" s="163" t="s">
        <v>32</v>
      </c>
      <c r="D32" s="163" t="s">
        <v>163</v>
      </c>
      <c r="E32" s="163" t="s">
        <v>117</v>
      </c>
      <c r="F32" s="163" t="s">
        <v>31</v>
      </c>
      <c r="G32" s="163" t="s">
        <v>63</v>
      </c>
      <c r="H32" s="163" t="s">
        <v>63</v>
      </c>
      <c r="I32" s="163" t="s">
        <v>171</v>
      </c>
      <c r="J32" s="93" t="s">
        <v>25</v>
      </c>
      <c r="K32" s="163" t="s">
        <v>24</v>
      </c>
      <c r="L32" s="164">
        <v>7527.1</v>
      </c>
      <c r="M32" s="165" t="s">
        <v>172</v>
      </c>
      <c r="N32" s="163" t="s">
        <v>166</v>
      </c>
      <c r="O32" s="163" t="s">
        <v>167</v>
      </c>
      <c r="P32" s="96" t="s">
        <v>135</v>
      </c>
      <c r="Q32" s="96" t="s">
        <v>95</v>
      </c>
      <c r="R32" s="89"/>
      <c r="S32" s="90">
        <f t="shared" si="2"/>
        <v>0</v>
      </c>
      <c r="T32" s="165" t="s">
        <v>172</v>
      </c>
      <c r="U32" s="89">
        <f>13790.9*0.3</f>
        <v>4137.2699999999995</v>
      </c>
      <c r="V32" s="89">
        <v>7527.1</v>
      </c>
      <c r="W32" s="100">
        <v>45792</v>
      </c>
    </row>
    <row r="33" spans="1:25" s="97" customFormat="1" ht="20.25" hidden="1" customHeight="1">
      <c r="A33" s="162">
        <v>45763</v>
      </c>
      <c r="B33" s="162"/>
      <c r="C33" s="163" t="s">
        <v>32</v>
      </c>
      <c r="D33" s="163" t="s">
        <v>163</v>
      </c>
      <c r="E33" s="163" t="s">
        <v>117</v>
      </c>
      <c r="F33" s="163" t="s">
        <v>31</v>
      </c>
      <c r="G33" s="163" t="s">
        <v>63</v>
      </c>
      <c r="H33" s="163" t="s">
        <v>63</v>
      </c>
      <c r="I33" s="163" t="s">
        <v>171</v>
      </c>
      <c r="J33" s="93" t="s">
        <v>25</v>
      </c>
      <c r="K33" s="163" t="s">
        <v>24</v>
      </c>
      <c r="L33" s="164">
        <v>12286.1</v>
      </c>
      <c r="M33" s="165" t="s">
        <v>173</v>
      </c>
      <c r="N33" s="163" t="s">
        <v>166</v>
      </c>
      <c r="O33" s="163" t="s">
        <v>167</v>
      </c>
      <c r="P33" s="96" t="s">
        <v>135</v>
      </c>
      <c r="Q33" s="96" t="s">
        <v>95</v>
      </c>
      <c r="R33" s="89"/>
      <c r="S33" s="90">
        <f t="shared" si="2"/>
        <v>0</v>
      </c>
      <c r="T33" s="165" t="s">
        <v>173</v>
      </c>
      <c r="U33" s="89" t="s">
        <v>959</v>
      </c>
      <c r="V33" s="89">
        <f>8474.9+3811.2</f>
        <v>12286.099999999999</v>
      </c>
      <c r="W33" s="100">
        <v>45792</v>
      </c>
    </row>
    <row r="34" spans="1:25" s="97" customFormat="1" ht="20.25" hidden="1" customHeight="1">
      <c r="A34" s="91">
        <v>45768</v>
      </c>
      <c r="B34" s="91"/>
      <c r="C34" s="92" t="s">
        <v>70</v>
      </c>
      <c r="D34" s="92" t="s">
        <v>699</v>
      </c>
      <c r="E34" s="92" t="s">
        <v>72</v>
      </c>
      <c r="F34" s="92" t="s">
        <v>31</v>
      </c>
      <c r="G34" s="92" t="s">
        <v>63</v>
      </c>
      <c r="H34" s="92" t="s">
        <v>63</v>
      </c>
      <c r="I34" s="92" t="s">
        <v>84</v>
      </c>
      <c r="J34" s="93" t="s">
        <v>25</v>
      </c>
      <c r="K34" s="92" t="s">
        <v>24</v>
      </c>
      <c r="L34" s="94">
        <v>3532.9</v>
      </c>
      <c r="M34" s="95" t="s">
        <v>174</v>
      </c>
      <c r="N34" s="92" t="s">
        <v>92</v>
      </c>
      <c r="O34" s="92" t="s">
        <v>98</v>
      </c>
      <c r="P34" s="96" t="s">
        <v>94</v>
      </c>
      <c r="Q34" s="96" t="s">
        <v>95</v>
      </c>
      <c r="R34" s="89"/>
      <c r="S34" s="90">
        <f t="shared" si="2"/>
        <v>-0.29999999999972715</v>
      </c>
      <c r="T34" s="95" t="s">
        <v>174</v>
      </c>
      <c r="U34" s="89"/>
      <c r="V34" s="89">
        <v>3533.2</v>
      </c>
      <c r="W34" s="100">
        <v>45782</v>
      </c>
    </row>
    <row r="35" spans="1:25" s="97" customFormat="1" ht="20.25" hidden="1" customHeight="1">
      <c r="A35" s="91">
        <v>45768</v>
      </c>
      <c r="B35" s="91"/>
      <c r="C35" s="92" t="s">
        <v>70</v>
      </c>
      <c r="D35" s="92" t="s">
        <v>699</v>
      </c>
      <c r="E35" s="92" t="s">
        <v>72</v>
      </c>
      <c r="F35" s="92" t="s">
        <v>31</v>
      </c>
      <c r="G35" s="92" t="s">
        <v>63</v>
      </c>
      <c r="H35" s="92" t="s">
        <v>63</v>
      </c>
      <c r="I35" s="92" t="s">
        <v>84</v>
      </c>
      <c r="J35" s="93" t="s">
        <v>25</v>
      </c>
      <c r="K35" s="92" t="s">
        <v>24</v>
      </c>
      <c r="L35" s="94">
        <v>5162.7</v>
      </c>
      <c r="M35" s="95" t="s">
        <v>176</v>
      </c>
      <c r="N35" s="92" t="s">
        <v>92</v>
      </c>
      <c r="O35" s="92" t="s">
        <v>93</v>
      </c>
      <c r="P35" s="96" t="s">
        <v>94</v>
      </c>
      <c r="Q35" s="96" t="s">
        <v>95</v>
      </c>
      <c r="R35" s="89"/>
      <c r="S35" s="90">
        <f>L35-R35-V35-X35</f>
        <v>0</v>
      </c>
      <c r="T35" s="95" t="s">
        <v>176</v>
      </c>
      <c r="U35" s="89"/>
      <c r="V35" s="89">
        <v>4801.5</v>
      </c>
      <c r="W35" s="100">
        <v>45782</v>
      </c>
      <c r="X35" s="89">
        <v>361.2</v>
      </c>
      <c r="Y35" s="100">
        <v>45799</v>
      </c>
    </row>
    <row r="36" spans="1:25" s="97" customFormat="1" ht="20.25" hidden="1" customHeight="1">
      <c r="A36" s="91">
        <v>45768</v>
      </c>
      <c r="B36" s="91"/>
      <c r="C36" s="92" t="s">
        <v>70</v>
      </c>
      <c r="D36" s="92" t="s">
        <v>699</v>
      </c>
      <c r="E36" s="92" t="s">
        <v>72</v>
      </c>
      <c r="F36" s="92" t="s">
        <v>31</v>
      </c>
      <c r="G36" s="92" t="s">
        <v>63</v>
      </c>
      <c r="H36" s="92" t="s">
        <v>63</v>
      </c>
      <c r="I36" s="92" t="s">
        <v>84</v>
      </c>
      <c r="J36" s="93" t="s">
        <v>25</v>
      </c>
      <c r="K36" s="92" t="s">
        <v>24</v>
      </c>
      <c r="L36" s="94">
        <v>1113.2</v>
      </c>
      <c r="M36" s="95" t="s">
        <v>178</v>
      </c>
      <c r="N36" s="92" t="s">
        <v>92</v>
      </c>
      <c r="O36" s="92" t="s">
        <v>93</v>
      </c>
      <c r="P36" s="96" t="s">
        <v>94</v>
      </c>
      <c r="Q36" s="96" t="s">
        <v>95</v>
      </c>
      <c r="R36" s="89"/>
      <c r="S36" s="90">
        <f>L36-R36-V36</f>
        <v>0</v>
      </c>
      <c r="T36" s="95" t="s">
        <v>178</v>
      </c>
      <c r="U36" s="89"/>
      <c r="V36" s="89">
        <v>1113.2</v>
      </c>
      <c r="W36" s="100">
        <v>45811</v>
      </c>
    </row>
    <row r="37" spans="1:25" s="97" customFormat="1" ht="20.25" hidden="1" customHeight="1">
      <c r="A37" s="91">
        <v>45768</v>
      </c>
      <c r="B37" s="91"/>
      <c r="C37" s="92" t="s">
        <v>70</v>
      </c>
      <c r="D37" s="92" t="s">
        <v>699</v>
      </c>
      <c r="E37" s="92" t="s">
        <v>72</v>
      </c>
      <c r="F37" s="92" t="s">
        <v>31</v>
      </c>
      <c r="G37" s="92" t="s">
        <v>63</v>
      </c>
      <c r="H37" s="92" t="s">
        <v>63</v>
      </c>
      <c r="I37" s="92" t="s">
        <v>147</v>
      </c>
      <c r="J37" s="93" t="s">
        <v>25</v>
      </c>
      <c r="K37" s="92" t="s">
        <v>24</v>
      </c>
      <c r="L37" s="94">
        <v>220.4</v>
      </c>
      <c r="M37" s="95" t="s">
        <v>177</v>
      </c>
      <c r="N37" s="92" t="s">
        <v>92</v>
      </c>
      <c r="O37" s="92" t="s">
        <v>93</v>
      </c>
      <c r="P37" s="96" t="s">
        <v>94</v>
      </c>
      <c r="Q37" s="96" t="s">
        <v>95</v>
      </c>
      <c r="R37" s="89"/>
      <c r="S37" s="90">
        <f t="shared" si="2"/>
        <v>-0.90000000000000568</v>
      </c>
      <c r="T37" s="95" t="s">
        <v>177</v>
      </c>
      <c r="U37" s="200"/>
      <c r="V37" s="200">
        <v>221.3</v>
      </c>
      <c r="W37" s="201">
        <v>45782</v>
      </c>
    </row>
    <row r="38" spans="1:25" s="97" customFormat="1" ht="20.25" hidden="1" customHeight="1">
      <c r="A38" s="91">
        <v>45768</v>
      </c>
      <c r="B38" s="91"/>
      <c r="C38" s="92" t="s">
        <v>70</v>
      </c>
      <c r="D38" s="92" t="s">
        <v>699</v>
      </c>
      <c r="E38" s="92" t="s">
        <v>72</v>
      </c>
      <c r="F38" s="92" t="s">
        <v>31</v>
      </c>
      <c r="G38" s="92" t="s">
        <v>63</v>
      </c>
      <c r="H38" s="92" t="s">
        <v>63</v>
      </c>
      <c r="I38" s="92" t="s">
        <v>147</v>
      </c>
      <c r="J38" s="93" t="s">
        <v>25</v>
      </c>
      <c r="K38" s="92" t="s">
        <v>24</v>
      </c>
      <c r="L38" s="94">
        <v>558.70000000000005</v>
      </c>
      <c r="M38" s="95" t="s">
        <v>175</v>
      </c>
      <c r="N38" s="92" t="s">
        <v>92</v>
      </c>
      <c r="O38" s="92" t="s">
        <v>93</v>
      </c>
      <c r="P38" s="96" t="s">
        <v>94</v>
      </c>
      <c r="Q38" s="96" t="s">
        <v>95</v>
      </c>
      <c r="R38" s="89"/>
      <c r="S38" s="90">
        <f>L38-R38-V38</f>
        <v>-0.29999999999995453</v>
      </c>
      <c r="T38" s="95" t="s">
        <v>175</v>
      </c>
      <c r="U38" s="89"/>
      <c r="V38" s="89">
        <v>559</v>
      </c>
      <c r="W38" s="100">
        <v>45782</v>
      </c>
    </row>
    <row r="39" spans="1:25" s="97" customFormat="1" ht="20.25" hidden="1" customHeight="1">
      <c r="A39" s="91">
        <v>45768</v>
      </c>
      <c r="B39" s="91"/>
      <c r="C39" s="92" t="s">
        <v>70</v>
      </c>
      <c r="D39" s="92" t="s">
        <v>187</v>
      </c>
      <c r="E39" s="92" t="s">
        <v>72</v>
      </c>
      <c r="F39" s="92" t="s">
        <v>31</v>
      </c>
      <c r="G39" s="92" t="s">
        <v>63</v>
      </c>
      <c r="H39" s="92" t="s">
        <v>63</v>
      </c>
      <c r="I39" s="92" t="s">
        <v>179</v>
      </c>
      <c r="J39" s="93" t="s">
        <v>25</v>
      </c>
      <c r="K39" s="92" t="s">
        <v>24</v>
      </c>
      <c r="L39" s="94">
        <v>559</v>
      </c>
      <c r="M39" s="95" t="s">
        <v>180</v>
      </c>
      <c r="N39" s="92" t="s">
        <v>92</v>
      </c>
      <c r="O39" s="92" t="s">
        <v>93</v>
      </c>
      <c r="P39" s="96" t="s">
        <v>105</v>
      </c>
      <c r="Q39" s="96" t="s">
        <v>95</v>
      </c>
      <c r="R39" s="89"/>
      <c r="S39" s="90">
        <f t="shared" si="2"/>
        <v>0</v>
      </c>
      <c r="T39" s="95" t="s">
        <v>180</v>
      </c>
      <c r="U39" s="151"/>
      <c r="V39" s="89">
        <v>559</v>
      </c>
      <c r="W39" s="150">
        <v>45799</v>
      </c>
    </row>
    <row r="40" spans="1:25" s="97" customFormat="1" ht="20.25" hidden="1" customHeight="1">
      <c r="A40" s="91">
        <v>45768</v>
      </c>
      <c r="B40" s="91"/>
      <c r="C40" s="92" t="s">
        <v>70</v>
      </c>
      <c r="D40" s="92" t="s">
        <v>187</v>
      </c>
      <c r="E40" s="92" t="s">
        <v>72</v>
      </c>
      <c r="F40" s="92" t="s">
        <v>31</v>
      </c>
      <c r="G40" s="92" t="s">
        <v>63</v>
      </c>
      <c r="H40" s="92" t="s">
        <v>63</v>
      </c>
      <c r="I40" s="92" t="s">
        <v>84</v>
      </c>
      <c r="J40" s="93" t="s">
        <v>25</v>
      </c>
      <c r="K40" s="92" t="s">
        <v>24</v>
      </c>
      <c r="L40" s="94">
        <v>148</v>
      </c>
      <c r="M40" s="95" t="s">
        <v>181</v>
      </c>
      <c r="N40" s="92" t="s">
        <v>92</v>
      </c>
      <c r="O40" s="92" t="s">
        <v>93</v>
      </c>
      <c r="P40" s="96" t="s">
        <v>105</v>
      </c>
      <c r="Q40" s="96" t="s">
        <v>95</v>
      </c>
      <c r="R40" s="89"/>
      <c r="S40" s="90">
        <f t="shared" si="2"/>
        <v>0</v>
      </c>
      <c r="T40" s="95" t="s">
        <v>181</v>
      </c>
      <c r="U40" s="89"/>
      <c r="V40" s="89">
        <v>148</v>
      </c>
      <c r="W40" s="150">
        <v>45799</v>
      </c>
    </row>
    <row r="41" spans="1:25" s="97" customFormat="1" ht="20.25" hidden="1" customHeight="1">
      <c r="A41" s="91">
        <v>45771</v>
      </c>
      <c r="B41" s="91"/>
      <c r="C41" s="92" t="s">
        <v>36</v>
      </c>
      <c r="D41" s="92" t="s">
        <v>204</v>
      </c>
      <c r="E41" s="92" t="s">
        <v>182</v>
      </c>
      <c r="F41" s="92" t="s">
        <v>183</v>
      </c>
      <c r="G41" s="92" t="s">
        <v>63</v>
      </c>
      <c r="H41" s="92" t="s">
        <v>63</v>
      </c>
      <c r="I41" s="92" t="s">
        <v>38</v>
      </c>
      <c r="J41" s="93" t="s">
        <v>25</v>
      </c>
      <c r="K41" s="92" t="s">
        <v>188</v>
      </c>
      <c r="L41" s="94">
        <v>945.7</v>
      </c>
      <c r="M41" s="95" t="s">
        <v>184</v>
      </c>
      <c r="N41" s="92" t="s">
        <v>92</v>
      </c>
      <c r="O41" s="92" t="s">
        <v>93</v>
      </c>
      <c r="P41" s="96" t="s">
        <v>135</v>
      </c>
      <c r="Q41" s="96" t="s">
        <v>185</v>
      </c>
      <c r="R41" s="89"/>
      <c r="S41" s="90">
        <f t="shared" si="2"/>
        <v>0</v>
      </c>
      <c r="T41" s="95" t="s">
        <v>184</v>
      </c>
      <c r="U41" s="89"/>
      <c r="V41" s="89">
        <v>945.7</v>
      </c>
      <c r="W41" s="100">
        <v>45782</v>
      </c>
    </row>
    <row r="42" spans="1:25" s="97" customFormat="1" ht="20.25" hidden="1" customHeight="1">
      <c r="A42" s="91">
        <v>45776</v>
      </c>
      <c r="B42" s="91"/>
      <c r="C42" s="92" t="s">
        <v>36</v>
      </c>
      <c r="D42" s="92" t="s">
        <v>205</v>
      </c>
      <c r="E42" s="92" t="s">
        <v>182</v>
      </c>
      <c r="F42" s="92" t="s">
        <v>183</v>
      </c>
      <c r="G42" s="92" t="s">
        <v>63</v>
      </c>
      <c r="H42" s="92" t="s">
        <v>63</v>
      </c>
      <c r="I42" s="92" t="s">
        <v>38</v>
      </c>
      <c r="J42" s="93" t="s">
        <v>25</v>
      </c>
      <c r="K42" s="92" t="s">
        <v>188</v>
      </c>
      <c r="L42" s="94">
        <v>5931.2</v>
      </c>
      <c r="M42" s="95" t="s">
        <v>189</v>
      </c>
      <c r="N42" s="92" t="s">
        <v>132</v>
      </c>
      <c r="O42" s="92" t="s">
        <v>190</v>
      </c>
      <c r="P42" s="96" t="s">
        <v>135</v>
      </c>
      <c r="Q42" s="96" t="s">
        <v>185</v>
      </c>
      <c r="R42" s="89"/>
      <c r="S42" s="90">
        <f>L42-R42-V42-X42</f>
        <v>0</v>
      </c>
      <c r="T42" s="95" t="s">
        <v>189</v>
      </c>
      <c r="U42" s="89"/>
      <c r="V42" s="89">
        <v>3897.9</v>
      </c>
      <c r="W42" s="100">
        <v>45779</v>
      </c>
      <c r="X42" s="89">
        <v>2033.3</v>
      </c>
      <c r="Y42" s="100">
        <v>45782</v>
      </c>
    </row>
    <row r="43" spans="1:25" s="97" customFormat="1" ht="20.25" hidden="1" customHeight="1">
      <c r="A43" s="91">
        <v>45776</v>
      </c>
      <c r="B43" s="91"/>
      <c r="C43" s="92" t="s">
        <v>36</v>
      </c>
      <c r="D43" s="92" t="s">
        <v>205</v>
      </c>
      <c r="E43" s="92" t="s">
        <v>182</v>
      </c>
      <c r="F43" s="92" t="s">
        <v>183</v>
      </c>
      <c r="G43" s="92" t="s">
        <v>63</v>
      </c>
      <c r="H43" s="92" t="s">
        <v>63</v>
      </c>
      <c r="I43" s="92" t="s">
        <v>191</v>
      </c>
      <c r="J43" s="93" t="s">
        <v>25</v>
      </c>
      <c r="K43" s="92" t="s">
        <v>188</v>
      </c>
      <c r="L43" s="94">
        <v>3395.7</v>
      </c>
      <c r="M43" s="95" t="s">
        <v>192</v>
      </c>
      <c r="N43" s="92" t="s">
        <v>132</v>
      </c>
      <c r="O43" s="92" t="s">
        <v>190</v>
      </c>
      <c r="P43" s="96" t="s">
        <v>135</v>
      </c>
      <c r="Q43" s="96" t="s">
        <v>185</v>
      </c>
      <c r="R43" s="89"/>
      <c r="S43" s="90">
        <f t="shared" ref="S43:S48" si="3">L43-R43-V43</f>
        <v>0</v>
      </c>
      <c r="T43" s="95" t="s">
        <v>192</v>
      </c>
      <c r="V43" s="148">
        <v>3395.7</v>
      </c>
      <c r="W43" s="150">
        <v>45779</v>
      </c>
    </row>
    <row r="44" spans="1:25" s="97" customFormat="1" ht="20.25" hidden="1" customHeight="1">
      <c r="A44" s="91">
        <v>45776</v>
      </c>
      <c r="B44" s="91"/>
      <c r="C44" s="92" t="s">
        <v>36</v>
      </c>
      <c r="D44" s="92" t="s">
        <v>205</v>
      </c>
      <c r="E44" s="92" t="s">
        <v>182</v>
      </c>
      <c r="F44" s="92" t="s">
        <v>183</v>
      </c>
      <c r="G44" s="92" t="s">
        <v>63</v>
      </c>
      <c r="H44" s="92" t="s">
        <v>63</v>
      </c>
      <c r="I44" s="92" t="s">
        <v>193</v>
      </c>
      <c r="J44" s="93" t="s">
        <v>25</v>
      </c>
      <c r="K44" s="92" t="s">
        <v>188</v>
      </c>
      <c r="L44" s="94">
        <v>1837.2</v>
      </c>
      <c r="M44" s="95" t="s">
        <v>194</v>
      </c>
      <c r="N44" s="92" t="s">
        <v>132</v>
      </c>
      <c r="O44" s="92" t="s">
        <v>190</v>
      </c>
      <c r="P44" s="96" t="s">
        <v>135</v>
      </c>
      <c r="Q44" s="96" t="s">
        <v>185</v>
      </c>
      <c r="R44" s="89"/>
      <c r="S44" s="90">
        <f>L44-R44-V44-X44</f>
        <v>0</v>
      </c>
      <c r="T44" s="95" t="s">
        <v>194</v>
      </c>
      <c r="U44" s="89"/>
      <c r="V44" s="151">
        <v>1568.4</v>
      </c>
      <c r="W44" s="150">
        <v>45779</v>
      </c>
      <c r="X44" s="89">
        <v>268.8</v>
      </c>
      <c r="Y44" s="100">
        <v>45790</v>
      </c>
    </row>
    <row r="45" spans="1:25" s="97" customFormat="1" ht="20.25" hidden="1" customHeight="1">
      <c r="A45" s="91">
        <v>45776</v>
      </c>
      <c r="B45" s="91"/>
      <c r="C45" s="92" t="s">
        <v>36</v>
      </c>
      <c r="D45" s="92" t="s">
        <v>205</v>
      </c>
      <c r="E45" s="92" t="s">
        <v>182</v>
      </c>
      <c r="F45" s="92" t="s">
        <v>183</v>
      </c>
      <c r="G45" s="92" t="s">
        <v>63</v>
      </c>
      <c r="H45" s="92" t="s">
        <v>63</v>
      </c>
      <c r="I45" s="92" t="s">
        <v>195</v>
      </c>
      <c r="J45" s="93" t="s">
        <v>25</v>
      </c>
      <c r="K45" s="92" t="s">
        <v>188</v>
      </c>
      <c r="L45" s="94">
        <v>2743.9</v>
      </c>
      <c r="M45" s="95" t="s">
        <v>196</v>
      </c>
      <c r="N45" s="92" t="s">
        <v>132</v>
      </c>
      <c r="O45" s="92" t="s">
        <v>190</v>
      </c>
      <c r="P45" s="96" t="s">
        <v>135</v>
      </c>
      <c r="Q45" s="96" t="s">
        <v>185</v>
      </c>
      <c r="R45" s="89"/>
      <c r="S45" s="90">
        <f>L45-R45-V45-X45</f>
        <v>0</v>
      </c>
      <c r="T45" s="95" t="s">
        <v>196</v>
      </c>
      <c r="U45" s="151"/>
      <c r="V45" s="89">
        <v>1935.5</v>
      </c>
      <c r="W45" s="100">
        <v>45779</v>
      </c>
      <c r="X45" s="89">
        <v>808.4</v>
      </c>
      <c r="Y45" s="100">
        <v>45782</v>
      </c>
    </row>
    <row r="46" spans="1:25" s="97" customFormat="1" ht="20.25" hidden="1" customHeight="1">
      <c r="A46" s="91">
        <v>45776</v>
      </c>
      <c r="B46" s="91"/>
      <c r="C46" s="92" t="s">
        <v>36</v>
      </c>
      <c r="D46" s="92" t="s">
        <v>205</v>
      </c>
      <c r="E46" s="92" t="s">
        <v>182</v>
      </c>
      <c r="F46" s="92" t="s">
        <v>183</v>
      </c>
      <c r="G46" s="92" t="s">
        <v>63</v>
      </c>
      <c r="H46" s="92" t="s">
        <v>63</v>
      </c>
      <c r="I46" s="92" t="s">
        <v>197</v>
      </c>
      <c r="J46" s="93" t="s">
        <v>25</v>
      </c>
      <c r="K46" s="92" t="s">
        <v>188</v>
      </c>
      <c r="L46" s="94">
        <v>188.8</v>
      </c>
      <c r="M46" s="95" t="s">
        <v>198</v>
      </c>
      <c r="N46" s="92" t="s">
        <v>132</v>
      </c>
      <c r="O46" s="92" t="s">
        <v>190</v>
      </c>
      <c r="P46" s="96" t="s">
        <v>135</v>
      </c>
      <c r="Q46" s="96" t="s">
        <v>185</v>
      </c>
      <c r="R46" s="89"/>
      <c r="S46" s="90">
        <f>L46-R46-V46-X46</f>
        <v>0</v>
      </c>
      <c r="T46" s="95" t="s">
        <v>198</v>
      </c>
      <c r="U46" s="89"/>
      <c r="V46" s="89">
        <v>66.2</v>
      </c>
      <c r="W46" s="100">
        <v>45779</v>
      </c>
      <c r="X46" s="89">
        <v>122.6</v>
      </c>
      <c r="Y46" s="152">
        <v>45785</v>
      </c>
    </row>
    <row r="47" spans="1:25" s="97" customFormat="1" ht="20.25" hidden="1" customHeight="1">
      <c r="A47" s="91">
        <v>45776</v>
      </c>
      <c r="B47" s="91"/>
      <c r="C47" s="92" t="s">
        <v>61</v>
      </c>
      <c r="D47" s="92" t="s">
        <v>199</v>
      </c>
      <c r="E47" s="92" t="s">
        <v>200</v>
      </c>
      <c r="F47" s="92" t="s">
        <v>31</v>
      </c>
      <c r="G47" s="92" t="s">
        <v>63</v>
      </c>
      <c r="H47" s="92" t="s">
        <v>63</v>
      </c>
      <c r="I47" s="92" t="s">
        <v>28</v>
      </c>
      <c r="J47" s="93" t="s">
        <v>25</v>
      </c>
      <c r="K47" s="92" t="s">
        <v>24</v>
      </c>
      <c r="L47" s="94">
        <v>443.5</v>
      </c>
      <c r="M47" s="95" t="s">
        <v>201</v>
      </c>
      <c r="N47" s="92" t="s">
        <v>92</v>
      </c>
      <c r="O47" s="92" t="s">
        <v>93</v>
      </c>
      <c r="P47" s="96" t="s">
        <v>105</v>
      </c>
      <c r="Q47" s="96" t="s">
        <v>202</v>
      </c>
      <c r="R47" s="89"/>
      <c r="S47" s="90">
        <f t="shared" si="3"/>
        <v>0</v>
      </c>
      <c r="T47" s="95" t="s">
        <v>201</v>
      </c>
      <c r="U47" s="89"/>
      <c r="V47" s="89">
        <v>443.5</v>
      </c>
      <c r="W47" s="100">
        <v>45790</v>
      </c>
    </row>
    <row r="48" spans="1:25" s="97" customFormat="1" ht="20.25" hidden="1" customHeight="1">
      <c r="A48" s="91">
        <v>45776</v>
      </c>
      <c r="B48" s="91"/>
      <c r="C48" s="92" t="s">
        <v>61</v>
      </c>
      <c r="D48" s="92" t="s">
        <v>199</v>
      </c>
      <c r="E48" s="92" t="s">
        <v>200</v>
      </c>
      <c r="F48" s="92" t="s">
        <v>31</v>
      </c>
      <c r="G48" s="92" t="s">
        <v>63</v>
      </c>
      <c r="H48" s="92" t="s">
        <v>63</v>
      </c>
      <c r="I48" s="92" t="s">
        <v>88</v>
      </c>
      <c r="J48" s="93" t="s">
        <v>25</v>
      </c>
      <c r="K48" s="92" t="s">
        <v>24</v>
      </c>
      <c r="L48" s="94">
        <v>2688.2</v>
      </c>
      <c r="M48" s="95" t="s">
        <v>203</v>
      </c>
      <c r="N48" s="92" t="s">
        <v>92</v>
      </c>
      <c r="O48" s="92" t="s">
        <v>93</v>
      </c>
      <c r="P48" s="96" t="s">
        <v>105</v>
      </c>
      <c r="Q48" s="96" t="s">
        <v>202</v>
      </c>
      <c r="R48" s="89"/>
      <c r="S48" s="90">
        <f t="shared" si="3"/>
        <v>0</v>
      </c>
      <c r="T48" s="95" t="s">
        <v>203</v>
      </c>
      <c r="U48" s="89"/>
      <c r="V48" s="89">
        <v>2688.2</v>
      </c>
      <c r="W48" s="100">
        <v>45790</v>
      </c>
    </row>
    <row r="49" spans="1:29" s="161" customFormat="1" ht="20.25" hidden="1" customHeight="1">
      <c r="A49" s="91">
        <v>45777</v>
      </c>
      <c r="B49" s="91"/>
      <c r="C49" s="92" t="s">
        <v>36</v>
      </c>
      <c r="D49" s="92" t="s">
        <v>206</v>
      </c>
      <c r="E49" s="92" t="s">
        <v>182</v>
      </c>
      <c r="F49" s="92" t="s">
        <v>183</v>
      </c>
      <c r="G49" s="156" t="s">
        <v>63</v>
      </c>
      <c r="H49" s="156" t="s">
        <v>63</v>
      </c>
      <c r="I49" s="92" t="s">
        <v>38</v>
      </c>
      <c r="J49" s="157" t="s">
        <v>25</v>
      </c>
      <c r="K49" s="156" t="s">
        <v>188</v>
      </c>
      <c r="L49" s="94">
        <v>4111.7</v>
      </c>
      <c r="M49" s="95" t="s">
        <v>207</v>
      </c>
      <c r="N49" s="156" t="s">
        <v>63</v>
      </c>
      <c r="O49" s="92" t="s">
        <v>190</v>
      </c>
      <c r="P49" s="158" t="s">
        <v>135</v>
      </c>
      <c r="Q49" s="158" t="s">
        <v>185</v>
      </c>
      <c r="R49" s="89"/>
      <c r="S49" s="90">
        <f>L49-R49-V49-X49-Z49</f>
        <v>0</v>
      </c>
      <c r="T49" s="95" t="s">
        <v>207</v>
      </c>
      <c r="U49" s="159"/>
      <c r="V49" s="89">
        <v>1050.2</v>
      </c>
      <c r="W49" s="100">
        <v>45782</v>
      </c>
      <c r="X49" s="89">
        <v>2071.1</v>
      </c>
      <c r="Y49" s="160">
        <v>45785</v>
      </c>
      <c r="Z49" s="89">
        <v>990.4</v>
      </c>
      <c r="AA49" s="100">
        <v>45792</v>
      </c>
    </row>
    <row r="50" spans="1:29" s="161" customFormat="1" ht="20.25" hidden="1" customHeight="1">
      <c r="A50" s="91">
        <v>45777</v>
      </c>
      <c r="B50" s="91"/>
      <c r="C50" s="92" t="s">
        <v>36</v>
      </c>
      <c r="D50" s="92" t="s">
        <v>206</v>
      </c>
      <c r="E50" s="92" t="s">
        <v>182</v>
      </c>
      <c r="F50" s="92" t="s">
        <v>183</v>
      </c>
      <c r="G50" s="156" t="s">
        <v>63</v>
      </c>
      <c r="H50" s="156" t="s">
        <v>63</v>
      </c>
      <c r="I50" s="92" t="s">
        <v>193</v>
      </c>
      <c r="J50" s="157" t="s">
        <v>25</v>
      </c>
      <c r="K50" s="156" t="s">
        <v>188</v>
      </c>
      <c r="L50" s="94">
        <v>7955.2</v>
      </c>
      <c r="M50" s="95" t="s">
        <v>208</v>
      </c>
      <c r="N50" s="156" t="s">
        <v>63</v>
      </c>
      <c r="O50" s="92" t="s">
        <v>190</v>
      </c>
      <c r="P50" s="158" t="s">
        <v>135</v>
      </c>
      <c r="Q50" s="158" t="s">
        <v>185</v>
      </c>
      <c r="R50" s="89"/>
      <c r="S50" s="90">
        <f>L50-R50-V50-X50-Z50-AB50</f>
        <v>0</v>
      </c>
      <c r="T50" s="95" t="s">
        <v>208</v>
      </c>
      <c r="U50" s="159"/>
      <c r="V50" s="89">
        <v>269.60000000000002</v>
      </c>
      <c r="W50" s="100">
        <v>45782</v>
      </c>
      <c r="X50" s="89">
        <f>257.1+5507.6</f>
        <v>5764.7000000000007</v>
      </c>
      <c r="Y50" s="160">
        <v>45785</v>
      </c>
      <c r="Z50" s="89">
        <v>499.7</v>
      </c>
      <c r="AA50" s="100">
        <v>45790</v>
      </c>
      <c r="AB50" s="89">
        <v>1421.2</v>
      </c>
      <c r="AC50" s="100">
        <v>45792</v>
      </c>
    </row>
    <row r="51" spans="1:29" s="161" customFormat="1" ht="20.25" hidden="1" customHeight="1">
      <c r="A51" s="91">
        <v>45777</v>
      </c>
      <c r="B51" s="91"/>
      <c r="C51" s="92" t="s">
        <v>36</v>
      </c>
      <c r="D51" s="92" t="s">
        <v>206</v>
      </c>
      <c r="E51" s="92" t="s">
        <v>182</v>
      </c>
      <c r="F51" s="92" t="s">
        <v>183</v>
      </c>
      <c r="G51" s="156" t="s">
        <v>63</v>
      </c>
      <c r="H51" s="156" t="s">
        <v>63</v>
      </c>
      <c r="I51" s="92" t="s">
        <v>195</v>
      </c>
      <c r="J51" s="157" t="s">
        <v>25</v>
      </c>
      <c r="K51" s="156" t="s">
        <v>188</v>
      </c>
      <c r="L51" s="94">
        <v>2246.3000000000002</v>
      </c>
      <c r="M51" s="95" t="s">
        <v>209</v>
      </c>
      <c r="N51" s="156" t="s">
        <v>63</v>
      </c>
      <c r="O51" s="92" t="s">
        <v>190</v>
      </c>
      <c r="P51" s="158" t="s">
        <v>135</v>
      </c>
      <c r="Q51" s="158" t="s">
        <v>185</v>
      </c>
      <c r="R51" s="89"/>
      <c r="S51" s="90">
        <f>L51-R51-V51-X51-Z51</f>
        <v>0</v>
      </c>
      <c r="T51" s="95" t="s">
        <v>209</v>
      </c>
      <c r="U51" s="159"/>
      <c r="V51" s="89">
        <v>1153.4000000000001</v>
      </c>
      <c r="W51" s="100">
        <v>45782</v>
      </c>
      <c r="X51" s="89">
        <v>792.2</v>
      </c>
      <c r="Y51" s="160">
        <v>45785</v>
      </c>
      <c r="Z51" s="89">
        <v>300.7</v>
      </c>
      <c r="AA51" s="100">
        <v>45792</v>
      </c>
    </row>
    <row r="52" spans="1:29" s="97" customFormat="1" ht="20.25" hidden="1" customHeight="1">
      <c r="A52" s="91">
        <v>45782</v>
      </c>
      <c r="B52" s="91"/>
      <c r="C52" s="92" t="s">
        <v>36</v>
      </c>
      <c r="D52" s="154" t="s">
        <v>900</v>
      </c>
      <c r="E52" s="92" t="s">
        <v>182</v>
      </c>
      <c r="F52" s="92" t="s">
        <v>183</v>
      </c>
      <c r="G52" s="92" t="s">
        <v>63</v>
      </c>
      <c r="H52" s="92" t="s">
        <v>63</v>
      </c>
      <c r="I52" s="92" t="s">
        <v>38</v>
      </c>
      <c r="J52" s="93" t="s">
        <v>25</v>
      </c>
      <c r="K52" s="92" t="s">
        <v>188</v>
      </c>
      <c r="L52" s="94">
        <v>279.60000000000002</v>
      </c>
      <c r="M52" s="95" t="s">
        <v>893</v>
      </c>
      <c r="N52" s="92" t="s">
        <v>63</v>
      </c>
      <c r="O52" s="92" t="s">
        <v>190</v>
      </c>
      <c r="P52" s="96" t="s">
        <v>135</v>
      </c>
      <c r="Q52" s="96" t="s">
        <v>185</v>
      </c>
      <c r="R52" s="89"/>
      <c r="S52" s="90">
        <f t="shared" ref="S52:S58" si="4">L52-R52-V52-X52</f>
        <v>0</v>
      </c>
      <c r="T52" s="95" t="s">
        <v>893</v>
      </c>
      <c r="U52" s="89"/>
      <c r="V52" s="89">
        <v>279.60000000000002</v>
      </c>
      <c r="W52" s="100">
        <v>45790</v>
      </c>
      <c r="X52" s="89"/>
      <c r="Y52" s="89"/>
    </row>
    <row r="53" spans="1:29" s="97" customFormat="1" ht="20.25" hidden="1" customHeight="1">
      <c r="A53" s="91">
        <v>45782</v>
      </c>
      <c r="B53" s="91"/>
      <c r="C53" s="92" t="s">
        <v>36</v>
      </c>
      <c r="D53" s="154" t="s">
        <v>900</v>
      </c>
      <c r="E53" s="92" t="s">
        <v>182</v>
      </c>
      <c r="F53" s="92" t="s">
        <v>183</v>
      </c>
      <c r="G53" s="92" t="s">
        <v>63</v>
      </c>
      <c r="H53" s="92" t="s">
        <v>63</v>
      </c>
      <c r="I53" s="92" t="s">
        <v>889</v>
      </c>
      <c r="J53" s="93" t="s">
        <v>25</v>
      </c>
      <c r="K53" s="92" t="s">
        <v>188</v>
      </c>
      <c r="L53" s="94">
        <v>421.9</v>
      </c>
      <c r="M53" s="95" t="s">
        <v>894</v>
      </c>
      <c r="N53" s="92" t="s">
        <v>63</v>
      </c>
      <c r="O53" s="92" t="s">
        <v>190</v>
      </c>
      <c r="P53" s="96" t="s">
        <v>135</v>
      </c>
      <c r="Q53" s="96" t="s">
        <v>185</v>
      </c>
      <c r="R53" s="89"/>
      <c r="S53" s="90">
        <f t="shared" si="4"/>
        <v>0</v>
      </c>
      <c r="T53" s="95" t="s">
        <v>894</v>
      </c>
      <c r="U53" s="89"/>
      <c r="V53" s="89">
        <v>421.9</v>
      </c>
      <c r="W53" s="100">
        <v>45790</v>
      </c>
      <c r="X53" s="89"/>
      <c r="Y53" s="89"/>
    </row>
    <row r="54" spans="1:29" s="97" customFormat="1" ht="20.25" hidden="1" customHeight="1">
      <c r="A54" s="91">
        <v>45782</v>
      </c>
      <c r="B54" s="91"/>
      <c r="C54" s="92" t="s">
        <v>36</v>
      </c>
      <c r="D54" s="154" t="s">
        <v>900</v>
      </c>
      <c r="E54" s="92" t="s">
        <v>182</v>
      </c>
      <c r="F54" s="92" t="s">
        <v>183</v>
      </c>
      <c r="G54" s="92" t="s">
        <v>63</v>
      </c>
      <c r="H54" s="92" t="s">
        <v>63</v>
      </c>
      <c r="I54" s="92" t="s">
        <v>193</v>
      </c>
      <c r="J54" s="93" t="s">
        <v>25</v>
      </c>
      <c r="K54" s="92" t="s">
        <v>188</v>
      </c>
      <c r="L54" s="94">
        <v>3110</v>
      </c>
      <c r="M54" s="95" t="s">
        <v>895</v>
      </c>
      <c r="N54" s="92" t="s">
        <v>63</v>
      </c>
      <c r="O54" s="92" t="s">
        <v>190</v>
      </c>
      <c r="P54" s="96" t="s">
        <v>135</v>
      </c>
      <c r="Q54" s="96" t="s">
        <v>185</v>
      </c>
      <c r="R54" s="89"/>
      <c r="S54" s="90">
        <f t="shared" si="4"/>
        <v>0</v>
      </c>
      <c r="T54" s="95" t="s">
        <v>895</v>
      </c>
      <c r="U54" s="89"/>
      <c r="V54" s="89">
        <v>3110</v>
      </c>
      <c r="W54" s="100">
        <v>45790</v>
      </c>
      <c r="X54" s="89"/>
      <c r="Y54" s="89"/>
    </row>
    <row r="55" spans="1:29" s="97" customFormat="1" ht="20.25" hidden="1" customHeight="1">
      <c r="A55" s="91">
        <v>45782</v>
      </c>
      <c r="B55" s="91"/>
      <c r="C55" s="92" t="s">
        <v>36</v>
      </c>
      <c r="D55" s="154" t="s">
        <v>900</v>
      </c>
      <c r="E55" s="92" t="s">
        <v>182</v>
      </c>
      <c r="F55" s="92" t="s">
        <v>183</v>
      </c>
      <c r="G55" s="92" t="s">
        <v>63</v>
      </c>
      <c r="H55" s="92" t="s">
        <v>63</v>
      </c>
      <c r="I55" s="92" t="s">
        <v>195</v>
      </c>
      <c r="J55" s="93" t="s">
        <v>25</v>
      </c>
      <c r="K55" s="92" t="s">
        <v>188</v>
      </c>
      <c r="L55" s="94">
        <v>1765.7</v>
      </c>
      <c r="M55" s="95" t="s">
        <v>896</v>
      </c>
      <c r="N55" s="92" t="s">
        <v>63</v>
      </c>
      <c r="O55" s="92" t="s">
        <v>190</v>
      </c>
      <c r="P55" s="96" t="s">
        <v>135</v>
      </c>
      <c r="Q55" s="96" t="s">
        <v>185</v>
      </c>
      <c r="R55" s="89"/>
      <c r="S55" s="90">
        <f>L55-R55-V55-X55</f>
        <v>0</v>
      </c>
      <c r="T55" s="95" t="s">
        <v>896</v>
      </c>
      <c r="U55" s="89"/>
      <c r="V55" s="89">
        <f>633.7+250.6</f>
        <v>884.30000000000007</v>
      </c>
      <c r="W55" s="100">
        <v>45790</v>
      </c>
      <c r="X55" s="89">
        <v>881.4</v>
      </c>
      <c r="Y55" s="100">
        <v>45792</v>
      </c>
    </row>
    <row r="56" spans="1:29" s="97" customFormat="1" ht="20.25" hidden="1" customHeight="1">
      <c r="A56" s="91">
        <v>45782</v>
      </c>
      <c r="B56" s="91"/>
      <c r="C56" s="92" t="s">
        <v>36</v>
      </c>
      <c r="D56" s="154" t="s">
        <v>900</v>
      </c>
      <c r="E56" s="92" t="s">
        <v>182</v>
      </c>
      <c r="F56" s="92" t="s">
        <v>183</v>
      </c>
      <c r="G56" s="92" t="s">
        <v>63</v>
      </c>
      <c r="H56" s="92" t="s">
        <v>63</v>
      </c>
      <c r="I56" s="92" t="s">
        <v>890</v>
      </c>
      <c r="J56" s="93" t="s">
        <v>25</v>
      </c>
      <c r="K56" s="92" t="s">
        <v>188</v>
      </c>
      <c r="L56" s="94">
        <v>1295.7</v>
      </c>
      <c r="M56" s="95" t="s">
        <v>897</v>
      </c>
      <c r="N56" s="92" t="s">
        <v>63</v>
      </c>
      <c r="O56" s="92" t="s">
        <v>190</v>
      </c>
      <c r="P56" s="96" t="s">
        <v>135</v>
      </c>
      <c r="Q56" s="96" t="s">
        <v>185</v>
      </c>
      <c r="R56" s="89"/>
      <c r="S56" s="90">
        <f>L56-R56-V56-X56</f>
        <v>0</v>
      </c>
      <c r="T56" s="95" t="s">
        <v>897</v>
      </c>
      <c r="U56" s="89"/>
      <c r="V56" s="89">
        <v>306.7</v>
      </c>
      <c r="W56" s="100">
        <v>45790</v>
      </c>
      <c r="X56" s="89">
        <v>989</v>
      </c>
      <c r="Y56" s="100">
        <v>45792</v>
      </c>
    </row>
    <row r="57" spans="1:29" s="97" customFormat="1" ht="20.25" hidden="1" customHeight="1">
      <c r="A57" s="91">
        <v>45782</v>
      </c>
      <c r="B57" s="91"/>
      <c r="C57" s="92" t="s">
        <v>36</v>
      </c>
      <c r="D57" s="154" t="s">
        <v>900</v>
      </c>
      <c r="E57" s="92" t="s">
        <v>182</v>
      </c>
      <c r="F57" s="92" t="s">
        <v>183</v>
      </c>
      <c r="G57" s="92" t="s">
        <v>63</v>
      </c>
      <c r="H57" s="92" t="s">
        <v>63</v>
      </c>
      <c r="I57" s="92" t="s">
        <v>891</v>
      </c>
      <c r="J57" s="93" t="s">
        <v>25</v>
      </c>
      <c r="K57" s="92" t="s">
        <v>188</v>
      </c>
      <c r="L57" s="94">
        <v>17435.5</v>
      </c>
      <c r="M57" s="95" t="s">
        <v>898</v>
      </c>
      <c r="N57" s="92" t="s">
        <v>63</v>
      </c>
      <c r="O57" s="92" t="s">
        <v>190</v>
      </c>
      <c r="P57" s="96" t="s">
        <v>135</v>
      </c>
      <c r="Q57" s="96" t="s">
        <v>185</v>
      </c>
      <c r="R57" s="89"/>
      <c r="S57" s="90">
        <f>L57-R57-V57-X57-Z57</f>
        <v>0</v>
      </c>
      <c r="T57" s="95" t="s">
        <v>898</v>
      </c>
      <c r="U57" s="89"/>
      <c r="V57" s="89">
        <v>5316</v>
      </c>
      <c r="W57" s="160">
        <v>45785</v>
      </c>
      <c r="X57" s="89">
        <v>10442.799999999999</v>
      </c>
      <c r="Y57" s="100">
        <v>45790</v>
      </c>
      <c r="Z57" s="89">
        <v>1676.7</v>
      </c>
      <c r="AA57" s="100">
        <v>45792</v>
      </c>
    </row>
    <row r="58" spans="1:29" s="97" customFormat="1" ht="20.25" hidden="1" customHeight="1">
      <c r="A58" s="91">
        <v>45782</v>
      </c>
      <c r="B58" s="91"/>
      <c r="C58" s="92" t="s">
        <v>36</v>
      </c>
      <c r="D58" s="154" t="s">
        <v>900</v>
      </c>
      <c r="E58" s="92" t="s">
        <v>182</v>
      </c>
      <c r="F58" s="92" t="s">
        <v>183</v>
      </c>
      <c r="G58" s="92" t="s">
        <v>63</v>
      </c>
      <c r="H58" s="92" t="s">
        <v>63</v>
      </c>
      <c r="I58" s="92" t="s">
        <v>892</v>
      </c>
      <c r="J58" s="93" t="s">
        <v>25</v>
      </c>
      <c r="K58" s="92" t="s">
        <v>188</v>
      </c>
      <c r="L58" s="94">
        <v>2126.5</v>
      </c>
      <c r="M58" s="95" t="s">
        <v>899</v>
      </c>
      <c r="N58" s="92" t="s">
        <v>63</v>
      </c>
      <c r="O58" s="92" t="s">
        <v>190</v>
      </c>
      <c r="P58" s="96" t="s">
        <v>135</v>
      </c>
      <c r="Q58" s="96" t="s">
        <v>185</v>
      </c>
      <c r="R58" s="89"/>
      <c r="S58" s="90">
        <f t="shared" si="4"/>
        <v>0</v>
      </c>
      <c r="T58" s="95" t="s">
        <v>899</v>
      </c>
      <c r="U58" s="89"/>
      <c r="V58" s="89">
        <v>968.1</v>
      </c>
      <c r="W58" s="100">
        <v>45790</v>
      </c>
      <c r="X58" s="89">
        <v>1158.4000000000001</v>
      </c>
      <c r="Y58" s="100">
        <v>45792</v>
      </c>
    </row>
    <row r="59" spans="1:29" s="97" customFormat="1" ht="20.25" hidden="1" customHeight="1">
      <c r="A59" s="91">
        <v>45785</v>
      </c>
      <c r="B59" s="91"/>
      <c r="C59" s="92" t="s">
        <v>23</v>
      </c>
      <c r="D59" s="92" t="s">
        <v>161</v>
      </c>
      <c r="E59" s="92" t="s">
        <v>991</v>
      </c>
      <c r="F59" s="92" t="s">
        <v>26</v>
      </c>
      <c r="G59" s="92" t="s">
        <v>63</v>
      </c>
      <c r="H59" s="92" t="s">
        <v>63</v>
      </c>
      <c r="I59" s="92" t="s">
        <v>159</v>
      </c>
      <c r="J59" s="93" t="s">
        <v>25</v>
      </c>
      <c r="K59" s="92" t="s">
        <v>24</v>
      </c>
      <c r="L59" s="94">
        <v>1798.7</v>
      </c>
      <c r="M59" s="95" t="s">
        <v>992</v>
      </c>
      <c r="N59" s="92"/>
      <c r="O59" s="92" t="s">
        <v>93</v>
      </c>
      <c r="P59" s="96" t="s">
        <v>105</v>
      </c>
      <c r="Q59" s="96" t="s">
        <v>993</v>
      </c>
      <c r="R59" s="89"/>
      <c r="S59" s="90">
        <f t="shared" ref="S59:S64" si="5">L59-R59-V59-X59</f>
        <v>0</v>
      </c>
      <c r="T59" s="95" t="s">
        <v>992</v>
      </c>
      <c r="U59" s="89"/>
      <c r="V59" s="89">
        <v>1798.7</v>
      </c>
      <c r="W59" s="100">
        <v>45792</v>
      </c>
      <c r="X59" s="89"/>
      <c r="Y59" s="89"/>
    </row>
    <row r="60" spans="1:29" s="97" customFormat="1" ht="20.25" hidden="1" customHeight="1">
      <c r="A60" s="91">
        <v>45790</v>
      </c>
      <c r="B60" s="91"/>
      <c r="C60" s="16" t="s">
        <v>128</v>
      </c>
      <c r="D60" s="92" t="s">
        <v>994</v>
      </c>
      <c r="E60" s="16" t="s">
        <v>130</v>
      </c>
      <c r="F60" s="16" t="s">
        <v>26</v>
      </c>
      <c r="G60" s="92" t="s">
        <v>63</v>
      </c>
      <c r="H60" s="92" t="s">
        <v>63</v>
      </c>
      <c r="I60" s="92" t="s">
        <v>995</v>
      </c>
      <c r="J60" s="93" t="s">
        <v>25</v>
      </c>
      <c r="K60" s="92" t="s">
        <v>24</v>
      </c>
      <c r="L60" s="94">
        <v>280.5</v>
      </c>
      <c r="M60" s="95" t="s">
        <v>996</v>
      </c>
      <c r="N60" s="95"/>
      <c r="O60" s="92" t="s">
        <v>93</v>
      </c>
      <c r="P60" s="96" t="s">
        <v>105</v>
      </c>
      <c r="Q60" s="96" t="s">
        <v>993</v>
      </c>
      <c r="R60" s="89"/>
      <c r="S60" s="90">
        <f t="shared" si="5"/>
        <v>0</v>
      </c>
      <c r="T60" s="95" t="s">
        <v>996</v>
      </c>
      <c r="U60" s="185"/>
      <c r="V60" s="89">
        <v>280.5</v>
      </c>
      <c r="W60" s="100">
        <v>45800</v>
      </c>
      <c r="X60" s="89"/>
      <c r="Y60" s="89"/>
    </row>
    <row r="61" spans="1:29" s="97" customFormat="1" ht="20.25" hidden="1" customHeight="1">
      <c r="A61" s="91">
        <v>45790</v>
      </c>
      <c r="B61" s="91"/>
      <c r="C61" s="16" t="s">
        <v>997</v>
      </c>
      <c r="D61" s="92" t="s">
        <v>998</v>
      </c>
      <c r="E61" s="16" t="s">
        <v>130</v>
      </c>
      <c r="F61" s="16" t="s">
        <v>26</v>
      </c>
      <c r="G61" s="92" t="s">
        <v>63</v>
      </c>
      <c r="H61" s="92" t="s">
        <v>63</v>
      </c>
      <c r="I61" s="92" t="s">
        <v>999</v>
      </c>
      <c r="J61" s="93" t="s">
        <v>25</v>
      </c>
      <c r="K61" s="92" t="s">
        <v>24</v>
      </c>
      <c r="L61" s="94">
        <v>111.7</v>
      </c>
      <c r="M61" s="95" t="s">
        <v>1000</v>
      </c>
      <c r="N61" s="95"/>
      <c r="O61" s="92" t="s">
        <v>93</v>
      </c>
      <c r="P61" s="96" t="s">
        <v>105</v>
      </c>
      <c r="Q61" s="96" t="s">
        <v>993</v>
      </c>
      <c r="R61" s="89"/>
      <c r="S61" s="90">
        <f t="shared" si="5"/>
        <v>0</v>
      </c>
      <c r="T61" s="95" t="s">
        <v>1000</v>
      </c>
      <c r="U61" s="185"/>
      <c r="V61" s="89">
        <v>111.7</v>
      </c>
      <c r="W61" s="100">
        <v>45793</v>
      </c>
      <c r="X61" s="89"/>
      <c r="Y61" s="100"/>
    </row>
    <row r="62" spans="1:29" s="97" customFormat="1" ht="20.25" hidden="1" customHeight="1">
      <c r="A62" s="91">
        <v>45790</v>
      </c>
      <c r="B62" s="91"/>
      <c r="C62" s="16" t="s">
        <v>997</v>
      </c>
      <c r="D62" s="92" t="s">
        <v>998</v>
      </c>
      <c r="E62" s="16" t="s">
        <v>130</v>
      </c>
      <c r="F62" s="16" t="s">
        <v>26</v>
      </c>
      <c r="G62" s="92" t="s">
        <v>63</v>
      </c>
      <c r="H62" s="92" t="s">
        <v>63</v>
      </c>
      <c r="I62" s="92" t="s">
        <v>999</v>
      </c>
      <c r="J62" s="93" t="s">
        <v>25</v>
      </c>
      <c r="K62" s="92" t="s">
        <v>24</v>
      </c>
      <c r="L62" s="94">
        <v>30</v>
      </c>
      <c r="M62" s="95" t="s">
        <v>1001</v>
      </c>
      <c r="N62" s="95"/>
      <c r="O62" s="92" t="s">
        <v>93</v>
      </c>
      <c r="P62" s="96" t="s">
        <v>105</v>
      </c>
      <c r="Q62" s="96" t="s">
        <v>993</v>
      </c>
      <c r="R62" s="89"/>
      <c r="S62" s="90">
        <f t="shared" si="5"/>
        <v>0</v>
      </c>
      <c r="T62" s="95" t="s">
        <v>1001</v>
      </c>
      <c r="U62" s="185"/>
      <c r="V62" s="89">
        <v>30</v>
      </c>
      <c r="W62" s="100">
        <v>45793</v>
      </c>
      <c r="X62" s="89"/>
      <c r="Y62" s="100"/>
    </row>
    <row r="63" spans="1:29" s="97" customFormat="1" ht="20.25" hidden="1" customHeight="1">
      <c r="A63" s="91">
        <v>45790</v>
      </c>
      <c r="B63" s="91"/>
      <c r="C63" s="16" t="s">
        <v>997</v>
      </c>
      <c r="D63" s="92" t="s">
        <v>998</v>
      </c>
      <c r="E63" s="16" t="s">
        <v>130</v>
      </c>
      <c r="F63" s="16" t="s">
        <v>26</v>
      </c>
      <c r="G63" s="92" t="s">
        <v>63</v>
      </c>
      <c r="H63" s="92" t="s">
        <v>63</v>
      </c>
      <c r="I63" s="92" t="s">
        <v>1002</v>
      </c>
      <c r="J63" s="93" t="s">
        <v>25</v>
      </c>
      <c r="K63" s="92" t="s">
        <v>24</v>
      </c>
      <c r="L63" s="94">
        <v>250</v>
      </c>
      <c r="M63" s="95" t="s">
        <v>1003</v>
      </c>
      <c r="N63" s="95"/>
      <c r="O63" s="92" t="s">
        <v>93</v>
      </c>
      <c r="P63" s="96" t="s">
        <v>105</v>
      </c>
      <c r="Q63" s="96" t="s">
        <v>993</v>
      </c>
      <c r="R63" s="89"/>
      <c r="S63" s="90">
        <f t="shared" si="5"/>
        <v>0</v>
      </c>
      <c r="T63" s="95" t="s">
        <v>1003</v>
      </c>
      <c r="U63" s="185"/>
      <c r="V63" s="89">
        <v>250</v>
      </c>
      <c r="W63" s="100">
        <v>45793</v>
      </c>
      <c r="X63" s="89"/>
      <c r="Y63" s="100"/>
    </row>
    <row r="64" spans="1:29" s="97" customFormat="1" ht="20.25" hidden="1" customHeight="1">
      <c r="A64" s="91">
        <v>45790</v>
      </c>
      <c r="B64" s="91"/>
      <c r="C64" s="16" t="s">
        <v>997</v>
      </c>
      <c r="D64" s="92" t="s">
        <v>998</v>
      </c>
      <c r="E64" s="16" t="s">
        <v>130</v>
      </c>
      <c r="F64" s="16" t="s">
        <v>26</v>
      </c>
      <c r="G64" s="92" t="s">
        <v>63</v>
      </c>
      <c r="H64" s="92" t="s">
        <v>63</v>
      </c>
      <c r="I64" s="92" t="s">
        <v>1004</v>
      </c>
      <c r="J64" s="93" t="s">
        <v>25</v>
      </c>
      <c r="K64" s="92" t="s">
        <v>24</v>
      </c>
      <c r="L64" s="94">
        <v>265</v>
      </c>
      <c r="M64" s="95" t="s">
        <v>1005</v>
      </c>
      <c r="N64" s="95"/>
      <c r="O64" s="92" t="s">
        <v>93</v>
      </c>
      <c r="P64" s="96" t="s">
        <v>105</v>
      </c>
      <c r="Q64" s="96" t="s">
        <v>993</v>
      </c>
      <c r="R64" s="89"/>
      <c r="S64" s="90">
        <f t="shared" si="5"/>
        <v>0</v>
      </c>
      <c r="T64" s="95" t="s">
        <v>1005</v>
      </c>
      <c r="U64" s="185"/>
      <c r="V64" s="89">
        <v>265</v>
      </c>
      <c r="W64" s="100">
        <v>45793</v>
      </c>
      <c r="X64" s="89"/>
      <c r="Y64" s="100"/>
    </row>
    <row r="65" spans="1:23" s="97" customFormat="1" ht="20.25" hidden="1" customHeight="1">
      <c r="A65" s="91">
        <v>45796</v>
      </c>
      <c r="B65" s="91"/>
      <c r="C65" s="92" t="s">
        <v>61</v>
      </c>
      <c r="D65" s="92" t="s">
        <v>1014</v>
      </c>
      <c r="E65" s="92" t="s">
        <v>72</v>
      </c>
      <c r="F65" s="92" t="s">
        <v>31</v>
      </c>
      <c r="G65" s="92" t="s">
        <v>63</v>
      </c>
      <c r="H65" s="92" t="s">
        <v>63</v>
      </c>
      <c r="I65" s="92" t="s">
        <v>112</v>
      </c>
      <c r="J65" s="93" t="s">
        <v>25</v>
      </c>
      <c r="K65" s="92" t="s">
        <v>24</v>
      </c>
      <c r="L65" s="195">
        <v>1316.7</v>
      </c>
      <c r="M65" s="196" t="s">
        <v>1015</v>
      </c>
      <c r="N65" s="197" t="s">
        <v>92</v>
      </c>
      <c r="O65" s="197" t="s">
        <v>93</v>
      </c>
      <c r="P65" s="196" t="s">
        <v>105</v>
      </c>
      <c r="Q65" s="96" t="s">
        <v>202</v>
      </c>
      <c r="R65" s="89"/>
      <c r="S65" s="90">
        <f t="shared" ref="S65:S116" si="6">L65-R65-V65-X65</f>
        <v>0</v>
      </c>
      <c r="T65" s="196" t="s">
        <v>1015</v>
      </c>
      <c r="U65" s="89"/>
      <c r="V65" s="89">
        <v>1316.7</v>
      </c>
      <c r="W65" s="100">
        <v>45803</v>
      </c>
    </row>
    <row r="66" spans="1:23" s="97" customFormat="1" ht="20.25" hidden="1" customHeight="1">
      <c r="A66" s="91">
        <v>45796</v>
      </c>
      <c r="B66" s="91"/>
      <c r="C66" s="92" t="s">
        <v>61</v>
      </c>
      <c r="D66" s="92" t="s">
        <v>1014</v>
      </c>
      <c r="E66" s="92" t="s">
        <v>1016</v>
      </c>
      <c r="F66" s="92" t="s">
        <v>31</v>
      </c>
      <c r="G66" s="92" t="s">
        <v>63</v>
      </c>
      <c r="H66" s="92" t="s">
        <v>63</v>
      </c>
      <c r="I66" s="92" t="s">
        <v>1017</v>
      </c>
      <c r="J66" s="93" t="s">
        <v>25</v>
      </c>
      <c r="K66" s="92" t="s">
        <v>24</v>
      </c>
      <c r="L66" s="195">
        <v>3506.2</v>
      </c>
      <c r="M66" s="196" t="s">
        <v>1018</v>
      </c>
      <c r="N66" s="197" t="s">
        <v>92</v>
      </c>
      <c r="O66" s="197" t="s">
        <v>93</v>
      </c>
      <c r="P66" s="196" t="s">
        <v>105</v>
      </c>
      <c r="Q66" s="96" t="s">
        <v>202</v>
      </c>
      <c r="R66" s="89"/>
      <c r="S66" s="90">
        <f t="shared" si="6"/>
        <v>0</v>
      </c>
      <c r="T66" s="196" t="s">
        <v>1018</v>
      </c>
      <c r="U66" s="89"/>
      <c r="V66" s="89">
        <v>3506.2</v>
      </c>
      <c r="W66" s="100">
        <v>45803</v>
      </c>
    </row>
    <row r="67" spans="1:23" s="97" customFormat="1" ht="20.25" hidden="1" customHeight="1">
      <c r="A67" s="162">
        <v>45796</v>
      </c>
      <c r="B67" s="162"/>
      <c r="C67" s="163" t="s">
        <v>61</v>
      </c>
      <c r="D67" s="163" t="s">
        <v>1014</v>
      </c>
      <c r="E67" s="163" t="s">
        <v>1019</v>
      </c>
      <c r="F67" s="163" t="s">
        <v>31</v>
      </c>
      <c r="G67" s="163" t="s">
        <v>63</v>
      </c>
      <c r="H67" s="163" t="s">
        <v>63</v>
      </c>
      <c r="I67" s="163" t="s">
        <v>84</v>
      </c>
      <c r="J67" s="93" t="s">
        <v>25</v>
      </c>
      <c r="K67" s="163" t="s">
        <v>24</v>
      </c>
      <c r="L67" s="198">
        <v>124.7</v>
      </c>
      <c r="M67" s="196" t="s">
        <v>1020</v>
      </c>
      <c r="N67" s="199" t="s">
        <v>1021</v>
      </c>
      <c r="O67" s="199" t="s">
        <v>148</v>
      </c>
      <c r="P67" s="196" t="s">
        <v>105</v>
      </c>
      <c r="Q67" s="96" t="s">
        <v>202</v>
      </c>
      <c r="R67" s="89"/>
      <c r="S67" s="90">
        <f t="shared" si="6"/>
        <v>0</v>
      </c>
      <c r="T67" s="196" t="s">
        <v>1020</v>
      </c>
      <c r="U67" s="89"/>
      <c r="V67" s="89">
        <v>124.7</v>
      </c>
      <c r="W67" s="100">
        <v>45803</v>
      </c>
    </row>
    <row r="68" spans="1:23" s="97" customFormat="1" ht="20.25" hidden="1" customHeight="1">
      <c r="A68" s="91">
        <v>45797</v>
      </c>
      <c r="B68" s="91"/>
      <c r="C68" s="16" t="s">
        <v>997</v>
      </c>
      <c r="D68" s="92" t="s">
        <v>1022</v>
      </c>
      <c r="E68" s="16" t="s">
        <v>130</v>
      </c>
      <c r="F68" s="16" t="s">
        <v>26</v>
      </c>
      <c r="G68" s="92" t="s">
        <v>63</v>
      </c>
      <c r="H68" s="92" t="s">
        <v>63</v>
      </c>
      <c r="I68" s="92" t="s">
        <v>1023</v>
      </c>
      <c r="J68" s="93" t="s">
        <v>25</v>
      </c>
      <c r="K68" s="92" t="s">
        <v>24</v>
      </c>
      <c r="L68" s="94">
        <v>81.599999999999994</v>
      </c>
      <c r="M68" s="95" t="s">
        <v>1024</v>
      </c>
      <c r="N68" s="95" t="s">
        <v>1024</v>
      </c>
      <c r="O68" s="92" t="s">
        <v>92</v>
      </c>
      <c r="P68" s="92" t="s">
        <v>93</v>
      </c>
      <c r="Q68" s="96" t="s">
        <v>105</v>
      </c>
      <c r="R68" s="89"/>
      <c r="S68" s="90">
        <f t="shared" si="6"/>
        <v>0</v>
      </c>
      <c r="T68" s="95" t="s">
        <v>1024</v>
      </c>
      <c r="U68" s="89"/>
      <c r="V68" s="89">
        <v>81.599999999999994</v>
      </c>
      <c r="W68" s="100">
        <v>45811</v>
      </c>
    </row>
    <row r="69" spans="1:23" s="97" customFormat="1" ht="20.25" hidden="1" customHeight="1">
      <c r="A69" s="91">
        <v>45797</v>
      </c>
      <c r="B69" s="91"/>
      <c r="C69" s="16" t="s">
        <v>997</v>
      </c>
      <c r="D69" s="92" t="s">
        <v>1022</v>
      </c>
      <c r="E69" s="16" t="s">
        <v>130</v>
      </c>
      <c r="F69" s="16" t="s">
        <v>26</v>
      </c>
      <c r="G69" s="92" t="s">
        <v>63</v>
      </c>
      <c r="H69" s="92" t="s">
        <v>63</v>
      </c>
      <c r="I69" s="92" t="s">
        <v>1023</v>
      </c>
      <c r="J69" s="93" t="s">
        <v>25</v>
      </c>
      <c r="K69" s="92" t="s">
        <v>24</v>
      </c>
      <c r="L69" s="94">
        <v>2044.1</v>
      </c>
      <c r="M69" s="95" t="s">
        <v>1025</v>
      </c>
      <c r="N69" s="95" t="s">
        <v>1025</v>
      </c>
      <c r="O69" s="92" t="s">
        <v>92</v>
      </c>
      <c r="P69" s="92" t="s">
        <v>93</v>
      </c>
      <c r="Q69" s="96" t="s">
        <v>105</v>
      </c>
      <c r="R69" s="89"/>
      <c r="S69" s="90">
        <f t="shared" si="6"/>
        <v>0</v>
      </c>
      <c r="T69" s="95" t="s">
        <v>1025</v>
      </c>
      <c r="U69" s="89"/>
      <c r="V69" s="89">
        <v>2044.1</v>
      </c>
      <c r="W69" s="100">
        <v>45811</v>
      </c>
    </row>
    <row r="70" spans="1:23" s="97" customFormat="1" ht="20.25" hidden="1" customHeight="1">
      <c r="A70" s="91">
        <v>45852</v>
      </c>
      <c r="B70" s="91"/>
      <c r="C70" s="16" t="s">
        <v>70</v>
      </c>
      <c r="D70" s="16" t="s">
        <v>1891</v>
      </c>
      <c r="E70" s="16" t="s">
        <v>64</v>
      </c>
      <c r="F70" s="16" t="s">
        <v>26</v>
      </c>
      <c r="G70" s="92" t="s">
        <v>63</v>
      </c>
      <c r="H70" s="92" t="s">
        <v>63</v>
      </c>
      <c r="I70" s="92" t="s">
        <v>30</v>
      </c>
      <c r="J70" s="93" t="s">
        <v>25</v>
      </c>
      <c r="K70" s="92" t="s">
        <v>24</v>
      </c>
      <c r="L70" s="94">
        <v>1142.5</v>
      </c>
      <c r="M70" s="95" t="s">
        <v>1746</v>
      </c>
      <c r="N70" s="95" t="s">
        <v>92</v>
      </c>
      <c r="O70" s="92" t="s">
        <v>93</v>
      </c>
      <c r="P70" s="92" t="s">
        <v>94</v>
      </c>
      <c r="Q70" s="96" t="s">
        <v>95</v>
      </c>
      <c r="R70" s="89"/>
      <c r="S70" s="90">
        <f t="shared" si="6"/>
        <v>0</v>
      </c>
      <c r="T70" s="95" t="s">
        <v>1746</v>
      </c>
      <c r="U70" s="89"/>
      <c r="V70" s="89">
        <v>1142.5</v>
      </c>
      <c r="W70" s="100">
        <v>45869</v>
      </c>
    </row>
    <row r="71" spans="1:23" s="97" customFormat="1" ht="20.25" hidden="1" customHeight="1">
      <c r="A71" s="91">
        <v>45852</v>
      </c>
      <c r="B71" s="91"/>
      <c r="C71" s="16" t="s">
        <v>70</v>
      </c>
      <c r="D71" s="16" t="s">
        <v>1891</v>
      </c>
      <c r="E71" s="16" t="s">
        <v>64</v>
      </c>
      <c r="F71" s="16" t="s">
        <v>26</v>
      </c>
      <c r="G71" s="92" t="s">
        <v>63</v>
      </c>
      <c r="H71" s="92" t="s">
        <v>63</v>
      </c>
      <c r="I71" s="92" t="s">
        <v>30</v>
      </c>
      <c r="J71" s="93" t="s">
        <v>25</v>
      </c>
      <c r="K71" s="92" t="s">
        <v>24</v>
      </c>
      <c r="L71" s="94">
        <v>4023.8</v>
      </c>
      <c r="M71" s="95" t="s">
        <v>1747</v>
      </c>
      <c r="N71" s="95" t="s">
        <v>92</v>
      </c>
      <c r="O71" s="92" t="s">
        <v>93</v>
      </c>
      <c r="P71" s="92" t="s">
        <v>94</v>
      </c>
      <c r="Q71" s="96" t="s">
        <v>95</v>
      </c>
      <c r="R71" s="89"/>
      <c r="S71" s="90">
        <f t="shared" si="6"/>
        <v>0</v>
      </c>
      <c r="T71" s="95" t="s">
        <v>1747</v>
      </c>
      <c r="U71" s="89"/>
      <c r="V71" s="89">
        <v>4023.8</v>
      </c>
      <c r="W71" s="100">
        <v>45869</v>
      </c>
    </row>
    <row r="72" spans="1:23" s="97" customFormat="1" ht="20.25" hidden="1" customHeight="1">
      <c r="A72" s="91">
        <v>45895</v>
      </c>
      <c r="B72" s="91"/>
      <c r="C72" s="16" t="s">
        <v>70</v>
      </c>
      <c r="D72" s="16" t="s">
        <v>2406</v>
      </c>
      <c r="E72" s="16" t="s">
        <v>64</v>
      </c>
      <c r="F72" s="16" t="s">
        <v>31</v>
      </c>
      <c r="G72" s="92"/>
      <c r="H72" s="92"/>
      <c r="I72" s="92" t="s">
        <v>30</v>
      </c>
      <c r="J72" s="93" t="s">
        <v>25</v>
      </c>
      <c r="K72" s="92" t="s">
        <v>24</v>
      </c>
      <c r="L72" s="94">
        <v>1530.8</v>
      </c>
      <c r="M72" s="95" t="s">
        <v>2407</v>
      </c>
      <c r="N72" s="95" t="s">
        <v>92</v>
      </c>
      <c r="O72" s="92" t="s">
        <v>2408</v>
      </c>
      <c r="P72" s="92" t="s">
        <v>94</v>
      </c>
      <c r="Q72" s="96" t="s">
        <v>95</v>
      </c>
      <c r="R72" s="89"/>
      <c r="S72" s="90">
        <f t="shared" si="6"/>
        <v>0</v>
      </c>
      <c r="T72" s="95" t="s">
        <v>2407</v>
      </c>
      <c r="U72" s="89"/>
      <c r="V72" s="89">
        <v>1530.8</v>
      </c>
      <c r="W72" s="100">
        <v>45916</v>
      </c>
    </row>
    <row r="73" spans="1:23" s="97" customFormat="1" ht="20.25" hidden="1" customHeight="1">
      <c r="A73" s="91">
        <v>46028</v>
      </c>
      <c r="B73" s="91" t="s">
        <v>4674</v>
      </c>
      <c r="C73" s="16" t="s">
        <v>400</v>
      </c>
      <c r="D73" s="16" t="s">
        <v>4673</v>
      </c>
      <c r="E73" s="16" t="s">
        <v>71</v>
      </c>
      <c r="F73" s="16" t="s">
        <v>31</v>
      </c>
      <c r="G73" s="92"/>
      <c r="H73" s="92"/>
      <c r="I73" s="92" t="s">
        <v>4652</v>
      </c>
      <c r="J73" s="93" t="s">
        <v>25</v>
      </c>
      <c r="K73" s="92" t="s">
        <v>3715</v>
      </c>
      <c r="L73" s="94">
        <v>769.9</v>
      </c>
      <c r="M73" s="95">
        <v>6</v>
      </c>
      <c r="N73" s="95" t="s">
        <v>4656</v>
      </c>
      <c r="O73" s="92" t="s">
        <v>93</v>
      </c>
      <c r="P73" s="92" t="s">
        <v>105</v>
      </c>
      <c r="Q73" s="96" t="s">
        <v>185</v>
      </c>
      <c r="R73" s="89"/>
      <c r="S73" s="90">
        <f t="shared" si="6"/>
        <v>0</v>
      </c>
      <c r="T73" s="95" t="s">
        <v>4653</v>
      </c>
      <c r="U73" s="89"/>
      <c r="V73" s="89">
        <v>769.9</v>
      </c>
      <c r="W73" s="100">
        <v>46036</v>
      </c>
    </row>
    <row r="74" spans="1:23" s="97" customFormat="1" ht="20.25" hidden="1" customHeight="1">
      <c r="A74" s="91">
        <v>46028</v>
      </c>
      <c r="B74" s="91" t="s">
        <v>4675</v>
      </c>
      <c r="C74" s="16" t="s">
        <v>267</v>
      </c>
      <c r="D74" s="16" t="s">
        <v>4678</v>
      </c>
      <c r="E74" s="16" t="s">
        <v>4654</v>
      </c>
      <c r="F74" s="16" t="s">
        <v>31</v>
      </c>
      <c r="G74" s="92"/>
      <c r="H74" s="92"/>
      <c r="I74" s="92" t="s">
        <v>4677</v>
      </c>
      <c r="J74" s="93" t="s">
        <v>47</v>
      </c>
      <c r="K74" s="92" t="s">
        <v>3715</v>
      </c>
      <c r="L74" s="94">
        <v>201</v>
      </c>
      <c r="M74" s="95">
        <v>1</v>
      </c>
      <c r="N74" s="95" t="s">
        <v>4657</v>
      </c>
      <c r="O74" s="92" t="s">
        <v>93</v>
      </c>
      <c r="P74" s="92" t="s">
        <v>135</v>
      </c>
      <c r="Q74" s="96" t="s">
        <v>4658</v>
      </c>
      <c r="R74" s="89"/>
      <c r="S74" s="90">
        <f>L74-R74-V74-X74</f>
        <v>0</v>
      </c>
      <c r="T74" s="95" t="s">
        <v>4655</v>
      </c>
      <c r="U74" s="89"/>
      <c r="V74" s="89">
        <v>201</v>
      </c>
      <c r="W74" s="100">
        <v>46034</v>
      </c>
    </row>
    <row r="75" spans="1:23" s="97" customFormat="1" ht="20.25" hidden="1" customHeight="1">
      <c r="A75" s="91">
        <v>46031</v>
      </c>
      <c r="B75" s="91" t="s">
        <v>4687</v>
      </c>
      <c r="C75" s="16" t="s">
        <v>315</v>
      </c>
      <c r="D75" s="16" t="s">
        <v>4688</v>
      </c>
      <c r="E75" s="16" t="s">
        <v>71</v>
      </c>
      <c r="F75" s="16" t="s">
        <v>31</v>
      </c>
      <c r="G75" s="92"/>
      <c r="H75" s="92"/>
      <c r="I75" s="92" t="s">
        <v>4689</v>
      </c>
      <c r="J75" s="93" t="s">
        <v>25</v>
      </c>
      <c r="K75" s="92" t="s">
        <v>3715</v>
      </c>
      <c r="L75" s="94">
        <v>560</v>
      </c>
      <c r="M75" s="95">
        <v>5</v>
      </c>
      <c r="N75" s="95" t="s">
        <v>67</v>
      </c>
      <c r="O75" s="92" t="s">
        <v>4692</v>
      </c>
      <c r="P75" s="92" t="s">
        <v>105</v>
      </c>
      <c r="Q75" s="96" t="s">
        <v>4691</v>
      </c>
      <c r="R75" s="89"/>
      <c r="S75" s="90">
        <f t="shared" si="6"/>
        <v>0</v>
      </c>
      <c r="T75" s="95" t="s">
        <v>4690</v>
      </c>
      <c r="U75" s="93" t="s">
        <v>4693</v>
      </c>
      <c r="V75" s="89">
        <v>560</v>
      </c>
      <c r="W75" s="100">
        <v>46042</v>
      </c>
    </row>
    <row r="76" spans="1:23" s="97" customFormat="1" ht="20.25" hidden="1" customHeight="1">
      <c r="A76" s="91">
        <v>46037</v>
      </c>
      <c r="B76" s="91" t="s">
        <v>4833</v>
      </c>
      <c r="C76" s="16" t="s">
        <v>400</v>
      </c>
      <c r="D76" s="16" t="s">
        <v>4835</v>
      </c>
      <c r="E76" s="16" t="s">
        <v>1714</v>
      </c>
      <c r="F76" s="16" t="s">
        <v>31</v>
      </c>
      <c r="G76" s="92"/>
      <c r="H76" s="92"/>
      <c r="I76" s="92" t="s">
        <v>4837</v>
      </c>
      <c r="J76" s="93" t="s">
        <v>25</v>
      </c>
      <c r="K76" s="92" t="s">
        <v>3715</v>
      </c>
      <c r="L76" s="94">
        <v>114.3</v>
      </c>
      <c r="M76" s="95">
        <v>2</v>
      </c>
      <c r="N76" s="95" t="s">
        <v>4841</v>
      </c>
      <c r="O76" s="92" t="s">
        <v>4839</v>
      </c>
      <c r="P76" s="92" t="s">
        <v>105</v>
      </c>
      <c r="Q76" s="96" t="s">
        <v>4658</v>
      </c>
      <c r="R76" s="89"/>
      <c r="S76" s="90">
        <f t="shared" si="6"/>
        <v>9.9999999999994316E-2</v>
      </c>
      <c r="T76" s="95" t="s">
        <v>4842</v>
      </c>
      <c r="U76" s="93" t="s">
        <v>4844</v>
      </c>
      <c r="V76" s="89">
        <v>114.2</v>
      </c>
      <c r="W76" s="100">
        <v>46041</v>
      </c>
    </row>
    <row r="77" spans="1:23" s="97" customFormat="1" ht="20.25" hidden="1" customHeight="1">
      <c r="A77" s="91">
        <v>46037</v>
      </c>
      <c r="B77" s="91" t="s">
        <v>4834</v>
      </c>
      <c r="C77" s="16" t="s">
        <v>400</v>
      </c>
      <c r="D77" s="16" t="s">
        <v>4836</v>
      </c>
      <c r="E77" s="16" t="s">
        <v>4289</v>
      </c>
      <c r="F77" s="16" t="s">
        <v>31</v>
      </c>
      <c r="G77" s="92"/>
      <c r="H77" s="92"/>
      <c r="I77" s="92" t="s">
        <v>4838</v>
      </c>
      <c r="J77" s="93" t="s">
        <v>25</v>
      </c>
      <c r="K77" s="92" t="s">
        <v>3715</v>
      </c>
      <c r="L77" s="94">
        <v>229.4</v>
      </c>
      <c r="M77" s="95">
        <v>3</v>
      </c>
      <c r="N77" s="95" t="s">
        <v>4841</v>
      </c>
      <c r="O77" s="92" t="s">
        <v>4840</v>
      </c>
      <c r="P77" s="92" t="s">
        <v>105</v>
      </c>
      <c r="Q77" s="96" t="s">
        <v>4658</v>
      </c>
      <c r="R77" s="89"/>
      <c r="S77" s="90">
        <f t="shared" si="6"/>
        <v>0</v>
      </c>
      <c r="T77" s="95" t="s">
        <v>4843</v>
      </c>
      <c r="U77" s="93" t="s">
        <v>4844</v>
      </c>
      <c r="V77" s="89">
        <v>229.4</v>
      </c>
      <c r="W77" s="100">
        <v>46041</v>
      </c>
    </row>
    <row r="78" spans="1:23" s="97" customFormat="1" ht="20.25" hidden="1" customHeight="1">
      <c r="A78" s="91">
        <v>46041</v>
      </c>
      <c r="B78" s="91" t="s">
        <v>4845</v>
      </c>
      <c r="C78" s="16" t="s">
        <v>267</v>
      </c>
      <c r="D78" s="16" t="s">
        <v>4846</v>
      </c>
      <c r="E78" s="16" t="s">
        <v>71</v>
      </c>
      <c r="F78" s="16" t="s">
        <v>31</v>
      </c>
      <c r="G78" s="92" t="s">
        <v>75</v>
      </c>
      <c r="H78" s="92"/>
      <c r="I78" s="92" t="s">
        <v>4848</v>
      </c>
      <c r="J78" s="93" t="s">
        <v>25</v>
      </c>
      <c r="K78" s="92" t="s">
        <v>212</v>
      </c>
      <c r="L78" s="94">
        <v>1637.2</v>
      </c>
      <c r="M78" s="95">
        <v>10</v>
      </c>
      <c r="N78" s="95" t="s">
        <v>67</v>
      </c>
      <c r="O78" s="92" t="s">
        <v>4849</v>
      </c>
      <c r="P78" s="92" t="s">
        <v>135</v>
      </c>
      <c r="Q78" s="96" t="s">
        <v>4658</v>
      </c>
      <c r="R78" s="89"/>
      <c r="S78" s="90">
        <f t="shared" si="6"/>
        <v>0</v>
      </c>
      <c r="T78" s="95" t="s">
        <v>4847</v>
      </c>
      <c r="U78" s="93"/>
      <c r="V78" s="89">
        <v>1637.2</v>
      </c>
      <c r="W78" s="100">
        <v>46041</v>
      </c>
    </row>
    <row r="79" spans="1:23" s="97" customFormat="1" ht="20.25" hidden="1" customHeight="1">
      <c r="A79" s="91">
        <v>46044</v>
      </c>
      <c r="B79" s="91" t="s">
        <v>4875</v>
      </c>
      <c r="C79" s="16" t="s">
        <v>267</v>
      </c>
      <c r="D79" s="16" t="s">
        <v>4876</v>
      </c>
      <c r="E79" s="16" t="s">
        <v>4654</v>
      </c>
      <c r="F79" s="16" t="s">
        <v>31</v>
      </c>
      <c r="G79" s="92"/>
      <c r="H79" s="92"/>
      <c r="I79" s="92" t="s">
        <v>4885</v>
      </c>
      <c r="J79" s="93" t="s">
        <v>47</v>
      </c>
      <c r="K79" s="92" t="s">
        <v>212</v>
      </c>
      <c r="L79" s="94">
        <v>402</v>
      </c>
      <c r="M79" s="95">
        <v>1</v>
      </c>
      <c r="N79" s="95" t="s">
        <v>4841</v>
      </c>
      <c r="O79" s="92" t="s">
        <v>4890</v>
      </c>
      <c r="P79" s="92" t="s">
        <v>135</v>
      </c>
      <c r="Q79" s="96" t="s">
        <v>4658</v>
      </c>
      <c r="R79" s="89"/>
      <c r="S79" s="90">
        <f t="shared" si="6"/>
        <v>0</v>
      </c>
      <c r="T79" s="95" t="s">
        <v>4891</v>
      </c>
      <c r="U79" s="93"/>
      <c r="V79" s="89">
        <v>402</v>
      </c>
      <c r="W79" s="100">
        <v>46044</v>
      </c>
    </row>
    <row r="80" spans="1:23" s="97" customFormat="1" ht="20.25" hidden="1" customHeight="1">
      <c r="A80" s="91">
        <v>46044</v>
      </c>
      <c r="B80" s="91" t="s">
        <v>4877</v>
      </c>
      <c r="C80" s="16" t="s">
        <v>267</v>
      </c>
      <c r="D80" s="16" t="s">
        <v>4878</v>
      </c>
      <c r="E80" s="16" t="s">
        <v>71</v>
      </c>
      <c r="F80" s="16" t="s">
        <v>31</v>
      </c>
      <c r="G80" s="92"/>
      <c r="H80" s="92"/>
      <c r="I80" s="92" t="s">
        <v>4886</v>
      </c>
      <c r="J80" s="93" t="s">
        <v>47</v>
      </c>
      <c r="K80" s="92" t="s">
        <v>212</v>
      </c>
      <c r="L80" s="94">
        <v>30.4</v>
      </c>
      <c r="M80" s="95">
        <v>1</v>
      </c>
      <c r="N80" s="95" t="s">
        <v>4841</v>
      </c>
      <c r="O80" s="92" t="s">
        <v>4890</v>
      </c>
      <c r="P80" s="92" t="s">
        <v>135</v>
      </c>
      <c r="Q80" s="96" t="s">
        <v>4658</v>
      </c>
      <c r="R80" s="89"/>
      <c r="S80" s="90">
        <f t="shared" si="6"/>
        <v>0</v>
      </c>
      <c r="T80" s="95" t="s">
        <v>4892</v>
      </c>
      <c r="U80" s="93"/>
      <c r="V80" s="89">
        <v>30.4</v>
      </c>
      <c r="W80" s="100">
        <v>46044</v>
      </c>
    </row>
    <row r="81" spans="1:23" s="97" customFormat="1" ht="20.25" hidden="1" customHeight="1">
      <c r="A81" s="91">
        <v>46044</v>
      </c>
      <c r="B81" s="91" t="s">
        <v>4879</v>
      </c>
      <c r="C81" s="16" t="s">
        <v>267</v>
      </c>
      <c r="D81" s="16" t="s">
        <v>4880</v>
      </c>
      <c r="E81" s="16" t="s">
        <v>71</v>
      </c>
      <c r="F81" s="16" t="s">
        <v>31</v>
      </c>
      <c r="G81" s="92"/>
      <c r="H81" s="92"/>
      <c r="I81" s="92" t="s">
        <v>4887</v>
      </c>
      <c r="J81" s="93" t="s">
        <v>47</v>
      </c>
      <c r="K81" s="92" t="s">
        <v>212</v>
      </c>
      <c r="L81" s="94">
        <v>66.900000000000006</v>
      </c>
      <c r="M81" s="95">
        <v>1</v>
      </c>
      <c r="N81" s="95" t="s">
        <v>4841</v>
      </c>
      <c r="O81" s="92" t="s">
        <v>4890</v>
      </c>
      <c r="P81" s="92" t="s">
        <v>135</v>
      </c>
      <c r="Q81" s="96" t="s">
        <v>4658</v>
      </c>
      <c r="R81" s="89"/>
      <c r="S81" s="90">
        <f t="shared" si="6"/>
        <v>0</v>
      </c>
      <c r="T81" s="95" t="s">
        <v>4893</v>
      </c>
      <c r="U81" s="93" t="s">
        <v>4896</v>
      </c>
      <c r="V81" s="89">
        <v>66.900000000000006</v>
      </c>
      <c r="W81" s="100">
        <v>46044</v>
      </c>
    </row>
    <row r="82" spans="1:23" s="97" customFormat="1" ht="20.25" hidden="1" customHeight="1">
      <c r="A82" s="91">
        <v>46044</v>
      </c>
      <c r="B82" s="91" t="s">
        <v>4881</v>
      </c>
      <c r="C82" s="16" t="s">
        <v>267</v>
      </c>
      <c r="D82" s="16" t="s">
        <v>4882</v>
      </c>
      <c r="E82" s="16" t="s">
        <v>71</v>
      </c>
      <c r="F82" s="16" t="s">
        <v>31</v>
      </c>
      <c r="G82" s="92"/>
      <c r="H82" s="92"/>
      <c r="I82" s="92" t="s">
        <v>4888</v>
      </c>
      <c r="J82" s="93" t="s">
        <v>47</v>
      </c>
      <c r="K82" s="92" t="s">
        <v>212</v>
      </c>
      <c r="L82" s="94">
        <v>35.5</v>
      </c>
      <c r="M82" s="95">
        <v>1</v>
      </c>
      <c r="N82" s="95" t="s">
        <v>4841</v>
      </c>
      <c r="O82" s="92" t="s">
        <v>4890</v>
      </c>
      <c r="P82" s="92" t="s">
        <v>135</v>
      </c>
      <c r="Q82" s="96" t="s">
        <v>4658</v>
      </c>
      <c r="R82" s="89"/>
      <c r="S82" s="90">
        <f t="shared" si="6"/>
        <v>0</v>
      </c>
      <c r="T82" s="95" t="s">
        <v>4894</v>
      </c>
      <c r="U82" s="93"/>
      <c r="V82" s="89">
        <v>35.5</v>
      </c>
      <c r="W82" s="100">
        <v>46049</v>
      </c>
    </row>
    <row r="83" spans="1:23" s="97" customFormat="1" ht="20.25" hidden="1" customHeight="1">
      <c r="A83" s="91">
        <v>46044</v>
      </c>
      <c r="B83" s="91" t="s">
        <v>4883</v>
      </c>
      <c r="C83" s="16" t="s">
        <v>267</v>
      </c>
      <c r="D83" s="16" t="s">
        <v>4884</v>
      </c>
      <c r="E83" s="16" t="s">
        <v>71</v>
      </c>
      <c r="F83" s="16" t="s">
        <v>31</v>
      </c>
      <c r="G83" s="92"/>
      <c r="H83" s="92"/>
      <c r="I83" s="92" t="s">
        <v>4889</v>
      </c>
      <c r="J83" s="93" t="s">
        <v>47</v>
      </c>
      <c r="K83" s="92" t="s">
        <v>212</v>
      </c>
      <c r="L83" s="94">
        <v>35.200000000000003</v>
      </c>
      <c r="M83" s="95">
        <v>1</v>
      </c>
      <c r="N83" s="95" t="s">
        <v>4841</v>
      </c>
      <c r="O83" s="92" t="s">
        <v>4890</v>
      </c>
      <c r="P83" s="92" t="s">
        <v>135</v>
      </c>
      <c r="Q83" s="96" t="s">
        <v>4658</v>
      </c>
      <c r="R83" s="89"/>
      <c r="S83" s="90">
        <f t="shared" si="6"/>
        <v>0</v>
      </c>
      <c r="T83" s="95" t="s">
        <v>4895</v>
      </c>
      <c r="U83" s="93"/>
      <c r="V83" s="89">
        <v>35.200000000000003</v>
      </c>
      <c r="W83" s="100">
        <v>46051</v>
      </c>
    </row>
    <row r="84" spans="1:23" s="97" customFormat="1" ht="20.25" hidden="1" customHeight="1">
      <c r="A84" s="91">
        <v>46048</v>
      </c>
      <c r="B84" s="91" t="s">
        <v>4917</v>
      </c>
      <c r="C84" s="16" t="s">
        <v>267</v>
      </c>
      <c r="D84" s="16" t="s">
        <v>4918</v>
      </c>
      <c r="E84" s="16" t="s">
        <v>71</v>
      </c>
      <c r="F84" s="16" t="s">
        <v>31</v>
      </c>
      <c r="G84" s="92"/>
      <c r="H84" s="92"/>
      <c r="I84" s="92" t="s">
        <v>4920</v>
      </c>
      <c r="J84" s="93" t="s">
        <v>47</v>
      </c>
      <c r="K84" s="92" t="s">
        <v>212</v>
      </c>
      <c r="L84" s="94">
        <v>66.900000000000006</v>
      </c>
      <c r="M84" s="95">
        <v>1</v>
      </c>
      <c r="N84" s="95" t="s">
        <v>4841</v>
      </c>
      <c r="O84" s="92"/>
      <c r="P84" s="92" t="s">
        <v>135</v>
      </c>
      <c r="Q84" s="96" t="s">
        <v>4658</v>
      </c>
      <c r="R84" s="89"/>
      <c r="S84" s="90">
        <f t="shared" si="6"/>
        <v>0</v>
      </c>
      <c r="T84" s="95" t="s">
        <v>4919</v>
      </c>
      <c r="U84" s="93"/>
      <c r="V84" s="89">
        <v>66.900000000000006</v>
      </c>
      <c r="W84" s="100">
        <v>46049</v>
      </c>
    </row>
    <row r="85" spans="1:23" s="97" customFormat="1" ht="20.25" hidden="1" customHeight="1">
      <c r="A85" s="91">
        <v>46056</v>
      </c>
      <c r="B85" s="91"/>
      <c r="C85" s="16" t="s">
        <v>4590</v>
      </c>
      <c r="D85" s="16" t="s">
        <v>5102</v>
      </c>
      <c r="E85" s="16" t="s">
        <v>72</v>
      </c>
      <c r="F85" s="16" t="s">
        <v>31</v>
      </c>
      <c r="G85" s="92" t="s">
        <v>35</v>
      </c>
      <c r="H85" s="92"/>
      <c r="I85" s="92" t="s">
        <v>4427</v>
      </c>
      <c r="J85" s="93" t="s">
        <v>25</v>
      </c>
      <c r="K85" s="92" t="s">
        <v>3715</v>
      </c>
      <c r="L85" s="94">
        <v>3140.8</v>
      </c>
      <c r="M85" s="95">
        <v>1</v>
      </c>
      <c r="N85" s="95" t="s">
        <v>92</v>
      </c>
      <c r="O85" s="92" t="s">
        <v>5104</v>
      </c>
      <c r="P85" s="92" t="s">
        <v>135</v>
      </c>
      <c r="Q85" s="96" t="s">
        <v>5105</v>
      </c>
      <c r="R85" s="89"/>
      <c r="S85" s="90">
        <f t="shared" si="6"/>
        <v>0</v>
      </c>
      <c r="T85" s="95" t="s">
        <v>5103</v>
      </c>
      <c r="U85" s="93"/>
      <c r="V85" s="89">
        <v>3140.8</v>
      </c>
      <c r="W85" s="100">
        <v>46071</v>
      </c>
    </row>
    <row r="86" spans="1:23" s="97" customFormat="1" ht="20.25" hidden="1" customHeight="1">
      <c r="A86" s="91">
        <v>46055</v>
      </c>
      <c r="B86" s="91"/>
      <c r="C86" s="16" t="s">
        <v>5106</v>
      </c>
      <c r="D86" s="16" t="s">
        <v>5107</v>
      </c>
      <c r="E86" s="16" t="s">
        <v>72</v>
      </c>
      <c r="F86" s="16" t="s">
        <v>31</v>
      </c>
      <c r="G86" s="92" t="s">
        <v>75</v>
      </c>
      <c r="H86" s="92"/>
      <c r="I86" s="92" t="s">
        <v>3236</v>
      </c>
      <c r="J86" s="93" t="s">
        <v>25</v>
      </c>
      <c r="K86" s="92" t="s">
        <v>3715</v>
      </c>
      <c r="L86" s="94">
        <v>31.3</v>
      </c>
      <c r="M86" s="440">
        <v>1</v>
      </c>
      <c r="N86" s="95" t="s">
        <v>92</v>
      </c>
      <c r="O86" s="92" t="s">
        <v>5104</v>
      </c>
      <c r="P86" s="92" t="s">
        <v>94</v>
      </c>
      <c r="Q86" s="96" t="s">
        <v>4658</v>
      </c>
      <c r="R86" s="89"/>
      <c r="S86" s="90">
        <f t="shared" si="6"/>
        <v>0</v>
      </c>
      <c r="T86" s="95" t="s">
        <v>5108</v>
      </c>
      <c r="U86" s="93"/>
      <c r="V86" s="89">
        <v>31.3</v>
      </c>
      <c r="W86" s="100">
        <v>46064</v>
      </c>
    </row>
    <row r="87" spans="1:23" s="97" customFormat="1" ht="20.25" hidden="1" customHeight="1">
      <c r="A87" s="91">
        <v>46055</v>
      </c>
      <c r="B87" s="91"/>
      <c r="C87" s="16" t="s">
        <v>5106</v>
      </c>
      <c r="D87" s="16" t="s">
        <v>5107</v>
      </c>
      <c r="E87" s="16" t="s">
        <v>72</v>
      </c>
      <c r="F87" s="16" t="s">
        <v>31</v>
      </c>
      <c r="G87" s="92" t="s">
        <v>75</v>
      </c>
      <c r="H87" s="92"/>
      <c r="I87" s="92" t="s">
        <v>3236</v>
      </c>
      <c r="J87" s="93" t="s">
        <v>25</v>
      </c>
      <c r="K87" s="92" t="s">
        <v>3715</v>
      </c>
      <c r="L87" s="94">
        <v>106.5</v>
      </c>
      <c r="M87" s="441"/>
      <c r="N87" s="95" t="s">
        <v>92</v>
      </c>
      <c r="O87" s="92" t="s">
        <v>5104</v>
      </c>
      <c r="P87" s="92" t="s">
        <v>94</v>
      </c>
      <c r="Q87" s="96" t="s">
        <v>4658</v>
      </c>
      <c r="R87" s="89"/>
      <c r="S87" s="90">
        <f t="shared" si="6"/>
        <v>0</v>
      </c>
      <c r="T87" s="95" t="s">
        <v>5109</v>
      </c>
      <c r="U87" s="93"/>
      <c r="V87" s="89">
        <v>106.5</v>
      </c>
      <c r="W87" s="100">
        <v>46064</v>
      </c>
    </row>
    <row r="88" spans="1:23" s="97" customFormat="1" ht="20.25" hidden="1" customHeight="1">
      <c r="A88" s="91">
        <v>46073</v>
      </c>
      <c r="B88" s="91"/>
      <c r="C88" s="16" t="s">
        <v>4590</v>
      </c>
      <c r="D88" s="16" t="s">
        <v>5421</v>
      </c>
      <c r="E88" s="16" t="s">
        <v>72</v>
      </c>
      <c r="F88" s="16" t="s">
        <v>31</v>
      </c>
      <c r="G88" s="92" t="s">
        <v>35</v>
      </c>
      <c r="H88" s="92"/>
      <c r="I88" s="92" t="s">
        <v>5422</v>
      </c>
      <c r="J88" s="93" t="s">
        <v>25</v>
      </c>
      <c r="K88" s="92" t="s">
        <v>3715</v>
      </c>
      <c r="L88" s="94">
        <v>42.4</v>
      </c>
      <c r="M88" s="389">
        <v>1</v>
      </c>
      <c r="N88" s="95" t="s">
        <v>92</v>
      </c>
      <c r="O88" s="92" t="s">
        <v>5104</v>
      </c>
      <c r="P88" s="92" t="s">
        <v>135</v>
      </c>
      <c r="Q88" s="96" t="s">
        <v>4658</v>
      </c>
      <c r="R88" s="89"/>
      <c r="S88" s="90">
        <f t="shared" si="6"/>
        <v>0</v>
      </c>
      <c r="T88" s="95" t="s">
        <v>5423</v>
      </c>
      <c r="U88" s="93"/>
      <c r="V88" s="89">
        <v>42.4</v>
      </c>
      <c r="W88" s="100">
        <v>46079</v>
      </c>
    </row>
    <row r="89" spans="1:23" s="97" customFormat="1" ht="20.25" hidden="1" customHeight="1">
      <c r="A89" s="91">
        <v>46080</v>
      </c>
      <c r="B89" s="91"/>
      <c r="C89" s="16" t="s">
        <v>4590</v>
      </c>
      <c r="D89" s="16" t="s">
        <v>5446</v>
      </c>
      <c r="E89" s="16" t="s">
        <v>72</v>
      </c>
      <c r="F89" s="16" t="s">
        <v>31</v>
      </c>
      <c r="G89" s="92" t="s">
        <v>35</v>
      </c>
      <c r="H89" s="92" t="s">
        <v>63</v>
      </c>
      <c r="I89" s="92" t="s">
        <v>3482</v>
      </c>
      <c r="J89" s="93" t="s">
        <v>25</v>
      </c>
      <c r="K89" s="92" t="s">
        <v>3715</v>
      </c>
      <c r="L89" s="94">
        <v>315.89999999999998</v>
      </c>
      <c r="M89" s="94">
        <v>2</v>
      </c>
      <c r="N89" s="95" t="s">
        <v>53</v>
      </c>
      <c r="O89" s="92" t="s">
        <v>5448</v>
      </c>
      <c r="P89" s="92" t="s">
        <v>105</v>
      </c>
      <c r="Q89" s="96" t="s">
        <v>5449</v>
      </c>
      <c r="R89" s="89"/>
      <c r="S89" s="90">
        <f t="shared" si="6"/>
        <v>0</v>
      </c>
      <c r="T89" s="95" t="s">
        <v>5447</v>
      </c>
      <c r="U89" s="93"/>
      <c r="V89" s="89">
        <v>315.89999999999998</v>
      </c>
      <c r="W89" s="100">
        <v>46084</v>
      </c>
    </row>
    <row r="90" spans="1:23" s="97" customFormat="1" ht="20.25" hidden="1" customHeight="1">
      <c r="A90" s="91">
        <v>46085</v>
      </c>
      <c r="B90" s="91"/>
      <c r="C90" s="16" t="s">
        <v>5498</v>
      </c>
      <c r="D90" s="16" t="s">
        <v>5499</v>
      </c>
      <c r="E90" s="16" t="s">
        <v>72</v>
      </c>
      <c r="F90" s="16" t="s">
        <v>31</v>
      </c>
      <c r="G90" s="92" t="s">
        <v>35</v>
      </c>
      <c r="H90" s="92" t="s">
        <v>63</v>
      </c>
      <c r="I90" s="92" t="s">
        <v>5500</v>
      </c>
      <c r="J90" s="93" t="s">
        <v>25</v>
      </c>
      <c r="K90" s="92" t="s">
        <v>3715</v>
      </c>
      <c r="L90" s="94">
        <v>970.3</v>
      </c>
      <c r="M90" s="94">
        <v>10</v>
      </c>
      <c r="N90" s="95" t="s">
        <v>92</v>
      </c>
      <c r="O90" s="92" t="s">
        <v>5502</v>
      </c>
      <c r="P90" s="92" t="s">
        <v>135</v>
      </c>
      <c r="Q90" s="96" t="s">
        <v>5449</v>
      </c>
      <c r="R90" s="89"/>
      <c r="S90" s="90">
        <f t="shared" si="6"/>
        <v>0</v>
      </c>
      <c r="T90" s="95" t="s">
        <v>5501</v>
      </c>
      <c r="U90" s="93"/>
      <c r="V90" s="89">
        <v>970.3</v>
      </c>
      <c r="W90" s="100">
        <v>46111</v>
      </c>
    </row>
    <row r="91" spans="1:23" s="97" customFormat="1" ht="20.25" hidden="1" customHeight="1">
      <c r="A91" s="91">
        <v>46085</v>
      </c>
      <c r="B91" s="91"/>
      <c r="C91" s="16" t="s">
        <v>5503</v>
      </c>
      <c r="D91" s="16" t="s">
        <v>5504</v>
      </c>
      <c r="E91" s="16" t="s">
        <v>72</v>
      </c>
      <c r="F91" s="16" t="s">
        <v>31</v>
      </c>
      <c r="G91" s="92" t="s">
        <v>35</v>
      </c>
      <c r="H91" s="92" t="s">
        <v>63</v>
      </c>
      <c r="I91" s="92" t="s">
        <v>966</v>
      </c>
      <c r="J91" s="93" t="s">
        <v>47</v>
      </c>
      <c r="K91" s="92" t="s">
        <v>3715</v>
      </c>
      <c r="L91" s="94">
        <v>85.6</v>
      </c>
      <c r="M91" s="94">
        <v>1</v>
      </c>
      <c r="N91" s="95" t="s">
        <v>92</v>
      </c>
      <c r="O91" s="92" t="s">
        <v>5104</v>
      </c>
      <c r="P91" s="92" t="s">
        <v>135</v>
      </c>
      <c r="Q91" s="96" t="s">
        <v>4658</v>
      </c>
      <c r="R91" s="89"/>
      <c r="S91" s="90">
        <f t="shared" si="6"/>
        <v>2</v>
      </c>
      <c r="T91" s="95" t="s">
        <v>5505</v>
      </c>
      <c r="U91" s="93"/>
      <c r="V91" s="89">
        <v>83.6</v>
      </c>
      <c r="W91" s="100">
        <v>46093</v>
      </c>
    </row>
    <row r="92" spans="1:23" s="97" customFormat="1" ht="20.25" hidden="1" customHeight="1">
      <c r="A92" s="91">
        <v>46085</v>
      </c>
      <c r="B92" s="91"/>
      <c r="C92" s="16" t="s">
        <v>5503</v>
      </c>
      <c r="D92" s="16" t="s">
        <v>5506</v>
      </c>
      <c r="E92" s="16" t="s">
        <v>72</v>
      </c>
      <c r="F92" s="16" t="s">
        <v>31</v>
      </c>
      <c r="G92" s="92" t="s">
        <v>35</v>
      </c>
      <c r="H92" s="92" t="s">
        <v>63</v>
      </c>
      <c r="I92" s="92" t="s">
        <v>5507</v>
      </c>
      <c r="J92" s="93" t="s">
        <v>47</v>
      </c>
      <c r="K92" s="92" t="s">
        <v>3715</v>
      </c>
      <c r="L92" s="94">
        <v>34.299999999999997</v>
      </c>
      <c r="M92" s="94">
        <v>1</v>
      </c>
      <c r="N92" s="95" t="s">
        <v>92</v>
      </c>
      <c r="O92" s="92" t="s">
        <v>5104</v>
      </c>
      <c r="P92" s="92" t="s">
        <v>135</v>
      </c>
      <c r="Q92" s="96" t="s">
        <v>4658</v>
      </c>
      <c r="R92" s="89"/>
      <c r="S92" s="90">
        <f t="shared" si="6"/>
        <v>0</v>
      </c>
      <c r="T92" s="95" t="s">
        <v>5508</v>
      </c>
      <c r="U92" s="93"/>
      <c r="V92" s="89">
        <v>34.299999999999997</v>
      </c>
      <c r="W92" s="100">
        <v>46093</v>
      </c>
    </row>
    <row r="93" spans="1:23" s="97" customFormat="1" ht="20.25" hidden="1" customHeight="1">
      <c r="A93" s="91">
        <v>46085</v>
      </c>
      <c r="B93" s="91"/>
      <c r="C93" s="16" t="s">
        <v>5503</v>
      </c>
      <c r="D93" s="16" t="s">
        <v>5509</v>
      </c>
      <c r="E93" s="16" t="s">
        <v>72</v>
      </c>
      <c r="F93" s="16" t="s">
        <v>31</v>
      </c>
      <c r="G93" s="92" t="s">
        <v>35</v>
      </c>
      <c r="H93" s="92" t="s">
        <v>63</v>
      </c>
      <c r="I93" s="92" t="s">
        <v>5500</v>
      </c>
      <c r="J93" s="93" t="s">
        <v>47</v>
      </c>
      <c r="K93" s="92" t="s">
        <v>3715</v>
      </c>
      <c r="L93" s="94">
        <v>54</v>
      </c>
      <c r="M93" s="94">
        <v>1</v>
      </c>
      <c r="N93" s="95" t="s">
        <v>92</v>
      </c>
      <c r="O93" s="92" t="s">
        <v>5104</v>
      </c>
      <c r="P93" s="92" t="s">
        <v>135</v>
      </c>
      <c r="Q93" s="96" t="s">
        <v>4658</v>
      </c>
      <c r="R93" s="89"/>
      <c r="S93" s="90">
        <f t="shared" si="6"/>
        <v>0</v>
      </c>
      <c r="T93" s="95" t="s">
        <v>5510</v>
      </c>
      <c r="U93" s="93"/>
      <c r="V93" s="89">
        <v>54</v>
      </c>
      <c r="W93" s="100">
        <v>46093</v>
      </c>
    </row>
    <row r="94" spans="1:23" s="97" customFormat="1" ht="20.25" hidden="1" customHeight="1">
      <c r="A94" s="91">
        <v>46085</v>
      </c>
      <c r="B94" s="91"/>
      <c r="C94" s="16" t="s">
        <v>5503</v>
      </c>
      <c r="D94" s="16" t="s">
        <v>5511</v>
      </c>
      <c r="E94" s="16" t="s">
        <v>72</v>
      </c>
      <c r="F94" s="16" t="s">
        <v>31</v>
      </c>
      <c r="G94" s="92" t="s">
        <v>35</v>
      </c>
      <c r="H94" s="92" t="s">
        <v>63</v>
      </c>
      <c r="I94" s="92" t="s">
        <v>5512</v>
      </c>
      <c r="J94" s="93" t="s">
        <v>47</v>
      </c>
      <c r="K94" s="92" t="s">
        <v>3715</v>
      </c>
      <c r="L94" s="94">
        <v>53.9</v>
      </c>
      <c r="M94" s="94">
        <v>1</v>
      </c>
      <c r="N94" s="95" t="s">
        <v>92</v>
      </c>
      <c r="O94" s="92" t="s">
        <v>5104</v>
      </c>
      <c r="P94" s="92" t="s">
        <v>135</v>
      </c>
      <c r="Q94" s="96" t="s">
        <v>4658</v>
      </c>
      <c r="R94" s="89"/>
      <c r="S94" s="90">
        <f t="shared" si="6"/>
        <v>0</v>
      </c>
      <c r="T94" s="95" t="s">
        <v>5513</v>
      </c>
      <c r="U94" s="93"/>
      <c r="V94" s="89">
        <v>53.9</v>
      </c>
      <c r="W94" s="100">
        <v>46093</v>
      </c>
    </row>
    <row r="95" spans="1:23" s="97" customFormat="1" ht="20.25" hidden="1" customHeight="1">
      <c r="A95" s="91">
        <v>46085</v>
      </c>
      <c r="B95" s="91"/>
      <c r="C95" s="16" t="s">
        <v>5503</v>
      </c>
      <c r="D95" s="16" t="s">
        <v>5514</v>
      </c>
      <c r="E95" s="16" t="s">
        <v>72</v>
      </c>
      <c r="F95" s="16" t="s">
        <v>31</v>
      </c>
      <c r="G95" s="392" t="s">
        <v>35</v>
      </c>
      <c r="H95" s="392" t="s">
        <v>63</v>
      </c>
      <c r="I95" s="92" t="s">
        <v>5515</v>
      </c>
      <c r="J95" s="393" t="s">
        <v>25</v>
      </c>
      <c r="K95" s="92" t="s">
        <v>3715</v>
      </c>
      <c r="L95" s="94">
        <v>18.3</v>
      </c>
      <c r="M95" s="94">
        <v>1</v>
      </c>
      <c r="N95" s="95" t="s">
        <v>92</v>
      </c>
      <c r="O95" s="92" t="s">
        <v>5104</v>
      </c>
      <c r="P95" s="92" t="s">
        <v>135</v>
      </c>
      <c r="Q95" s="96" t="s">
        <v>4658</v>
      </c>
      <c r="R95" s="89"/>
      <c r="S95" s="90">
        <f t="shared" si="6"/>
        <v>0</v>
      </c>
      <c r="T95" s="95" t="s">
        <v>5516</v>
      </c>
      <c r="U95" s="93"/>
      <c r="V95" s="89">
        <v>18.3</v>
      </c>
      <c r="W95" s="100">
        <v>46111</v>
      </c>
    </row>
    <row r="96" spans="1:23" s="97" customFormat="1" ht="20.25" hidden="1" customHeight="1">
      <c r="A96" s="91">
        <v>46090</v>
      </c>
      <c r="B96" s="91"/>
      <c r="C96" s="16" t="s">
        <v>4798</v>
      </c>
      <c r="D96" s="16" t="s">
        <v>4618</v>
      </c>
      <c r="E96" s="16" t="s">
        <v>72</v>
      </c>
      <c r="F96" s="16" t="s">
        <v>31</v>
      </c>
      <c r="G96" s="92" t="s">
        <v>35</v>
      </c>
      <c r="H96" s="92" t="s">
        <v>63</v>
      </c>
      <c r="I96" s="92" t="s">
        <v>3778</v>
      </c>
      <c r="J96" s="93" t="s">
        <v>25</v>
      </c>
      <c r="K96" s="92" t="s">
        <v>3715</v>
      </c>
      <c r="L96" s="94">
        <v>234.4</v>
      </c>
      <c r="M96" s="94">
        <v>2</v>
      </c>
      <c r="N96" s="95" t="s">
        <v>92</v>
      </c>
      <c r="O96" s="92" t="s">
        <v>5555</v>
      </c>
      <c r="P96" s="92" t="s">
        <v>94</v>
      </c>
      <c r="Q96" s="96" t="s">
        <v>4691</v>
      </c>
      <c r="R96" s="89"/>
      <c r="S96" s="90">
        <f t="shared" si="6"/>
        <v>0</v>
      </c>
      <c r="T96" s="95" t="s">
        <v>5554</v>
      </c>
      <c r="U96" s="93"/>
      <c r="V96" s="89">
        <v>234.4</v>
      </c>
      <c r="W96" s="100">
        <v>46093</v>
      </c>
    </row>
    <row r="97" spans="1:23" s="97" customFormat="1" ht="20.25" hidden="1" customHeight="1">
      <c r="A97" s="91">
        <v>46090</v>
      </c>
      <c r="B97" s="91"/>
      <c r="C97" s="16" t="s">
        <v>400</v>
      </c>
      <c r="D97" s="16" t="s">
        <v>5556</v>
      </c>
      <c r="E97" s="16" t="s">
        <v>72</v>
      </c>
      <c r="F97" s="16" t="s">
        <v>31</v>
      </c>
      <c r="G97" s="92" t="s">
        <v>35</v>
      </c>
      <c r="H97" s="92" t="s">
        <v>63</v>
      </c>
      <c r="I97" s="92" t="s">
        <v>5557</v>
      </c>
      <c r="J97" s="93" t="s">
        <v>25</v>
      </c>
      <c r="K97" s="92" t="s">
        <v>3715</v>
      </c>
      <c r="L97" s="94">
        <v>78.8</v>
      </c>
      <c r="M97" s="94">
        <v>1</v>
      </c>
      <c r="N97" s="95" t="s">
        <v>92</v>
      </c>
      <c r="O97" s="92" t="s">
        <v>5104</v>
      </c>
      <c r="P97" s="92" t="s">
        <v>135</v>
      </c>
      <c r="Q97" s="96" t="s">
        <v>4691</v>
      </c>
      <c r="R97" s="89"/>
      <c r="S97" s="90">
        <f t="shared" si="6"/>
        <v>0</v>
      </c>
      <c r="T97" s="95" t="s">
        <v>5558</v>
      </c>
      <c r="U97" s="93"/>
      <c r="V97" s="89">
        <v>78.8</v>
      </c>
      <c r="W97" s="100">
        <v>46094</v>
      </c>
    </row>
    <row r="98" spans="1:23" s="97" customFormat="1" ht="20.25" hidden="1" customHeight="1">
      <c r="A98" s="91">
        <v>46090</v>
      </c>
      <c r="B98" s="91"/>
      <c r="C98" s="16" t="s">
        <v>400</v>
      </c>
      <c r="D98" s="16" t="s">
        <v>5559</v>
      </c>
      <c r="E98" s="16" t="s">
        <v>72</v>
      </c>
      <c r="F98" s="16" t="s">
        <v>31</v>
      </c>
      <c r="G98" s="92" t="s">
        <v>35</v>
      </c>
      <c r="H98" s="92" t="s">
        <v>63</v>
      </c>
      <c r="I98" s="92" t="s">
        <v>5560</v>
      </c>
      <c r="J98" s="93" t="s">
        <v>25</v>
      </c>
      <c r="K98" s="92" t="s">
        <v>3715</v>
      </c>
      <c r="L98" s="94">
        <v>463</v>
      </c>
      <c r="M98" s="94">
        <v>4</v>
      </c>
      <c r="N98" s="95" t="s">
        <v>92</v>
      </c>
      <c r="O98" s="92" t="s">
        <v>5104</v>
      </c>
      <c r="P98" s="92" t="s">
        <v>135</v>
      </c>
      <c r="Q98" s="96" t="s">
        <v>4691</v>
      </c>
      <c r="R98" s="89"/>
      <c r="S98" s="90">
        <f t="shared" si="6"/>
        <v>0</v>
      </c>
      <c r="T98" s="95" t="s">
        <v>5561</v>
      </c>
      <c r="U98" s="93"/>
      <c r="V98" s="89">
        <v>463</v>
      </c>
      <c r="W98" s="100">
        <v>46094</v>
      </c>
    </row>
    <row r="99" spans="1:23" s="97" customFormat="1" ht="20.25" hidden="1" customHeight="1">
      <c r="A99" s="91">
        <v>46091</v>
      </c>
      <c r="B99" s="91"/>
      <c r="C99" s="16" t="s">
        <v>382</v>
      </c>
      <c r="D99" s="16" t="s">
        <v>4997</v>
      </c>
      <c r="E99" s="16" t="s">
        <v>72</v>
      </c>
      <c r="F99" s="16" t="s">
        <v>26</v>
      </c>
      <c r="G99" s="92" t="s">
        <v>35</v>
      </c>
      <c r="H99" s="92" t="s">
        <v>63</v>
      </c>
      <c r="I99" s="92" t="s">
        <v>3778</v>
      </c>
      <c r="J99" s="93" t="s">
        <v>25</v>
      </c>
      <c r="K99" s="92" t="s">
        <v>3715</v>
      </c>
      <c r="L99" s="94">
        <v>2391.1</v>
      </c>
      <c r="M99" s="94">
        <v>1</v>
      </c>
      <c r="N99" s="95" t="s">
        <v>5605</v>
      </c>
      <c r="O99" s="92" t="s">
        <v>5563</v>
      </c>
      <c r="P99" s="92" t="s">
        <v>94</v>
      </c>
      <c r="Q99" s="96" t="s">
        <v>4691</v>
      </c>
      <c r="R99" s="89"/>
      <c r="S99" s="90">
        <f t="shared" si="6"/>
        <v>0</v>
      </c>
      <c r="T99" s="95" t="s">
        <v>5562</v>
      </c>
      <c r="U99" s="93"/>
      <c r="V99" s="89">
        <v>2391.1</v>
      </c>
      <c r="W99" s="100">
        <v>46093</v>
      </c>
    </row>
    <row r="100" spans="1:23" s="97" customFormat="1" ht="20.25" hidden="1" customHeight="1">
      <c r="A100" s="91">
        <v>46091</v>
      </c>
      <c r="B100" s="91"/>
      <c r="C100" s="16" t="s">
        <v>382</v>
      </c>
      <c r="D100" s="16" t="s">
        <v>4997</v>
      </c>
      <c r="E100" s="16" t="s">
        <v>72</v>
      </c>
      <c r="F100" s="16" t="s">
        <v>26</v>
      </c>
      <c r="G100" s="92" t="s">
        <v>35</v>
      </c>
      <c r="H100" s="92" t="s">
        <v>63</v>
      </c>
      <c r="I100" s="92" t="s">
        <v>3778</v>
      </c>
      <c r="J100" s="93" t="s">
        <v>25</v>
      </c>
      <c r="K100" s="92" t="s">
        <v>3715</v>
      </c>
      <c r="L100" s="94">
        <v>490.6</v>
      </c>
      <c r="M100" s="94"/>
      <c r="N100" s="95" t="s">
        <v>5605</v>
      </c>
      <c r="O100" s="92" t="s">
        <v>5563</v>
      </c>
      <c r="P100" s="92" t="s">
        <v>94</v>
      </c>
      <c r="Q100" s="96" t="s">
        <v>4691</v>
      </c>
      <c r="R100" s="89"/>
      <c r="S100" s="90">
        <f t="shared" si="6"/>
        <v>0</v>
      </c>
      <c r="T100" s="95" t="s">
        <v>5564</v>
      </c>
      <c r="U100" s="93"/>
      <c r="V100" s="89">
        <v>490.6</v>
      </c>
      <c r="W100" s="100">
        <v>46093</v>
      </c>
    </row>
    <row r="101" spans="1:23" s="97" customFormat="1" ht="20.25" hidden="1" customHeight="1">
      <c r="A101" s="91">
        <v>46093</v>
      </c>
      <c r="B101" s="91"/>
      <c r="C101" s="16" t="s">
        <v>5497</v>
      </c>
      <c r="D101" s="16" t="s">
        <v>5598</v>
      </c>
      <c r="E101" s="16" t="s">
        <v>72</v>
      </c>
      <c r="F101" s="16" t="s">
        <v>31</v>
      </c>
      <c r="G101" s="392" t="s">
        <v>35</v>
      </c>
      <c r="H101" s="392" t="s">
        <v>63</v>
      </c>
      <c r="I101" s="92" t="s">
        <v>5599</v>
      </c>
      <c r="J101" s="393" t="s">
        <v>25</v>
      </c>
      <c r="K101" s="92" t="s">
        <v>3715</v>
      </c>
      <c r="L101" s="94">
        <v>50</v>
      </c>
      <c r="M101" s="94">
        <v>1</v>
      </c>
      <c r="N101" s="95" t="s">
        <v>5601</v>
      </c>
      <c r="O101" s="92" t="s">
        <v>5104</v>
      </c>
      <c r="P101" s="92" t="s">
        <v>135</v>
      </c>
      <c r="Q101" s="96" t="s">
        <v>4658</v>
      </c>
      <c r="R101" s="89"/>
      <c r="S101" s="90">
        <f t="shared" si="6"/>
        <v>0</v>
      </c>
      <c r="T101" s="95" t="s">
        <v>5600</v>
      </c>
      <c r="U101" s="93"/>
      <c r="V101" s="89">
        <v>50</v>
      </c>
      <c r="W101" s="100">
        <v>46111</v>
      </c>
    </row>
    <row r="102" spans="1:23" s="97" customFormat="1" ht="20.25" hidden="1" customHeight="1">
      <c r="A102" s="91">
        <v>46093</v>
      </c>
      <c r="B102" s="91"/>
      <c r="C102" s="16" t="s">
        <v>5602</v>
      </c>
      <c r="D102" s="16" t="s">
        <v>5587</v>
      </c>
      <c r="E102" s="16" t="s">
        <v>72</v>
      </c>
      <c r="F102" s="16" t="s">
        <v>31</v>
      </c>
      <c r="G102" s="392" t="s">
        <v>35</v>
      </c>
      <c r="H102" s="392" t="s">
        <v>63</v>
      </c>
      <c r="I102" s="92" t="s">
        <v>2123</v>
      </c>
      <c r="J102" s="393" t="s">
        <v>25</v>
      </c>
      <c r="K102" s="92" t="s">
        <v>3715</v>
      </c>
      <c r="L102" s="94">
        <v>106.9</v>
      </c>
      <c r="M102" s="94">
        <v>1</v>
      </c>
      <c r="N102" s="95" t="s">
        <v>138</v>
      </c>
      <c r="O102" s="92" t="s">
        <v>5604</v>
      </c>
      <c r="P102" s="92" t="s">
        <v>94</v>
      </c>
      <c r="Q102" s="96" t="s">
        <v>4691</v>
      </c>
      <c r="R102" s="89"/>
      <c r="S102" s="90">
        <f t="shared" si="6"/>
        <v>0</v>
      </c>
      <c r="T102" s="95" t="s">
        <v>5603</v>
      </c>
      <c r="U102" s="93"/>
      <c r="V102" s="89">
        <v>106.9</v>
      </c>
      <c r="W102" s="100">
        <v>46111</v>
      </c>
    </row>
    <row r="103" spans="1:23" s="97" customFormat="1" ht="20.25" hidden="1" customHeight="1">
      <c r="A103" s="91">
        <v>46113</v>
      </c>
      <c r="B103" s="91"/>
      <c r="C103" s="16" t="s">
        <v>5788</v>
      </c>
      <c r="D103" s="16" t="s">
        <v>5789</v>
      </c>
      <c r="E103" s="16" t="s">
        <v>72</v>
      </c>
      <c r="F103" s="16" t="s">
        <v>31</v>
      </c>
      <c r="G103" s="92" t="s">
        <v>35</v>
      </c>
      <c r="H103" s="92"/>
      <c r="I103" s="92" t="s">
        <v>5790</v>
      </c>
      <c r="J103" s="93" t="s">
        <v>25</v>
      </c>
      <c r="K103" s="92" t="s">
        <v>3715</v>
      </c>
      <c r="L103" s="94">
        <v>605.4</v>
      </c>
      <c r="M103" s="94">
        <v>5</v>
      </c>
      <c r="N103" s="95" t="s">
        <v>5601</v>
      </c>
      <c r="O103" s="92" t="s">
        <v>5104</v>
      </c>
      <c r="P103" s="92" t="s">
        <v>135</v>
      </c>
      <c r="Q103" s="96" t="s">
        <v>4691</v>
      </c>
      <c r="R103" s="89"/>
      <c r="S103" s="90">
        <f t="shared" si="6"/>
        <v>0</v>
      </c>
      <c r="T103" s="95" t="s">
        <v>5791</v>
      </c>
      <c r="U103" s="93"/>
      <c r="V103" s="89">
        <v>605.4</v>
      </c>
      <c r="W103" s="100">
        <v>46118</v>
      </c>
    </row>
    <row r="104" spans="1:23" s="97" customFormat="1" ht="20.25" hidden="1" customHeight="1">
      <c r="A104" s="91">
        <v>46113</v>
      </c>
      <c r="B104" s="91"/>
      <c r="C104" s="16" t="s">
        <v>5788</v>
      </c>
      <c r="D104" s="16" t="s">
        <v>5789</v>
      </c>
      <c r="E104" s="16" t="s">
        <v>72</v>
      </c>
      <c r="F104" s="16" t="s">
        <v>31</v>
      </c>
      <c r="G104" s="92" t="s">
        <v>35</v>
      </c>
      <c r="H104" s="92"/>
      <c r="I104" s="92" t="s">
        <v>5792</v>
      </c>
      <c r="J104" s="93" t="s">
        <v>25</v>
      </c>
      <c r="K104" s="92" t="s">
        <v>3715</v>
      </c>
      <c r="L104" s="94">
        <v>452.1</v>
      </c>
      <c r="M104" s="94">
        <v>3</v>
      </c>
      <c r="N104" s="95" t="s">
        <v>5601</v>
      </c>
      <c r="O104" s="92" t="s">
        <v>5104</v>
      </c>
      <c r="P104" s="92" t="s">
        <v>135</v>
      </c>
      <c r="Q104" s="96" t="s">
        <v>4691</v>
      </c>
      <c r="R104" s="89"/>
      <c r="S104" s="90">
        <f t="shared" si="6"/>
        <v>0</v>
      </c>
      <c r="T104" s="95" t="s">
        <v>5793</v>
      </c>
      <c r="U104" s="93"/>
      <c r="V104" s="89">
        <v>452.1</v>
      </c>
      <c r="W104" s="100">
        <v>46118</v>
      </c>
    </row>
    <row r="105" spans="1:23" s="97" customFormat="1" ht="20.25" hidden="1" customHeight="1">
      <c r="A105" s="91">
        <v>46118</v>
      </c>
      <c r="B105" s="91"/>
      <c r="C105" s="16" t="s">
        <v>5106</v>
      </c>
      <c r="D105" s="16" t="s">
        <v>5895</v>
      </c>
      <c r="E105" s="16" t="s">
        <v>72</v>
      </c>
      <c r="F105" s="16" t="s">
        <v>31</v>
      </c>
      <c r="G105" s="92" t="s">
        <v>35</v>
      </c>
      <c r="H105" s="92" t="s">
        <v>63</v>
      </c>
      <c r="I105" s="92" t="s">
        <v>5896</v>
      </c>
      <c r="J105" s="93" t="s">
        <v>25</v>
      </c>
      <c r="K105" s="92" t="s">
        <v>3715</v>
      </c>
      <c r="L105" s="94">
        <v>18</v>
      </c>
      <c r="M105" s="94">
        <v>1</v>
      </c>
      <c r="N105" s="95" t="s">
        <v>5601</v>
      </c>
      <c r="O105" s="92" t="s">
        <v>5898</v>
      </c>
      <c r="P105" s="92" t="s">
        <v>135</v>
      </c>
      <c r="Q105" s="96" t="s">
        <v>4658</v>
      </c>
      <c r="R105" s="89"/>
      <c r="S105" s="90">
        <f t="shared" si="6"/>
        <v>0</v>
      </c>
      <c r="T105" s="95" t="s">
        <v>5897</v>
      </c>
      <c r="U105" s="93"/>
      <c r="V105" s="89">
        <v>18</v>
      </c>
      <c r="W105" s="100">
        <v>46121</v>
      </c>
    </row>
    <row r="106" spans="1:23" s="97" customFormat="1" ht="20.25" hidden="1" customHeight="1">
      <c r="A106" s="91">
        <v>46118</v>
      </c>
      <c r="B106" s="91"/>
      <c r="C106" s="16" t="s">
        <v>5899</v>
      </c>
      <c r="D106" s="16" t="s">
        <v>5900</v>
      </c>
      <c r="E106" s="16" t="s">
        <v>72</v>
      </c>
      <c r="F106" s="16" t="s">
        <v>26</v>
      </c>
      <c r="G106" s="92" t="s">
        <v>35</v>
      </c>
      <c r="H106" s="92" t="s">
        <v>63</v>
      </c>
      <c r="I106" s="92" t="s">
        <v>782</v>
      </c>
      <c r="J106" s="93" t="s">
        <v>25</v>
      </c>
      <c r="K106" s="92" t="s">
        <v>3715</v>
      </c>
      <c r="L106" s="94">
        <v>94.1</v>
      </c>
      <c r="M106" s="94">
        <v>1</v>
      </c>
      <c r="N106" s="95" t="s">
        <v>5902</v>
      </c>
      <c r="O106" s="92" t="s">
        <v>5903</v>
      </c>
      <c r="P106" s="92" t="s">
        <v>135</v>
      </c>
      <c r="Q106" s="96" t="s">
        <v>4658</v>
      </c>
      <c r="R106" s="89"/>
      <c r="S106" s="90">
        <f t="shared" si="6"/>
        <v>0</v>
      </c>
      <c r="T106" s="95" t="s">
        <v>5901</v>
      </c>
      <c r="U106" s="93"/>
      <c r="V106" s="89">
        <v>94.1</v>
      </c>
      <c r="W106" s="100">
        <v>46121</v>
      </c>
    </row>
    <row r="107" spans="1:23" s="97" customFormat="1" ht="20.25" hidden="1" customHeight="1">
      <c r="A107" s="91">
        <v>46127</v>
      </c>
      <c r="B107" s="91"/>
      <c r="C107" s="16" t="s">
        <v>5788</v>
      </c>
      <c r="D107" s="16" t="s">
        <v>6018</v>
      </c>
      <c r="E107" s="16" t="s">
        <v>991</v>
      </c>
      <c r="F107" s="16" t="s">
        <v>26</v>
      </c>
      <c r="G107" s="92" t="s">
        <v>35</v>
      </c>
      <c r="H107" s="92" t="s">
        <v>63</v>
      </c>
      <c r="I107" s="92" t="s">
        <v>345</v>
      </c>
      <c r="J107" s="93" t="s">
        <v>25</v>
      </c>
      <c r="K107" s="92" t="s">
        <v>3715</v>
      </c>
      <c r="L107" s="94">
        <v>250</v>
      </c>
      <c r="M107" s="94">
        <v>2</v>
      </c>
      <c r="N107" s="95" t="s">
        <v>5601</v>
      </c>
      <c r="O107" s="92" t="s">
        <v>6020</v>
      </c>
      <c r="P107" s="92" t="s">
        <v>135</v>
      </c>
      <c r="Q107" s="96" t="s">
        <v>4691</v>
      </c>
      <c r="R107" s="89"/>
      <c r="S107" s="90">
        <f t="shared" si="6"/>
        <v>0</v>
      </c>
      <c r="T107" s="95" t="s">
        <v>6019</v>
      </c>
      <c r="U107" s="93"/>
      <c r="V107" s="89">
        <v>250</v>
      </c>
      <c r="W107" s="100">
        <v>46128</v>
      </c>
    </row>
    <row r="108" spans="1:23" s="97" customFormat="1" ht="20.25" hidden="1" customHeight="1">
      <c r="A108" s="91">
        <v>46134</v>
      </c>
      <c r="B108" s="91"/>
      <c r="C108" s="16" t="s">
        <v>6092</v>
      </c>
      <c r="D108" s="16" t="s">
        <v>6093</v>
      </c>
      <c r="E108" s="16" t="s">
        <v>72</v>
      </c>
      <c r="F108" s="16" t="s">
        <v>31</v>
      </c>
      <c r="G108" s="92" t="s">
        <v>35</v>
      </c>
      <c r="H108" s="92" t="s">
        <v>63</v>
      </c>
      <c r="I108" s="92" t="s">
        <v>6094</v>
      </c>
      <c r="J108" s="93" t="s">
        <v>25</v>
      </c>
      <c r="K108" s="92" t="s">
        <v>3715</v>
      </c>
      <c r="L108" s="94">
        <v>4359.5</v>
      </c>
      <c r="M108" s="94">
        <v>1</v>
      </c>
      <c r="N108" s="95" t="s">
        <v>5601</v>
      </c>
      <c r="O108" s="92" t="s">
        <v>6096</v>
      </c>
      <c r="P108" s="92" t="s">
        <v>105</v>
      </c>
      <c r="Q108" s="96" t="s">
        <v>4691</v>
      </c>
      <c r="R108" s="89"/>
      <c r="S108" s="90">
        <f t="shared" si="6"/>
        <v>0</v>
      </c>
      <c r="T108" s="95" t="s">
        <v>6095</v>
      </c>
      <c r="U108" s="93"/>
      <c r="V108" s="89">
        <v>4359.5</v>
      </c>
      <c r="W108" s="100">
        <v>46136</v>
      </c>
    </row>
    <row r="109" spans="1:23" s="97" customFormat="1" ht="20.25" hidden="1" customHeight="1">
      <c r="A109" s="91">
        <v>46135</v>
      </c>
      <c r="B109" s="91"/>
      <c r="C109" s="16" t="s">
        <v>6129</v>
      </c>
      <c r="D109" s="16" t="s">
        <v>6130</v>
      </c>
      <c r="E109" s="16" t="s">
        <v>72</v>
      </c>
      <c r="F109" s="16" t="s">
        <v>31</v>
      </c>
      <c r="G109" s="92" t="s">
        <v>35</v>
      </c>
      <c r="H109" s="92" t="s">
        <v>63</v>
      </c>
      <c r="I109" s="92" t="s">
        <v>6131</v>
      </c>
      <c r="J109" s="93" t="s">
        <v>25</v>
      </c>
      <c r="K109" s="92" t="s">
        <v>3715</v>
      </c>
      <c r="L109" s="94">
        <v>930</v>
      </c>
      <c r="M109" s="94">
        <v>7</v>
      </c>
      <c r="N109" s="95" t="s">
        <v>6133</v>
      </c>
      <c r="O109" s="92" t="s">
        <v>6134</v>
      </c>
      <c r="P109" s="92" t="s">
        <v>105</v>
      </c>
      <c r="Q109" s="96" t="s">
        <v>4691</v>
      </c>
      <c r="R109" s="89"/>
      <c r="S109" s="90">
        <f t="shared" si="6"/>
        <v>0</v>
      </c>
      <c r="T109" s="95" t="s">
        <v>6132</v>
      </c>
      <c r="U109" s="93"/>
      <c r="V109" s="89">
        <v>930</v>
      </c>
      <c r="W109" s="100">
        <v>46146</v>
      </c>
    </row>
    <row r="110" spans="1:23" s="406" customFormat="1" ht="20.25" customHeight="1">
      <c r="A110" s="403">
        <v>46139</v>
      </c>
      <c r="B110" s="403"/>
      <c r="C110" s="1" t="s">
        <v>304</v>
      </c>
      <c r="D110" s="1" t="s">
        <v>5900</v>
      </c>
      <c r="E110" s="1" t="s">
        <v>71</v>
      </c>
      <c r="F110" s="1" t="s">
        <v>26</v>
      </c>
      <c r="G110" s="392" t="s">
        <v>35</v>
      </c>
      <c r="H110" s="392"/>
      <c r="I110" s="392" t="s">
        <v>693</v>
      </c>
      <c r="J110" s="393" t="s">
        <v>25</v>
      </c>
      <c r="K110" s="392" t="s">
        <v>3715</v>
      </c>
      <c r="L110" s="404">
        <v>315</v>
      </c>
      <c r="M110" s="404">
        <v>3</v>
      </c>
      <c r="N110" s="407" t="s">
        <v>92</v>
      </c>
      <c r="O110" s="392" t="s">
        <v>5903</v>
      </c>
      <c r="P110" s="392" t="s">
        <v>135</v>
      </c>
      <c r="Q110" s="408" t="s">
        <v>4658</v>
      </c>
      <c r="R110" s="443">
        <v>315</v>
      </c>
      <c r="S110" s="409">
        <f t="shared" si="6"/>
        <v>0</v>
      </c>
      <c r="T110" s="407" t="s">
        <v>6154</v>
      </c>
      <c r="U110" s="393"/>
      <c r="V110" s="405"/>
      <c r="W110" s="410"/>
    </row>
    <row r="111" spans="1:23" s="406" customFormat="1" ht="20.25" customHeight="1">
      <c r="A111" s="403">
        <v>46139</v>
      </c>
      <c r="B111" s="403"/>
      <c r="C111" s="1" t="s">
        <v>267</v>
      </c>
      <c r="D111" s="1" t="s">
        <v>6155</v>
      </c>
      <c r="E111" s="1" t="s">
        <v>6156</v>
      </c>
      <c r="F111" s="1" t="s">
        <v>31</v>
      </c>
      <c r="G111" s="392" t="s">
        <v>35</v>
      </c>
      <c r="H111" s="392"/>
      <c r="I111" s="392" t="s">
        <v>6157</v>
      </c>
      <c r="J111" s="393" t="s">
        <v>25</v>
      </c>
      <c r="K111" s="392" t="s">
        <v>3715</v>
      </c>
      <c r="L111" s="404">
        <v>364.7</v>
      </c>
      <c r="M111" s="404">
        <v>3</v>
      </c>
      <c r="N111" s="407" t="s">
        <v>92</v>
      </c>
      <c r="O111" s="392" t="s">
        <v>5104</v>
      </c>
      <c r="P111" s="392" t="s">
        <v>135</v>
      </c>
      <c r="Q111" s="408" t="s">
        <v>4658</v>
      </c>
      <c r="R111" s="443">
        <v>364.7</v>
      </c>
      <c r="S111" s="409">
        <f t="shared" si="6"/>
        <v>0</v>
      </c>
      <c r="T111" s="407" t="s">
        <v>6158</v>
      </c>
      <c r="U111" s="393"/>
      <c r="V111" s="405"/>
      <c r="W111" s="410"/>
    </row>
    <row r="112" spans="1:23" s="406" customFormat="1" ht="20.25" customHeight="1">
      <c r="A112" s="403">
        <v>46139</v>
      </c>
      <c r="B112" s="403"/>
      <c r="C112" s="1" t="s">
        <v>267</v>
      </c>
      <c r="D112" s="1" t="s">
        <v>6159</v>
      </c>
      <c r="E112" s="1" t="s">
        <v>71</v>
      </c>
      <c r="F112" s="1" t="s">
        <v>31</v>
      </c>
      <c r="G112" s="392" t="s">
        <v>35</v>
      </c>
      <c r="H112" s="392"/>
      <c r="I112" s="392" t="s">
        <v>6157</v>
      </c>
      <c r="J112" s="393" t="s">
        <v>6160</v>
      </c>
      <c r="K112" s="392" t="s">
        <v>3715</v>
      </c>
      <c r="L112" s="404">
        <v>114</v>
      </c>
      <c r="M112" s="404">
        <v>1</v>
      </c>
      <c r="N112" s="407" t="s">
        <v>92</v>
      </c>
      <c r="O112" s="392" t="s">
        <v>5104</v>
      </c>
      <c r="P112" s="392" t="s">
        <v>135</v>
      </c>
      <c r="Q112" s="408" t="s">
        <v>4658</v>
      </c>
      <c r="R112" s="443">
        <v>114</v>
      </c>
      <c r="S112" s="409">
        <f t="shared" si="6"/>
        <v>0</v>
      </c>
      <c r="T112" s="407" t="s">
        <v>6161</v>
      </c>
      <c r="U112" s="393"/>
      <c r="V112" s="405"/>
      <c r="W112" s="410"/>
    </row>
    <row r="113" spans="1:23" s="97" customFormat="1" ht="20.25" hidden="1" customHeight="1">
      <c r="A113" s="91">
        <v>46139</v>
      </c>
      <c r="B113" s="91"/>
      <c r="C113" s="16" t="s">
        <v>400</v>
      </c>
      <c r="D113" s="16" t="s">
        <v>6162</v>
      </c>
      <c r="E113" s="16" t="s">
        <v>71</v>
      </c>
      <c r="F113" s="16" t="s">
        <v>31</v>
      </c>
      <c r="G113" s="92" t="s">
        <v>35</v>
      </c>
      <c r="H113" s="92"/>
      <c r="I113" s="92" t="s">
        <v>6163</v>
      </c>
      <c r="J113" s="93" t="s">
        <v>6160</v>
      </c>
      <c r="K113" s="92" t="s">
        <v>3715</v>
      </c>
      <c r="L113" s="94">
        <v>125.4</v>
      </c>
      <c r="M113" s="94">
        <v>1</v>
      </c>
      <c r="N113" s="95" t="s">
        <v>92</v>
      </c>
      <c r="O113" s="92" t="s">
        <v>5104</v>
      </c>
      <c r="P113" s="92" t="s">
        <v>135</v>
      </c>
      <c r="Q113" s="96" t="s">
        <v>4691</v>
      </c>
      <c r="R113" s="89"/>
      <c r="S113" s="90">
        <f t="shared" si="6"/>
        <v>0</v>
      </c>
      <c r="T113" s="95" t="s">
        <v>6164</v>
      </c>
      <c r="U113" s="93"/>
      <c r="V113" s="89">
        <v>125.4</v>
      </c>
      <c r="W113" s="100">
        <v>46146</v>
      </c>
    </row>
    <row r="114" spans="1:23" s="97" customFormat="1" ht="20.25" hidden="1" customHeight="1">
      <c r="A114" s="91">
        <v>46139</v>
      </c>
      <c r="B114" s="91"/>
      <c r="C114" s="16" t="s">
        <v>400</v>
      </c>
      <c r="D114" s="16" t="s">
        <v>6165</v>
      </c>
      <c r="E114" s="16" t="s">
        <v>71</v>
      </c>
      <c r="F114" s="16" t="s">
        <v>31</v>
      </c>
      <c r="G114" s="92" t="s">
        <v>35</v>
      </c>
      <c r="H114" s="92"/>
      <c r="I114" s="92" t="s">
        <v>6166</v>
      </c>
      <c r="J114" s="93" t="s">
        <v>6160</v>
      </c>
      <c r="K114" s="92" t="s">
        <v>3715</v>
      </c>
      <c r="L114" s="94">
        <v>44</v>
      </c>
      <c r="M114" s="94">
        <v>1</v>
      </c>
      <c r="N114" s="95" t="s">
        <v>92</v>
      </c>
      <c r="O114" s="92" t="s">
        <v>5104</v>
      </c>
      <c r="P114" s="92" t="s">
        <v>135</v>
      </c>
      <c r="Q114" s="96" t="s">
        <v>4691</v>
      </c>
      <c r="R114" s="89"/>
      <c r="S114" s="90">
        <f t="shared" si="6"/>
        <v>0</v>
      </c>
      <c r="T114" s="95" t="s">
        <v>6167</v>
      </c>
      <c r="U114" s="93"/>
      <c r="V114" s="89">
        <v>44</v>
      </c>
      <c r="W114" s="100">
        <v>46146</v>
      </c>
    </row>
    <row r="115" spans="1:23" s="406" customFormat="1" ht="20.25" customHeight="1">
      <c r="A115" s="403">
        <v>46140</v>
      </c>
      <c r="B115" s="403"/>
      <c r="C115" s="1" t="s">
        <v>400</v>
      </c>
      <c r="D115" s="1" t="s">
        <v>6207</v>
      </c>
      <c r="E115" s="1" t="s">
        <v>71</v>
      </c>
      <c r="F115" s="1" t="s">
        <v>31</v>
      </c>
      <c r="G115" s="392" t="s">
        <v>35</v>
      </c>
      <c r="H115" s="392" t="s">
        <v>63</v>
      </c>
      <c r="I115" s="392" t="s">
        <v>1328</v>
      </c>
      <c r="J115" s="393" t="s">
        <v>25</v>
      </c>
      <c r="K115" s="392" t="s">
        <v>3715</v>
      </c>
      <c r="L115" s="404">
        <v>170.1</v>
      </c>
      <c r="M115" s="404">
        <v>1</v>
      </c>
      <c r="N115" s="407" t="s">
        <v>92</v>
      </c>
      <c r="O115" s="392" t="s">
        <v>5104</v>
      </c>
      <c r="P115" s="392" t="s">
        <v>135</v>
      </c>
      <c r="Q115" s="408" t="s">
        <v>4658</v>
      </c>
      <c r="R115" s="405"/>
      <c r="S115" s="409">
        <f t="shared" si="6"/>
        <v>170.1</v>
      </c>
      <c r="T115" s="407" t="s">
        <v>6208</v>
      </c>
      <c r="U115" s="393"/>
      <c r="V115" s="405"/>
      <c r="W115" s="410"/>
    </row>
    <row r="116" spans="1:23" s="97" customFormat="1" ht="20.25" hidden="1" customHeight="1">
      <c r="A116" s="91">
        <v>46140</v>
      </c>
      <c r="B116" s="91"/>
      <c r="C116" s="16" t="s">
        <v>400</v>
      </c>
      <c r="D116" s="16" t="s">
        <v>6207</v>
      </c>
      <c r="E116" s="16" t="s">
        <v>6209</v>
      </c>
      <c r="F116" s="16" t="s">
        <v>26</v>
      </c>
      <c r="G116" s="92" t="s">
        <v>35</v>
      </c>
      <c r="H116" s="92"/>
      <c r="I116" s="92" t="s">
        <v>6210</v>
      </c>
      <c r="J116" s="93" t="s">
        <v>25</v>
      </c>
      <c r="K116" s="92" t="s">
        <v>3715</v>
      </c>
      <c r="L116" s="94">
        <v>319.3</v>
      </c>
      <c r="M116" s="94">
        <v>3</v>
      </c>
      <c r="N116" s="95" t="s">
        <v>92</v>
      </c>
      <c r="O116" s="92" t="s">
        <v>5104</v>
      </c>
      <c r="P116" s="92" t="s">
        <v>135</v>
      </c>
      <c r="Q116" s="96" t="s">
        <v>4658</v>
      </c>
      <c r="R116" s="89"/>
      <c r="S116" s="90">
        <f t="shared" si="6"/>
        <v>0</v>
      </c>
      <c r="T116" s="95" t="s">
        <v>6211</v>
      </c>
      <c r="U116" s="93"/>
      <c r="V116" s="89">
        <v>319.3</v>
      </c>
      <c r="W116" s="100">
        <v>46146</v>
      </c>
    </row>
  </sheetData>
  <autoFilter ref="A2:AC116" xr:uid="{75A6BA57-5489-4E19-A566-A45B9AFB0CFC}">
    <filterColumn colId="1">
      <colorFilter dxfId="0"/>
    </filterColumn>
    <filterColumn colId="21" showButton="0"/>
    <filterColumn colId="23" showButton="0"/>
    <filterColumn colId="25" showButton="0"/>
  </autoFilter>
  <mergeCells count="5">
    <mergeCell ref="A1:D1"/>
    <mergeCell ref="Z2:AA2"/>
    <mergeCell ref="X2:Y2"/>
    <mergeCell ref="V2:W2"/>
    <mergeCell ref="M86:M87"/>
  </mergeCells>
  <pageMargins left="0" right="0" top="0.75" bottom="0.75" header="0.3" footer="0.3"/>
  <pageSetup paperSize="9" scale="7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72C6-6302-40DA-B97F-42F3737B6040}">
  <sheetPr>
    <tabColor rgb="FFFFFF00"/>
  </sheetPr>
  <dimension ref="A2:N22"/>
  <sheetViews>
    <sheetView tabSelected="1" workbookViewId="0">
      <selection activeCell="E12" sqref="E12"/>
    </sheetView>
  </sheetViews>
  <sheetFormatPr defaultRowHeight="15"/>
  <cols>
    <col min="1" max="1" width="19.140625" bestFit="1" customWidth="1"/>
    <col min="2" max="2" width="19.5703125" bestFit="1" customWidth="1"/>
    <col min="5" max="5" width="37.5703125" bestFit="1" customWidth="1"/>
    <col min="13" max="13" width="19.7109375" bestFit="1" customWidth="1"/>
    <col min="14" max="14" width="20.7109375" customWidth="1"/>
  </cols>
  <sheetData>
    <row r="2" spans="1:14">
      <c r="A2" s="449" t="s">
        <v>6385</v>
      </c>
      <c r="B2" s="449"/>
      <c r="M2" s="449" t="s">
        <v>6389</v>
      </c>
      <c r="N2" s="449"/>
    </row>
    <row r="3" spans="1:14">
      <c r="A3" s="391" t="s">
        <v>6376</v>
      </c>
      <c r="B3" s="391" t="s">
        <v>6377</v>
      </c>
      <c r="M3" s="391" t="s">
        <v>6376</v>
      </c>
      <c r="N3" s="391" t="s">
        <v>6377</v>
      </c>
    </row>
    <row r="4" spans="1:14" ht="32.25">
      <c r="A4" s="445" t="s">
        <v>704</v>
      </c>
      <c r="B4" s="448" t="s">
        <v>6378</v>
      </c>
      <c r="E4" s="446" t="s">
        <v>6381</v>
      </c>
      <c r="M4" s="445" t="s">
        <v>6390</v>
      </c>
      <c r="N4" s="448" t="s">
        <v>6378</v>
      </c>
    </row>
    <row r="5" spans="1:14">
      <c r="A5" s="445" t="s">
        <v>6179</v>
      </c>
      <c r="B5" s="445" t="s">
        <v>6379</v>
      </c>
      <c r="M5" s="445" t="s">
        <v>6391</v>
      </c>
      <c r="N5" s="445" t="s">
        <v>6379</v>
      </c>
    </row>
    <row r="6" spans="1:14">
      <c r="A6" s="445" t="s">
        <v>6091</v>
      </c>
      <c r="B6" s="445" t="s">
        <v>62</v>
      </c>
      <c r="M6" s="445" t="s">
        <v>6393</v>
      </c>
      <c r="N6" s="445" t="s">
        <v>62</v>
      </c>
    </row>
    <row r="7" spans="1:14">
      <c r="A7" s="445" t="s">
        <v>6161</v>
      </c>
      <c r="B7" s="445" t="s">
        <v>6380</v>
      </c>
      <c r="M7" s="445" t="s">
        <v>6392</v>
      </c>
      <c r="N7" s="445" t="s">
        <v>6380</v>
      </c>
    </row>
    <row r="10" spans="1:14" ht="28.5">
      <c r="M10" s="450" t="s">
        <v>6394</v>
      </c>
      <c r="N10" s="445"/>
    </row>
    <row r="12" spans="1:14" ht="21">
      <c r="A12" s="447" t="s">
        <v>6382</v>
      </c>
    </row>
    <row r="13" spans="1:14" ht="21">
      <c r="A13" s="447" t="s">
        <v>6383</v>
      </c>
    </row>
    <row r="14" spans="1:14" ht="21">
      <c r="A14" s="447" t="s">
        <v>6384</v>
      </c>
    </row>
    <row r="16" spans="1:14" ht="21">
      <c r="A16" s="447" t="s">
        <v>6386</v>
      </c>
    </row>
    <row r="17" spans="1:2">
      <c r="A17">
        <v>1</v>
      </c>
      <c r="B17" t="s">
        <v>6387</v>
      </c>
    </row>
    <row r="18" spans="1:2">
      <c r="A18">
        <v>2</v>
      </c>
      <c r="B18" t="s">
        <v>6388</v>
      </c>
    </row>
    <row r="19" spans="1:2">
      <c r="A19">
        <v>3</v>
      </c>
      <c r="B19" t="s">
        <v>6395</v>
      </c>
    </row>
    <row r="20" spans="1:2">
      <c r="A20">
        <v>4</v>
      </c>
      <c r="B20" t="s">
        <v>6396</v>
      </c>
    </row>
    <row r="21" spans="1:2">
      <c r="A21">
        <v>5</v>
      </c>
      <c r="B21" t="s">
        <v>6397</v>
      </c>
    </row>
    <row r="22" spans="1:2">
      <c r="A22">
        <v>6</v>
      </c>
      <c r="B22" t="s">
        <v>6398</v>
      </c>
    </row>
  </sheetData>
  <mergeCells count="2">
    <mergeCell ref="A2:B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PROD SUEDE</vt:lpstr>
      <vt:lpstr>DEV SUEDE</vt:lpstr>
      <vt:lpstr>CLAIM SUEDE</vt:lpstr>
      <vt:lpstr>RETUR</vt:lpstr>
      <vt:lpstr>KETERANGAN</vt:lpstr>
      <vt:lpstr>'PROD SUEDE'!ExternalData_487</vt:lpstr>
      <vt:lpstr>'PROD SUEDE'!ExternalData_488</vt:lpstr>
      <vt:lpstr>'PROD SUEDE'!ExternalData_489</vt:lpstr>
      <vt:lpstr>'PROD SUEDE'!ExternalData_492</vt:lpstr>
      <vt:lpstr>'CLAIM SUEDE'!ExternalData_499</vt:lpstr>
      <vt:lpstr>'PROD SUEDE'!ExternalData_499</vt:lpstr>
      <vt:lpstr>'CLAIM SUEDE'!ExternalData_500</vt:lpstr>
      <vt:lpstr>'PROD SUEDE'!ExternalData_500</vt:lpstr>
      <vt:lpstr>'PROD SUEDE'!ExternalData_501</vt:lpstr>
      <vt:lpstr>'CLAIM SUEDE'!ExternalData_502</vt:lpstr>
      <vt:lpstr>'PROD SUEDE'!ExternalData_502</vt:lpstr>
      <vt:lpstr>'PROD SUEDE'!ExternalData_503</vt:lpstr>
      <vt:lpstr>'CLAIM SUEDE'!ExternalData_504</vt:lpstr>
      <vt:lpstr>'PROD SUEDE'!ExternalData_506</vt:lpstr>
      <vt:lpstr>'DEV SUEDE'!ExternalData_507</vt:lpstr>
      <vt:lpstr>'PROD SUEDE'!ExternalData_507</vt:lpstr>
      <vt:lpstr>'PROD SUEDE'!ExternalData_508</vt:lpstr>
      <vt:lpstr>'PROD SUEDE'!ExternalData_521</vt:lpstr>
      <vt:lpstr>'PROD SUEDE'!ExternalData_522</vt:lpstr>
      <vt:lpstr>'PROD SUEDE'!ExternalData_525</vt:lpstr>
      <vt:lpstr>'PROD SUEDE'!ExternalData_526</vt:lpstr>
      <vt:lpstr>'PROD SUEDE'!ExternalData_530</vt:lpstr>
      <vt:lpstr>'PROD SUEDE'!ExternalData_531</vt:lpstr>
      <vt:lpstr>'PROD SUEDE'!ExternalData_534</vt:lpstr>
      <vt:lpstr>'CLAIM SUEDE'!Print_Area</vt:lpstr>
      <vt:lpstr>'PROD SUEDE'!Print_Area</vt:lpstr>
      <vt:lpstr>RETUR!Print_Area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BO04</dc:creator>
  <cp:lastModifiedBy>BO04</cp:lastModifiedBy>
  <cp:lastPrinted>2026-05-04T00:47:23Z</cp:lastPrinted>
  <dcterms:created xsi:type="dcterms:W3CDTF">2023-06-07T00:38:25Z</dcterms:created>
  <dcterms:modified xsi:type="dcterms:W3CDTF">2026-05-05T03:21:40Z</dcterms:modified>
</cp:coreProperties>
</file>