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drawings/drawing5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7.xml" ContentType="application/vnd.openxmlformats-officedocument.drawing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charts/chartEx3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charts/chartEx4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Ex5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charts/chart14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Ex6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charts/chartEx7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xl/charts/chart15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Ex8.xml" ContentType="application/vnd.ms-office.chartex+xml"/>
  <Override PartName="/xl/charts/style23.xml" ContentType="application/vnd.ms-office.chartstyle+xml"/>
  <Override PartName="/xl/charts/colors23.xml" ContentType="application/vnd.ms-office.chartcolorstyle+xml"/>
  <Override PartName="/xl/charts/chart16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17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Ex9.xml" ContentType="application/vnd.ms-office.chartex+xml"/>
  <Override PartName="/xl/charts/style26.xml" ContentType="application/vnd.ms-office.chartstyle+xml"/>
  <Override PartName="/xl/charts/colors26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f4643bcc3de8d3d/Estudos/FIA/Estatística Aplicada/Aula 4 - Exercícios/01-Analise-Exploratoria/"/>
    </mc:Choice>
  </mc:AlternateContent>
  <xr:revisionPtr revIDLastSave="1632" documentId="8_{CF898795-7CCF-4166-AD58-F20F9C764005}" xr6:coauthVersionLast="45" xr6:coauthVersionMax="45" xr10:uidLastSave="{8CB4D3E3-4887-41BC-8EE0-BE8F6CE20A0B}"/>
  <bookViews>
    <workbookView xWindow="-120" yWindow="330" windowWidth="29040" windowHeight="15990" tabRatio="911" xr2:uid="{F7B7259F-0ED3-4CCF-B1E4-5947C37C016D}"/>
  </bookViews>
  <sheets>
    <sheet name="Capa" sheetId="4" r:id="rId1"/>
    <sheet name="Problema 6.i." sheetId="1" r:id="rId2"/>
    <sheet name="Problema 6.ii." sheetId="2" r:id="rId3"/>
    <sheet name="Banco de dados &gt;&gt;" sheetId="5" r:id="rId4"/>
    <sheet name="6.i. Companhia_MB" sheetId="7" r:id="rId5"/>
    <sheet name="6.ii. LimiteCredito" sheetId="8" r:id="rId6"/>
    <sheet name="Resoluções &gt;&gt;" sheetId="6" r:id="rId7"/>
    <sheet name="6.i." sheetId="9" r:id="rId8"/>
    <sheet name="6.ii." sheetId="10" r:id="rId9"/>
    <sheet name="Códigos &gt;&gt;" sheetId="12" r:id="rId10"/>
    <sheet name="Código 6.i." sheetId="13" r:id="rId11"/>
    <sheet name="Código 6.ii." sheetId="15" r:id="rId12"/>
  </sheets>
  <definedNames>
    <definedName name="_xlchart.v1.0" hidden="1">'6.i.'!$D$12</definedName>
    <definedName name="_xlchart.v1.1" hidden="1">'6.i.'!$D$13:$D$47</definedName>
    <definedName name="_xlchart.v1.10" hidden="1">'6.ii.'!$B$218:$B$265</definedName>
    <definedName name="_xlchart.v1.11" hidden="1">'6.ii.'!$A$350</definedName>
    <definedName name="_xlchart.v1.12" hidden="1">'6.ii.'!$A$351:$A$398</definedName>
    <definedName name="_xlchart.v1.13" hidden="1">'6.ii.'!$B$350</definedName>
    <definedName name="_xlchart.v1.14" hidden="1">'6.ii.'!$B$351:$B$398</definedName>
    <definedName name="_xlchart.v1.15" hidden="1">'6.ii.'!$B$82:$B$129</definedName>
    <definedName name="_xlchart.v1.2" hidden="1">'6.i.'!$E$12:$E$47</definedName>
    <definedName name="_xlchart.v1.3" hidden="1">'6.ii.'!$B$11</definedName>
    <definedName name="_xlchart.v1.4" hidden="1">'6.ii.'!$B$12:$B$59</definedName>
    <definedName name="_xlchart.v1.5" hidden="1">'6.ii.'!$C$81</definedName>
    <definedName name="_xlchart.v1.6" hidden="1">'6.ii.'!$C$82:$C$129</definedName>
    <definedName name="_xlchart.v1.7" hidden="1">'6.ii.'!$B$82:$B$129</definedName>
    <definedName name="_xlchart.v1.8" hidden="1">'6.ii.'!$C$82:$C$129</definedName>
    <definedName name="_xlchart.v1.9" hidden="1">'6.ii.'!$B$12:$B$59</definedName>
  </definedNames>
  <calcPr calcId="191029"/>
  <pivotCaches>
    <pivotCache cacheId="0" r:id="rId13"/>
    <pivotCache cacheId="1" r:id="rId14"/>
    <pivotCache cacheId="2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50" i="10" l="1"/>
  <c r="C362" i="10"/>
  <c r="C355" i="10"/>
  <c r="C359" i="10"/>
  <c r="C351" i="10"/>
  <c r="C375" i="10"/>
  <c r="C390" i="10"/>
  <c r="C376" i="10"/>
  <c r="C383" i="10"/>
  <c r="C373" i="10"/>
  <c r="C369" i="10"/>
  <c r="C382" i="10"/>
  <c r="C357" i="10"/>
  <c r="C374" i="10"/>
  <c r="C379" i="10"/>
  <c r="C391" i="10"/>
  <c r="C378" i="10"/>
  <c r="C386" i="10"/>
  <c r="C361" i="10"/>
  <c r="C366" i="10"/>
  <c r="C368" i="10"/>
  <c r="C365" i="10"/>
  <c r="C372" i="10"/>
  <c r="C398" i="10"/>
  <c r="C364" i="10"/>
  <c r="C385" i="10"/>
  <c r="C371" i="10"/>
  <c r="C394" i="10"/>
  <c r="C389" i="10"/>
  <c r="C363" i="10"/>
  <c r="C358" i="10"/>
  <c r="C388" i="10"/>
  <c r="C396" i="10"/>
  <c r="C392" i="10"/>
  <c r="C387" i="10"/>
  <c r="C367" i="10"/>
  <c r="C384" i="10"/>
  <c r="C381" i="10"/>
  <c r="C380" i="10"/>
  <c r="C360" i="10"/>
  <c r="C397" i="10"/>
  <c r="C393" i="10"/>
  <c r="C352" i="10"/>
  <c r="C395" i="10"/>
  <c r="C356" i="10"/>
  <c r="C377" i="10"/>
  <c r="C354" i="10"/>
  <c r="C353" i="10"/>
  <c r="C370" i="10"/>
  <c r="D301" i="10"/>
  <c r="E263" i="10"/>
  <c r="E258" i="10"/>
  <c r="E257" i="10"/>
  <c r="J30" i="9"/>
  <c r="E255" i="10"/>
  <c r="E251" i="10"/>
  <c r="E250" i="10"/>
  <c r="E248" i="10"/>
  <c r="E247" i="10"/>
  <c r="E246" i="10"/>
  <c r="E245" i="10"/>
  <c r="E244" i="10"/>
  <c r="E243" i="10"/>
  <c r="E242" i="10"/>
  <c r="E241" i="10"/>
  <c r="E240" i="10"/>
  <c r="E239" i="10"/>
  <c r="E234" i="10"/>
  <c r="M109" i="10"/>
  <c r="M104" i="10"/>
  <c r="M103" i="10"/>
  <c r="M101" i="10"/>
  <c r="M94" i="10"/>
  <c r="M93" i="10"/>
  <c r="M92" i="10"/>
  <c r="M91" i="10"/>
  <c r="M90" i="10"/>
  <c r="M89" i="10"/>
  <c r="M88" i="10"/>
  <c r="M87" i="10"/>
  <c r="M86" i="10"/>
  <c r="M85" i="10"/>
  <c r="E77" i="10"/>
  <c r="J90" i="10"/>
  <c r="J101" i="10"/>
  <c r="J102" i="10" s="1"/>
  <c r="M29" i="9"/>
  <c r="F169" i="10"/>
  <c r="J109" i="10"/>
  <c r="J104" i="10"/>
  <c r="J103" i="10"/>
  <c r="J94" i="10"/>
  <c r="J93" i="10"/>
  <c r="J92" i="10"/>
  <c r="J91" i="10"/>
  <c r="J89" i="10"/>
  <c r="J88" i="10"/>
  <c r="J87" i="10"/>
  <c r="J86" i="10"/>
  <c r="J85" i="10"/>
  <c r="K82" i="10"/>
  <c r="K81" i="10"/>
  <c r="J82" i="10"/>
  <c r="J81" i="10"/>
  <c r="K12" i="10" a="1"/>
  <c r="K12" i="10" s="1"/>
  <c r="J12" i="10"/>
  <c r="I12" i="10"/>
  <c r="E260" i="10" l="1"/>
  <c r="E259" i="10"/>
  <c r="E261" i="10"/>
  <c r="E256" i="10"/>
  <c r="M106" i="10"/>
  <c r="M105" i="10"/>
  <c r="M97" i="10" s="1"/>
  <c r="M107" i="10"/>
  <c r="M102" i="10"/>
  <c r="M96" i="10"/>
  <c r="J106" i="10"/>
  <c r="J107" i="10"/>
  <c r="J105" i="10"/>
  <c r="J97" i="10" s="1"/>
  <c r="K345" i="9"/>
  <c r="J345" i="9"/>
  <c r="I345" i="9"/>
  <c r="K344" i="9"/>
  <c r="J344" i="9"/>
  <c r="I344" i="9"/>
  <c r="J289" i="9"/>
  <c r="J291" i="9" s="1"/>
  <c r="E290" i="9"/>
  <c r="E289" i="9"/>
  <c r="E291" i="9" s="1"/>
  <c r="F290" i="9" s="1"/>
  <c r="J281" i="9"/>
  <c r="J280" i="9"/>
  <c r="J279" i="9"/>
  <c r="J278" i="9"/>
  <c r="J277" i="9"/>
  <c r="J283" i="9" s="1"/>
  <c r="J276" i="9"/>
  <c r="J275" i="9"/>
  <c r="J284" i="9" s="1"/>
  <c r="J274" i="9"/>
  <c r="J273" i="9"/>
  <c r="J272" i="9"/>
  <c r="H234" i="9"/>
  <c r="H233" i="9"/>
  <c r="H232" i="9"/>
  <c r="G234" i="9"/>
  <c r="G233" i="9"/>
  <c r="G232" i="9"/>
  <c r="O218" i="9"/>
  <c r="J96" i="10" l="1"/>
  <c r="F289" i="9"/>
  <c r="F291" i="9" s="1"/>
  <c r="O242" i="9"/>
  <c r="O237" i="9"/>
  <c r="O236" i="9"/>
  <c r="O234" i="9"/>
  <c r="O235" i="9" s="1"/>
  <c r="O227" i="9"/>
  <c r="O226" i="9"/>
  <c r="O225" i="9"/>
  <c r="O224" i="9"/>
  <c r="O223" i="9"/>
  <c r="O222" i="9"/>
  <c r="O221" i="9"/>
  <c r="O220" i="9"/>
  <c r="O219" i="9"/>
  <c r="C188" i="9" a="1"/>
  <c r="C188" i="9" s="1"/>
  <c r="B188" i="9"/>
  <c r="C187" i="9" a="1"/>
  <c r="C187" i="9" s="1"/>
  <c r="B187" i="9"/>
  <c r="C186" i="9" a="1"/>
  <c r="C186" i="9" s="1"/>
  <c r="B186" i="9"/>
  <c r="C78" i="9" a="1"/>
  <c r="C78" i="9" s="1"/>
  <c r="C77" i="9" a="1"/>
  <c r="C77" i="9" s="1"/>
  <c r="C76" i="9" a="1"/>
  <c r="C76" i="9" s="1"/>
  <c r="B78" i="9"/>
  <c r="B77" i="9"/>
  <c r="B76" i="9"/>
  <c r="C48" i="9"/>
  <c r="AH14" i="9"/>
  <c r="AG13" i="9"/>
  <c r="AH15" i="9"/>
  <c r="AG14" i="9"/>
  <c r="AF13" i="9"/>
  <c r="AG15" i="9"/>
  <c r="AF14" i="9"/>
  <c r="AF15" i="9"/>
  <c r="AH13" i="9"/>
  <c r="O239" i="9" l="1"/>
  <c r="O238" i="9"/>
  <c r="O240" i="9"/>
  <c r="AH16" i="9"/>
  <c r="AG16" i="9"/>
  <c r="AF16" i="9"/>
  <c r="K43" i="9"/>
  <c r="X14" i="9" a="1"/>
  <c r="X14" i="9" s="1"/>
  <c r="X13" i="9" a="1"/>
  <c r="X13" i="9" s="1"/>
  <c r="X12" i="9" a="1"/>
  <c r="X12" i="9" s="1"/>
  <c r="S14" i="9"/>
  <c r="S13" i="9"/>
  <c r="S12" i="9"/>
  <c r="W14" i="9"/>
  <c r="W13" i="9"/>
  <c r="W12" i="9"/>
  <c r="V14" i="9" a="1"/>
  <c r="V14" i="9" s="1"/>
  <c r="V13" i="9" a="1"/>
  <c r="V13" i="9" s="1"/>
  <c r="V12" i="9" a="1"/>
  <c r="V12" i="9" s="1"/>
  <c r="U14" i="9"/>
  <c r="U13" i="9"/>
  <c r="U12" i="9"/>
  <c r="P37" i="9"/>
  <c r="P32" i="9"/>
  <c r="P31" i="9"/>
  <c r="P29" i="9"/>
  <c r="P22" i="9"/>
  <c r="P21" i="9"/>
  <c r="P20" i="9"/>
  <c r="J19" i="9"/>
  <c r="P19" i="9"/>
  <c r="P18" i="9"/>
  <c r="P17" i="9"/>
  <c r="P16" i="9"/>
  <c r="P15" i="9"/>
  <c r="P14" i="9"/>
  <c r="P13" i="9"/>
  <c r="M37" i="9"/>
  <c r="M32" i="9"/>
  <c r="M31" i="9"/>
  <c r="M22" i="9"/>
  <c r="M21" i="9"/>
  <c r="M20" i="9"/>
  <c r="M19" i="9"/>
  <c r="M18" i="9"/>
  <c r="M17" i="9"/>
  <c r="M16" i="9"/>
  <c r="M15" i="9"/>
  <c r="M14" i="9"/>
  <c r="M13" i="9"/>
  <c r="T12" i="9" a="1"/>
  <c r="T12" i="9" s="1"/>
  <c r="J13" i="9"/>
  <c r="T13" i="9" a="1"/>
  <c r="T13" i="9" s="1"/>
  <c r="J14" i="9"/>
  <c r="T14" i="9" a="1"/>
  <c r="T14" i="9" s="1"/>
  <c r="J15" i="9"/>
  <c r="J16" i="9"/>
  <c r="J17" i="9"/>
  <c r="J18" i="9"/>
  <c r="J20" i="9"/>
  <c r="J21" i="9"/>
  <c r="J22" i="9"/>
  <c r="J29" i="9"/>
  <c r="J31" i="9"/>
  <c r="J32" i="9"/>
  <c r="J37" i="9"/>
  <c r="O230" i="9" l="1"/>
  <c r="O229" i="9"/>
  <c r="J35" i="9"/>
  <c r="P34" i="9"/>
  <c r="P33" i="9"/>
  <c r="P25" i="9" s="1"/>
  <c r="P35" i="9"/>
  <c r="P30" i="9"/>
  <c r="J33" i="9"/>
  <c r="J24" i="9" s="1"/>
  <c r="J34" i="9"/>
  <c r="M34" i="9"/>
  <c r="M35" i="9"/>
  <c r="M33" i="9"/>
  <c r="M25" i="9" s="1"/>
  <c r="M30" i="9"/>
  <c r="J25" i="9" l="1"/>
  <c r="P24" i="9"/>
  <c r="M24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<sst xmlns="http://schemas.openxmlformats.org/spreadsheetml/2006/main" count="694" uniqueCount="116">
  <si>
    <t>N</t>
  </si>
  <si>
    <t>estado_civil</t>
  </si>
  <si>
    <t>grau_instrucao</t>
  </si>
  <si>
    <t>n_filhos</t>
  </si>
  <si>
    <t>salario</t>
  </si>
  <si>
    <t>idade_anos</t>
  </si>
  <si>
    <t>reg_procedencia</t>
  </si>
  <si>
    <t>solteiro</t>
  </si>
  <si>
    <t>1-ensino fundamental</t>
  </si>
  <si>
    <t>interior</t>
  </si>
  <si>
    <t>casado</t>
  </si>
  <si>
    <t>capital</t>
  </si>
  <si>
    <t>2-ensino medio</t>
  </si>
  <si>
    <t>outra</t>
  </si>
  <si>
    <t>3-superior</t>
  </si>
  <si>
    <t>Código do Cliente</t>
  </si>
  <si>
    <t>Idade</t>
  </si>
  <si>
    <t>Rendimento Total</t>
  </si>
  <si>
    <t>Salário</t>
  </si>
  <si>
    <t>Limite de Crédito Imediato</t>
  </si>
  <si>
    <t>Limite do Cheque Especial</t>
  </si>
  <si>
    <t>Mediana:</t>
  </si>
  <si>
    <t>Capital</t>
  </si>
  <si>
    <t xml:space="preserve">Média Salarial </t>
  </si>
  <si>
    <t xml:space="preserve">Mediana Salárial </t>
  </si>
  <si>
    <t>Interior</t>
  </si>
  <si>
    <t>Outra</t>
  </si>
  <si>
    <t>Média aritmética:</t>
  </si>
  <si>
    <t>Moda:</t>
  </si>
  <si>
    <t>1º quartil (25 %):</t>
  </si>
  <si>
    <t>2º quartil (50 %):</t>
  </si>
  <si>
    <t>3º quartil (75 %):</t>
  </si>
  <si>
    <t>Percentil1:</t>
  </si>
  <si>
    <t>Mínimo:</t>
  </si>
  <si>
    <t>Percentil 99:</t>
  </si>
  <si>
    <t>Máximo :</t>
  </si>
  <si>
    <t>Limite superior do Box Plot:</t>
  </si>
  <si>
    <t>Limite Inferior do Box Plot:</t>
  </si>
  <si>
    <t>Desvio Padrão:</t>
  </si>
  <si>
    <t>Variância:</t>
  </si>
  <si>
    <t>Máximo:</t>
  </si>
  <si>
    <t>Intervalo Interquartil:</t>
  </si>
  <si>
    <t>Amplitude:</t>
  </si>
  <si>
    <t>Coeficiente de Variação:</t>
  </si>
  <si>
    <t>Assimetria</t>
  </si>
  <si>
    <t>Medidas de Posição (Salário)</t>
  </si>
  <si>
    <t>Medidas de Dispersão (Salário)</t>
  </si>
  <si>
    <t>Medidas de Posição (Filhos)</t>
  </si>
  <si>
    <t>Medidas de Dispersão (Filhos)</t>
  </si>
  <si>
    <t>Medidas de Posição (Idade)</t>
  </si>
  <si>
    <t xml:space="preserve">Média Procedência </t>
  </si>
  <si>
    <t xml:space="preserve">Mediana Procedência </t>
  </si>
  <si>
    <t xml:space="preserve">Média N.Filhos </t>
  </si>
  <si>
    <t xml:space="preserve">Mediana N.Filhos </t>
  </si>
  <si>
    <t>% Não informados</t>
  </si>
  <si>
    <t>Amostra (Colaboradores)</t>
  </si>
  <si>
    <t>Colab. com nro. de filhos não inform.</t>
  </si>
  <si>
    <t>Medidas de Dispersão (Idade)</t>
  </si>
  <si>
    <t>Contagem de grau_instrucao</t>
  </si>
  <si>
    <t>Rótulos de Linha</t>
  </si>
  <si>
    <t>Total Geral</t>
  </si>
  <si>
    <t>Rótulos de Coluna</t>
  </si>
  <si>
    <t>% EnsinoFund</t>
  </si>
  <si>
    <t>% Ensino Méd</t>
  </si>
  <si>
    <t>% Super.</t>
  </si>
  <si>
    <t>Região</t>
  </si>
  <si>
    <t>Podemos afirmar que há uma equivalência entre o número de colaboradores, segundo sua região de procedência, más há uma ligeira vantagem no que diz respeito à media salarial para os colaboradores do interior. A mediana salarial dos colaboradores é maior (10,65) seguido pelas outras (9,80) e depois pela capital (9,77). Quanto à escolaridade, a capital possui um percentual maior de colaboradores com ensino superior (18%) contra 17% no interior e 15% em outra. Por fim, os colaboradores da capital puossuem uma média maior quanto qo número de filhos (1,71)  contra 1,63 no interior, seguido por 1,60 em outras.</t>
  </si>
  <si>
    <t>Média de salario</t>
  </si>
  <si>
    <t>Grau Instr.</t>
  </si>
  <si>
    <t>Sim, de acordo com a média e com a mediana das faixas salariais, podemos afirmar que quem possui maior escolaridade, recebe maiores salários.</t>
  </si>
  <si>
    <t>Segundo o gráfico acima, Podemos concluir que os casados possuem maior escolaridade frente aos solteiros, principalmente no ensino médio.</t>
  </si>
  <si>
    <t>Podemos concluir no gráfico acima que há uma tendência de crescimento do valor dos salários, conforme a pessoa tem mais idade.</t>
  </si>
  <si>
    <t>Procedência</t>
  </si>
  <si>
    <t>Não é verdade, haja vista que, tanto a média, quanto a mediana dos salários do interior são maiores do que os salário s da capital.</t>
  </si>
  <si>
    <t>Idades</t>
  </si>
  <si>
    <t>Cont Proced.</t>
  </si>
  <si>
    <t>Soma de Cont Proced.</t>
  </si>
  <si>
    <t>Coluna1</t>
  </si>
  <si>
    <t>Quartil</t>
  </si>
  <si>
    <t>Q1</t>
  </si>
  <si>
    <t>Q2</t>
  </si>
  <si>
    <t>Q3</t>
  </si>
  <si>
    <t>Q4</t>
  </si>
  <si>
    <t>Região Proced</t>
  </si>
  <si>
    <t>Q1 + Q2</t>
  </si>
  <si>
    <t>Q3 + Q4</t>
  </si>
  <si>
    <r>
      <t>Eu dividi as pessoas por idade por quartís sendo (A)=Q1+Q2 (Mais jovens) até 34,5 anos e (B)=Q3+Q4 (mais velhos) &gt; 34,5. Seguindo este critério de divisão, podemos avaliar que o número de colaboradores do grupo (A) é maior no Interior e, portanto, a afirmação de que as pessoas mais jovens são de outras regiões, está errada. Mais jovens Interior =</t>
    </r>
    <r>
      <rPr>
        <b/>
        <sz val="10"/>
        <color theme="1" tint="0.249977111117893"/>
        <rFont val="Lucida Sans"/>
        <family val="2"/>
      </rPr>
      <t xml:space="preserve"> </t>
    </r>
    <r>
      <rPr>
        <b/>
        <sz val="10"/>
        <color rgb="FFC00000"/>
        <rFont val="Lucida Sans"/>
        <family val="2"/>
      </rPr>
      <t>7</t>
    </r>
    <r>
      <rPr>
        <sz val="10"/>
        <color theme="1" tint="0.249977111117893"/>
        <rFont val="Lucida Sans"/>
        <family val="2"/>
      </rPr>
      <t xml:space="preserve"> | Mais jovens capital = </t>
    </r>
    <r>
      <rPr>
        <b/>
        <sz val="10"/>
        <color rgb="FFC00000"/>
        <rFont val="Lucida Sans"/>
        <family val="2"/>
      </rPr>
      <t>6</t>
    </r>
    <r>
      <rPr>
        <sz val="10"/>
        <color theme="1" tint="0.249977111117893"/>
        <rFont val="Lucida Sans"/>
        <family val="2"/>
      </rPr>
      <t xml:space="preserve"> e mais jovens outra = </t>
    </r>
    <r>
      <rPr>
        <b/>
        <sz val="10"/>
        <color rgb="FFC00000"/>
        <rFont val="Lucida Sans"/>
        <family val="2"/>
      </rPr>
      <t>5</t>
    </r>
    <r>
      <rPr>
        <sz val="10"/>
        <color theme="1" tint="0.249977111117893"/>
        <rFont val="Lucida Sans"/>
        <family val="2"/>
      </rPr>
      <t>.</t>
    </r>
  </si>
  <si>
    <t>Soma de n_filhos</t>
  </si>
  <si>
    <t>Quartís</t>
  </si>
  <si>
    <t>Nro Filhos</t>
  </si>
  <si>
    <t>% Nro Filhos</t>
  </si>
  <si>
    <t>TOTAL</t>
  </si>
  <si>
    <t>Total de funcionários</t>
  </si>
  <si>
    <t>Funcionários que informaram nro de filhos</t>
  </si>
  <si>
    <t>% Funcionários que informaram Nro. Fil.</t>
  </si>
  <si>
    <r>
      <t xml:space="preserve">% Funcionários que </t>
    </r>
    <r>
      <rPr>
        <sz val="10"/>
        <color rgb="FFC00000"/>
        <rFont val="Lucida Sans"/>
        <family val="2"/>
      </rPr>
      <t>NÃO</t>
    </r>
    <r>
      <rPr>
        <sz val="10"/>
        <color theme="1" tint="0.249977111117893"/>
        <rFont val="Lucida Sans"/>
        <family val="2"/>
      </rPr>
      <t xml:space="preserve"> informaram Nro. Fil.</t>
    </r>
  </si>
  <si>
    <t xml:space="preserve">Primeiro devemos esclarecer que 44% dos funcionários não informaram o nro de filhos, o que compromete a nossa nálise. Entretanto, para responder a esta questão com 56% de informantes podemos afirmar que os funcionários mais velhos (seguindo o critério de faixa etária no exercício enterior) possuem mais filhos. Q1+Q2 = 8 filhos e Q3+Q4 = 25 filhos </t>
  </si>
  <si>
    <t>Sim, considerando a mediana, podemos afirmar que há um interesse da empresa em contratar pessoas no interior, e provavelmente por isso, acaba pagando mais para as pessoas dessa procedência. Podemos afirmar também que no interior a empresa tende a contratar pessoas mais jovens que, segundo nossa análise, possuem menos filhos.</t>
  </si>
  <si>
    <t>Q1+Q2</t>
  </si>
  <si>
    <t>Q3+Q4</t>
  </si>
  <si>
    <t>Média de Idade</t>
  </si>
  <si>
    <t>Idade mais frequente</t>
  </si>
  <si>
    <t>Nro Clientes</t>
  </si>
  <si>
    <t>Podemos verificar que a idade média do grupo de 48n clientes acima é de 61 anos e, portanto, é uma carteira de clientes de idade mais avançada. A idade mais frequente é de 70 anos e, ainda, temos um cliente com uma idade discrepante de 94 anos.</t>
  </si>
  <si>
    <t>Média</t>
  </si>
  <si>
    <t>Rendimento Tot</t>
  </si>
  <si>
    <t>Moda</t>
  </si>
  <si>
    <t>Medidas de Posição (Rendimento Tot)</t>
  </si>
  <si>
    <t>Medidas de Dispersão (Rendimento Tot)</t>
  </si>
  <si>
    <t>Correlação (Rendimento Tot vs Salário)</t>
  </si>
  <si>
    <t>Correlação</t>
  </si>
  <si>
    <t>Na relação dos 48 clientes acima, há caso de valores de salário e rendimento total discrepantes. Podemos verificar tanto no Boxplot  quanto do gráfico de dispersão que há dois clientes com salários e rendimento total muito maiores que os demais. Tanto para os salários quanto para os rendimentos totas estes dois casos puxam para cima as suas médias, mas podemos perceber nas medianas e nas modas que estes valores não refletem a verdade. Na mediana do rendimento total temos R$ 8.400 vs R$ 12.275 da média e na moda temos R$ 5.000 para os mesmos R4 12.275. Para o salário os valores são um pouco diferentes, mas ainda confirmam esta tendência: Média=R$ 10.507 vs Mediana=R$ 7.400 vs Moda=R$ 5.000.</t>
  </si>
  <si>
    <t>Podemos verificar que há uma correlação forte positiva de 0,96 entre os rendimentos totais e os salários.</t>
  </si>
  <si>
    <t>Não podemos afirmar que há uma relação entre idade e valores salariais. Sua correlação é de 0,06 e , portanto muito baixa.</t>
  </si>
  <si>
    <t>Não podemos afirmar que o valor do salário foi usado como referência de quanto crédito pode ser liberado imediatamente. No gráfico de dispersão não temos indícios dessa correlação. Também podemos afirmar que a correlação é baixa (0,08).</t>
  </si>
  <si>
    <t>Embora haja algumas exceções, podemos afirmar que o banco determina o limite do cheque especial de acordo com o salário em uma correlação positiva de 0,89.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</si>
</sst>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#,##0.00000"/>
    <numFmt numFmtId="165" formatCode="#,##0.0"/>
    <numFmt numFmtId="166" formatCode="#,##0.000"/>
    <numFmt numFmtId="167" formatCode="_-[$R$-416]\ * #,##0_-;\-[$R$-416]\ * #,##0_-;_-[$R$-416]\ * &quot;-&quot;??_-;_-@_-"/>
    <numFmt numFmtId="168" formatCode="_-* #,##0.000_-;\-* #,##0.000_-;_-* &quot;-&quot;??_-;_-@_-"/>
    <numFmt numFmtId="169" formatCode="0.0"/>
  </numFmts>
  <fonts count="20" x14ac:knownFonts="1">
    <font>
      <sz val="10"/>
      <name val="Arial"/>
    </font>
    <font>
      <sz val="10"/>
      <color theme="1" tint="0.249977111117893"/>
      <name val="Segoe UI"/>
      <family val="2"/>
    </font>
    <font>
      <sz val="10"/>
      <name val="Segoe UI"/>
      <family val="2"/>
    </font>
    <font>
      <b/>
      <sz val="10"/>
      <color theme="1" tint="0.249977111117893"/>
      <name val="Open Sans"/>
      <family val="2"/>
    </font>
    <font>
      <sz val="10"/>
      <color theme="1" tint="0.249977111117893"/>
      <name val="Open Sans"/>
      <family val="2"/>
    </font>
    <font>
      <sz val="10"/>
      <name val="Arial"/>
      <family val="2"/>
    </font>
    <font>
      <sz val="10"/>
      <color rgb="FF434343"/>
      <name val="Segoe UI"/>
      <family val="2"/>
    </font>
    <font>
      <sz val="10"/>
      <name val="Arial"/>
      <family val="2"/>
    </font>
    <font>
      <sz val="10"/>
      <color theme="1" tint="0.249977111117893"/>
      <name val="Lucida Sans"/>
      <family val="2"/>
    </font>
    <font>
      <sz val="10"/>
      <name val="Lucida Sans"/>
      <family val="2"/>
    </font>
    <font>
      <b/>
      <sz val="14"/>
      <color theme="1" tint="0.249977111117893"/>
      <name val="Lucida Sans"/>
      <family val="2"/>
    </font>
    <font>
      <b/>
      <sz val="10"/>
      <name val="Lucida Sans"/>
      <family val="2"/>
    </font>
    <font>
      <b/>
      <sz val="10"/>
      <color theme="1" tint="0.249977111117893"/>
      <name val="Lucida Sans"/>
      <family val="2"/>
    </font>
    <font>
      <sz val="12"/>
      <color theme="1" tint="0.249977111117893"/>
      <name val="Lucida Sans"/>
      <family val="2"/>
    </font>
    <font>
      <b/>
      <sz val="10"/>
      <color theme="1"/>
      <name val="Lucida Sans"/>
      <family val="2"/>
    </font>
    <font>
      <sz val="10"/>
      <color theme="0"/>
      <name val="Lucida Sans"/>
      <family val="2"/>
    </font>
    <font>
      <b/>
      <sz val="10"/>
      <color theme="0"/>
      <name val="Lucida Sans"/>
      <family val="2"/>
    </font>
    <font>
      <sz val="10"/>
      <color rgb="FFC00000"/>
      <name val="Lucida Sans"/>
      <family val="2"/>
    </font>
    <font>
      <b/>
      <sz val="10"/>
      <color rgb="FFC00000"/>
      <name val="Lucida Sans"/>
      <family val="2"/>
    </font>
    <font>
      <b/>
      <sz val="10"/>
      <color theme="0"/>
      <name val="Open Sans"/>
      <family val="2"/>
    </font>
  </fonts>
  <fills count="14">
    <fill>
      <patternFill patternType="none"/>
    </fill>
    <fill>
      <patternFill patternType="gray125"/>
    </fill>
    <fill>
      <patternFill patternType="solid">
        <fgColor rgb="FF6ADBD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7F1F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hair">
        <color theme="1" tint="0.24994659260841701"/>
      </left>
      <right style="hair">
        <color theme="1" tint="0.24994659260841701"/>
      </right>
      <top style="hair">
        <color theme="1" tint="0.24994659260841701"/>
      </top>
      <bottom style="hair">
        <color theme="1" tint="0.24994659260841701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hair">
        <color theme="1" tint="0.24994659260841701"/>
      </right>
      <top style="hair">
        <color theme="1" tint="0.24994659260841701"/>
      </top>
      <bottom style="hair">
        <color theme="1" tint="0.24994659260841701"/>
      </bottom>
      <diagonal/>
    </border>
    <border>
      <left style="hair">
        <color theme="1" tint="0.24994659260841701"/>
      </left>
      <right/>
      <top style="hair">
        <color theme="1" tint="0.24994659260841701"/>
      </top>
      <bottom style="hair">
        <color theme="1" tint="0.24994659260841701"/>
      </bottom>
      <diagonal/>
    </border>
    <border>
      <left/>
      <right style="hair">
        <color theme="1" tint="0.24994659260841701"/>
      </right>
      <top/>
      <bottom style="hair">
        <color theme="1" tint="0.24994659260841701"/>
      </bottom>
      <diagonal/>
    </border>
    <border>
      <left style="hair">
        <color theme="1" tint="0.24994659260841701"/>
      </left>
      <right style="hair">
        <color theme="1" tint="0.24994659260841701"/>
      </right>
      <top/>
      <bottom style="hair">
        <color theme="1" tint="0.24994659260841701"/>
      </bottom>
      <diagonal/>
    </border>
    <border>
      <left style="hair">
        <color theme="1" tint="0.24994659260841701"/>
      </left>
      <right/>
      <top/>
      <bottom style="hair">
        <color theme="1" tint="0.24994659260841701"/>
      </bottom>
      <diagonal/>
    </border>
    <border>
      <left/>
      <right style="hair">
        <color theme="1" tint="0.24994659260841701"/>
      </right>
      <top style="hair">
        <color theme="1" tint="0.24994659260841701"/>
      </top>
      <bottom/>
      <diagonal/>
    </border>
    <border>
      <left style="hair">
        <color theme="1" tint="0.24994659260841701"/>
      </left>
      <right style="hair">
        <color theme="1" tint="0.24994659260841701"/>
      </right>
      <top style="hair">
        <color theme="1" tint="0.24994659260841701"/>
      </top>
      <bottom/>
      <diagonal/>
    </border>
    <border>
      <left style="hair">
        <color theme="1" tint="0.24994659260841701"/>
      </left>
      <right/>
      <top style="hair">
        <color theme="1" tint="0.24994659260841701"/>
      </top>
      <bottom/>
      <diagonal/>
    </border>
  </borders>
  <cellStyleXfs count="6">
    <xf numFmtId="0" fontId="0" fillId="0" borderId="0" applyNumberFormat="0" applyFill="0" applyBorder="0" applyAlignment="0" applyProtection="0"/>
    <xf numFmtId="4" fontId="5" fillId="0" borderId="0" applyFill="0" applyBorder="0" applyAlignment="0" applyProtection="0"/>
    <xf numFmtId="166" fontId="5" fillId="0" borderId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5" fillId="0" borderId="0"/>
  </cellStyleXfs>
  <cellXfs count="138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2" borderId="1" xfId="0" applyFont="1" applyFill="1" applyBorder="1" applyAlignment="1">
      <alignment horizontal="center" vertical="center"/>
    </xf>
    <xf numFmtId="1" fontId="3" fillId="0" borderId="0" xfId="0" applyNumberFormat="1" applyFont="1" applyFill="1" applyBorder="1" applyAlignment="1">
      <alignment horizontal="center" vertical="center" wrapText="1"/>
    </xf>
    <xf numFmtId="4" fontId="3" fillId="0" borderId="0" xfId="0" applyNumberFormat="1" applyFont="1" applyFill="1" applyBorder="1" applyAlignment="1">
      <alignment horizontal="center"/>
    </xf>
    <xf numFmtId="164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1" fontId="4" fillId="0" borderId="1" xfId="0" applyNumberFormat="1" applyFont="1" applyBorder="1" applyAlignment="1">
      <alignment horizontal="center" vertical="center"/>
    </xf>
    <xf numFmtId="165" fontId="4" fillId="0" borderId="0" xfId="0" applyNumberFormat="1" applyFont="1" applyFill="1" applyBorder="1" applyAlignment="1">
      <alignment horizontal="center"/>
    </xf>
    <xf numFmtId="3" fontId="4" fillId="0" borderId="0" xfId="0" applyNumberFormat="1" applyFont="1" applyFill="1" applyBorder="1" applyAlignment="1">
      <alignment horizontal="center"/>
    </xf>
    <xf numFmtId="4" fontId="4" fillId="0" borderId="0" xfId="0" applyNumberFormat="1" applyFont="1" applyFill="1" applyBorder="1" applyAlignment="1">
      <alignment horizontal="center"/>
    </xf>
    <xf numFmtId="164" fontId="4" fillId="0" borderId="0" xfId="0" applyNumberFormat="1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166" fontId="4" fillId="0" borderId="0" xfId="0" applyNumberFormat="1" applyFont="1" applyFill="1" applyBorder="1" applyAlignment="1">
      <alignment horizontal="center"/>
    </xf>
    <xf numFmtId="0" fontId="4" fillId="0" borderId="0" xfId="0" applyFont="1"/>
    <xf numFmtId="1" fontId="4" fillId="0" borderId="1" xfId="0" applyNumberFormat="1" applyFont="1" applyBorder="1" applyAlignment="1">
      <alignment horizontal="center"/>
    </xf>
    <xf numFmtId="167" fontId="4" fillId="0" borderId="1" xfId="1" applyNumberFormat="1" applyFont="1" applyBorder="1" applyAlignment="1">
      <alignment horizontal="center"/>
    </xf>
    <xf numFmtId="1" fontId="4" fillId="3" borderId="1" xfId="0" applyNumberFormat="1" applyFont="1" applyFill="1" applyBorder="1" applyAlignment="1">
      <alignment horizontal="center"/>
    </xf>
    <xf numFmtId="167" fontId="4" fillId="3" borderId="1" xfId="1" applyNumberFormat="1" applyFont="1" applyFill="1" applyBorder="1" applyAlignment="1">
      <alignment horizontal="center"/>
    </xf>
    <xf numFmtId="167" fontId="4" fillId="0" borderId="0" xfId="0" applyNumberFormat="1" applyFont="1"/>
    <xf numFmtId="0" fontId="2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/>
    <xf numFmtId="0" fontId="8" fillId="0" borderId="0" xfId="0" applyFont="1" applyAlignment="1">
      <alignment horizontal="left" vertical="center"/>
    </xf>
    <xf numFmtId="0" fontId="8" fillId="0" borderId="0" xfId="0" applyFont="1" applyAlignment="1">
      <alignment horizontal="right" vertical="center"/>
    </xf>
    <xf numFmtId="0" fontId="12" fillId="0" borderId="0" xfId="0" applyFont="1" applyAlignment="1">
      <alignment vertical="center"/>
    </xf>
    <xf numFmtId="43" fontId="9" fillId="0" borderId="0" xfId="3" applyFont="1"/>
    <xf numFmtId="0" fontId="9" fillId="0" borderId="2" xfId="0" applyFont="1" applyBorder="1" applyAlignment="1">
      <alignment horizontal="left"/>
    </xf>
    <xf numFmtId="0" fontId="9" fillId="0" borderId="0" xfId="0" applyFont="1" applyAlignment="1">
      <alignment horizontal="left"/>
    </xf>
    <xf numFmtId="43" fontId="8" fillId="0" borderId="0" xfId="3" applyFont="1" applyAlignment="1">
      <alignment vertical="center"/>
    </xf>
    <xf numFmtId="0" fontId="13" fillId="0" borderId="0" xfId="0" applyFont="1" applyAlignment="1">
      <alignment vertical="center"/>
    </xf>
    <xf numFmtId="0" fontId="8" fillId="0" borderId="0" xfId="0" applyFont="1" applyAlignment="1">
      <alignment vertical="center" wrapText="1"/>
    </xf>
    <xf numFmtId="0" fontId="13" fillId="5" borderId="0" xfId="0" applyFont="1" applyFill="1" applyAlignment="1">
      <alignment vertical="center"/>
    </xf>
    <xf numFmtId="0" fontId="9" fillId="0" borderId="2" xfId="0" applyFont="1" applyBorder="1"/>
    <xf numFmtId="0" fontId="11" fillId="0" borderId="3" xfId="0" applyFont="1" applyBorder="1" applyAlignment="1">
      <alignment horizontal="left"/>
    </xf>
    <xf numFmtId="0" fontId="11" fillId="0" borderId="2" xfId="0" applyFont="1" applyBorder="1" applyAlignment="1">
      <alignment horizontal="left"/>
    </xf>
    <xf numFmtId="168" fontId="8" fillId="0" borderId="0" xfId="3" applyNumberFormat="1" applyFont="1" applyAlignment="1">
      <alignment horizontal="right" vertical="center"/>
    </xf>
    <xf numFmtId="168" fontId="8" fillId="0" borderId="2" xfId="3" applyNumberFormat="1" applyFont="1" applyBorder="1" applyAlignment="1">
      <alignment horizontal="right" vertical="center"/>
    </xf>
    <xf numFmtId="168" fontId="8" fillId="0" borderId="3" xfId="3" applyNumberFormat="1" applyFont="1" applyBorder="1" applyAlignment="1">
      <alignment horizontal="right" vertical="center"/>
    </xf>
    <xf numFmtId="168" fontId="9" fillId="0" borderId="0" xfId="3" applyNumberFormat="1" applyFont="1"/>
    <xf numFmtId="168" fontId="8" fillId="0" borderId="2" xfId="3" applyNumberFormat="1" applyFont="1" applyBorder="1" applyAlignment="1">
      <alignment vertical="center"/>
    </xf>
    <xf numFmtId="168" fontId="8" fillId="0" borderId="0" xfId="3" applyNumberFormat="1" applyFont="1" applyAlignment="1">
      <alignment vertical="center"/>
    </xf>
    <xf numFmtId="0" fontId="10" fillId="0" borderId="0" xfId="0" applyFont="1" applyAlignment="1">
      <alignment vertical="center"/>
    </xf>
    <xf numFmtId="0" fontId="9" fillId="0" borderId="0" xfId="0" applyFont="1" applyAlignment="1">
      <alignment wrapText="1"/>
    </xf>
    <xf numFmtId="0" fontId="11" fillId="0" borderId="0" xfId="0" applyFont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0" fontId="12" fillId="6" borderId="0" xfId="0" applyFont="1" applyFill="1" applyAlignment="1">
      <alignment vertical="center"/>
    </xf>
    <xf numFmtId="43" fontId="9" fillId="6" borderId="0" xfId="3" applyFont="1" applyFill="1"/>
    <xf numFmtId="43" fontId="9" fillId="6" borderId="5" xfId="3" applyFont="1" applyFill="1" applyBorder="1"/>
    <xf numFmtId="0" fontId="12" fillId="7" borderId="0" xfId="0" applyFont="1" applyFill="1" applyAlignment="1">
      <alignment vertical="center"/>
    </xf>
    <xf numFmtId="43" fontId="9" fillId="7" borderId="0" xfId="3" applyFont="1" applyFill="1"/>
    <xf numFmtId="43" fontId="9" fillId="7" borderId="5" xfId="3" applyFont="1" applyFill="1" applyBorder="1"/>
    <xf numFmtId="0" fontId="12" fillId="8" borderId="0" xfId="0" applyFont="1" applyFill="1" applyAlignment="1">
      <alignment vertical="center"/>
    </xf>
    <xf numFmtId="43" fontId="9" fillId="8" borderId="0" xfId="3" applyFont="1" applyFill="1"/>
    <xf numFmtId="43" fontId="9" fillId="8" borderId="5" xfId="3" applyFont="1" applyFill="1" applyBorder="1"/>
    <xf numFmtId="9" fontId="8" fillId="0" borderId="0" xfId="4" applyFont="1" applyAlignment="1">
      <alignment vertical="center"/>
    </xf>
    <xf numFmtId="9" fontId="12" fillId="0" borderId="0" xfId="4" applyFont="1" applyAlignment="1">
      <alignment vertical="center"/>
    </xf>
    <xf numFmtId="43" fontId="9" fillId="6" borderId="0" xfId="3" applyFont="1" applyFill="1" applyBorder="1"/>
    <xf numFmtId="43" fontId="9" fillId="8" borderId="0" xfId="3" applyFont="1" applyFill="1" applyBorder="1"/>
    <xf numFmtId="43" fontId="9" fillId="7" borderId="0" xfId="3" applyFont="1" applyFill="1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9" fontId="9" fillId="0" borderId="0" xfId="4" applyFont="1"/>
    <xf numFmtId="43" fontId="0" fillId="0" borderId="0" xfId="0" applyNumberFormat="1"/>
    <xf numFmtId="0" fontId="8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horizontal="center" vertical="center" wrapText="1"/>
    </xf>
    <xf numFmtId="0" fontId="12" fillId="0" borderId="0" xfId="0" applyFont="1" applyFill="1" applyBorder="1" applyAlignment="1">
      <alignment vertical="center"/>
    </xf>
    <xf numFmtId="43" fontId="9" fillId="0" borderId="0" xfId="3" applyFont="1" applyFill="1" applyBorder="1"/>
    <xf numFmtId="0" fontId="11" fillId="0" borderId="0" xfId="0" applyFont="1" applyBorder="1" applyAlignment="1">
      <alignment horizontal="center" vertical="center" wrapText="1"/>
    </xf>
    <xf numFmtId="0" fontId="9" fillId="0" borderId="0" xfId="0" pivotButton="1" applyFont="1"/>
    <xf numFmtId="0" fontId="14" fillId="9" borderId="0" xfId="0" applyFont="1" applyFill="1"/>
    <xf numFmtId="0" fontId="14" fillId="9" borderId="0" xfId="0" applyFont="1" applyFill="1" applyAlignment="1">
      <alignment horizontal="center"/>
    </xf>
    <xf numFmtId="0" fontId="9" fillId="0" borderId="0" xfId="0" applyNumberFormat="1" applyFont="1"/>
    <xf numFmtId="9" fontId="14" fillId="9" borderId="6" xfId="4" applyFont="1" applyFill="1" applyBorder="1" applyAlignment="1">
      <alignment horizontal="right"/>
    </xf>
    <xf numFmtId="43" fontId="9" fillId="0" borderId="0" xfId="0" applyNumberFormat="1" applyFont="1"/>
    <xf numFmtId="0" fontId="9" fillId="0" borderId="0" xfId="0" pivotButton="1" applyFont="1" applyAlignment="1">
      <alignment wrapText="1"/>
    </xf>
    <xf numFmtId="0" fontId="9" fillId="0" borderId="0" xfId="0" pivotButton="1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0" fillId="0" borderId="0" xfId="0" applyBorder="1"/>
    <xf numFmtId="0" fontId="15" fillId="0" borderId="0" xfId="0" applyFont="1" applyAlignment="1">
      <alignment vertical="center"/>
    </xf>
    <xf numFmtId="43" fontId="8" fillId="0" borderId="0" xfId="3" applyFont="1" applyAlignment="1">
      <alignment vertical="center" wrapText="1"/>
    </xf>
    <xf numFmtId="0" fontId="13" fillId="0" borderId="0" xfId="0" applyFont="1" applyFill="1" applyBorder="1" applyAlignment="1">
      <alignment vertical="center"/>
    </xf>
    <xf numFmtId="43" fontId="8" fillId="0" borderId="0" xfId="3" applyNumberFormat="1" applyFont="1" applyAlignment="1">
      <alignment horizontal="right" vertical="center"/>
    </xf>
    <xf numFmtId="43" fontId="8" fillId="0" borderId="2" xfId="3" applyNumberFormat="1" applyFont="1" applyBorder="1" applyAlignment="1">
      <alignment horizontal="right" vertical="center"/>
    </xf>
    <xf numFmtId="43" fontId="8" fillId="0" borderId="3" xfId="3" applyNumberFormat="1" applyFont="1" applyBorder="1" applyAlignment="1">
      <alignment horizontal="right" vertical="center"/>
    </xf>
    <xf numFmtId="43" fontId="8" fillId="0" borderId="2" xfId="3" applyFont="1" applyBorder="1" applyAlignment="1">
      <alignment vertical="center"/>
    </xf>
    <xf numFmtId="43" fontId="8" fillId="0" borderId="0" xfId="3" applyNumberFormat="1" applyFont="1" applyAlignment="1">
      <alignment vertical="center"/>
    </xf>
    <xf numFmtId="0" fontId="5" fillId="0" borderId="0" xfId="0" applyFont="1" applyAlignment="1">
      <alignment wrapText="1"/>
    </xf>
    <xf numFmtId="0" fontId="5" fillId="0" borderId="0" xfId="0" applyFont="1"/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9" fontId="8" fillId="0" borderId="0" xfId="0" applyNumberFormat="1" applyFont="1" applyAlignment="1">
      <alignment vertical="center"/>
    </xf>
    <xf numFmtId="0" fontId="8" fillId="11" borderId="0" xfId="0" applyFont="1" applyFill="1" applyAlignment="1">
      <alignment vertical="center"/>
    </xf>
    <xf numFmtId="9" fontId="8" fillId="11" borderId="0" xfId="0" applyNumberFormat="1" applyFont="1" applyFill="1" applyAlignment="1">
      <alignment vertical="center"/>
    </xf>
    <xf numFmtId="0" fontId="16" fillId="10" borderId="7" xfId="0" applyFont="1" applyFill="1" applyBorder="1" applyAlignment="1">
      <alignment vertical="center"/>
    </xf>
    <xf numFmtId="0" fontId="16" fillId="10" borderId="8" xfId="0" applyFont="1" applyFill="1" applyBorder="1" applyAlignment="1">
      <alignment vertical="center"/>
    </xf>
    <xf numFmtId="1" fontId="4" fillId="0" borderId="9" xfId="0" applyNumberFormat="1" applyFont="1" applyBorder="1" applyAlignment="1">
      <alignment horizontal="center"/>
    </xf>
    <xf numFmtId="1" fontId="4" fillId="3" borderId="9" xfId="0" applyNumberFormat="1" applyFont="1" applyFill="1" applyBorder="1" applyAlignment="1">
      <alignment horizontal="center"/>
    </xf>
    <xf numFmtId="167" fontId="4" fillId="0" borderId="10" xfId="1" applyNumberFormat="1" applyFont="1" applyBorder="1" applyAlignment="1">
      <alignment horizontal="center"/>
    </xf>
    <xf numFmtId="167" fontId="4" fillId="3" borderId="10" xfId="1" applyNumberFormat="1" applyFont="1" applyFill="1" applyBorder="1" applyAlignment="1">
      <alignment horizontal="center"/>
    </xf>
    <xf numFmtId="1" fontId="3" fillId="2" borderId="11" xfId="0" applyNumberFormat="1" applyFont="1" applyFill="1" applyBorder="1" applyAlignment="1">
      <alignment horizontal="center" vertical="center" wrapText="1"/>
    </xf>
    <xf numFmtId="1" fontId="3" fillId="2" borderId="12" xfId="0" applyNumberFormat="1" applyFont="1" applyFill="1" applyBorder="1" applyAlignment="1">
      <alignment horizontal="center" vertical="center" wrapText="1"/>
    </xf>
    <xf numFmtId="1" fontId="3" fillId="2" borderId="13" xfId="0" applyNumberFormat="1" applyFont="1" applyFill="1" applyBorder="1" applyAlignment="1">
      <alignment horizontal="center" vertical="center" wrapText="1"/>
    </xf>
    <xf numFmtId="1" fontId="4" fillId="0" borderId="14" xfId="0" applyNumberFormat="1" applyFont="1" applyBorder="1" applyAlignment="1">
      <alignment horizontal="center"/>
    </xf>
    <xf numFmtId="1" fontId="4" fillId="0" borderId="15" xfId="0" applyNumberFormat="1" applyFont="1" applyBorder="1" applyAlignment="1">
      <alignment horizontal="center"/>
    </xf>
    <xf numFmtId="167" fontId="4" fillId="0" borderId="15" xfId="1" applyNumberFormat="1" applyFont="1" applyBorder="1" applyAlignment="1">
      <alignment horizontal="center"/>
    </xf>
    <xf numFmtId="167" fontId="4" fillId="0" borderId="16" xfId="1" applyNumberFormat="1" applyFont="1" applyBorder="1" applyAlignment="1">
      <alignment horizontal="center"/>
    </xf>
    <xf numFmtId="43" fontId="0" fillId="0" borderId="0" xfId="3" applyFont="1"/>
    <xf numFmtId="1" fontId="0" fillId="0" borderId="0" xfId="0" applyNumberFormat="1"/>
    <xf numFmtId="43" fontId="2" fillId="0" borderId="0" xfId="3" applyFont="1" applyAlignment="1">
      <alignment vertical="center"/>
    </xf>
    <xf numFmtId="0" fontId="2" fillId="0" borderId="0" xfId="0" applyFont="1" applyAlignment="1">
      <alignment horizontal="center" vertical="center"/>
    </xf>
    <xf numFmtId="2" fontId="2" fillId="0" borderId="0" xfId="0" applyNumberFormat="1" applyFont="1" applyAlignment="1">
      <alignment vertical="center"/>
    </xf>
    <xf numFmtId="0" fontId="2" fillId="12" borderId="0" xfId="0" applyFont="1" applyFill="1" applyAlignment="1">
      <alignment vertical="center"/>
    </xf>
    <xf numFmtId="43" fontId="2" fillId="12" borderId="0" xfId="3" applyFont="1" applyFill="1" applyAlignment="1">
      <alignment vertical="center"/>
    </xf>
    <xf numFmtId="0" fontId="2" fillId="6" borderId="0" xfId="0" applyFont="1" applyFill="1" applyAlignment="1">
      <alignment vertical="center"/>
    </xf>
    <xf numFmtId="43" fontId="2" fillId="6" borderId="0" xfId="3" applyFont="1" applyFill="1" applyAlignment="1">
      <alignment vertical="center"/>
    </xf>
    <xf numFmtId="0" fontId="2" fillId="13" borderId="0" xfId="0" applyFont="1" applyFill="1" applyAlignment="1">
      <alignment vertical="center"/>
    </xf>
    <xf numFmtId="43" fontId="2" fillId="13" borderId="0" xfId="3" applyFont="1" applyFill="1" applyAlignment="1">
      <alignment vertical="center"/>
    </xf>
    <xf numFmtId="0" fontId="2" fillId="7" borderId="0" xfId="0" applyFont="1" applyFill="1" applyAlignment="1">
      <alignment vertical="center"/>
    </xf>
    <xf numFmtId="43" fontId="2" fillId="7" borderId="0" xfId="3" applyFont="1" applyFill="1" applyAlignment="1">
      <alignment vertical="center"/>
    </xf>
    <xf numFmtId="1" fontId="3" fillId="0" borderId="11" xfId="0" applyNumberFormat="1" applyFont="1" applyFill="1" applyBorder="1" applyAlignment="1">
      <alignment horizontal="center" vertical="center" wrapText="1"/>
    </xf>
    <xf numFmtId="1" fontId="3" fillId="0" borderId="13" xfId="0" applyNumberFormat="1" applyFont="1" applyFill="1" applyBorder="1" applyAlignment="1">
      <alignment horizontal="center" vertical="center" wrapText="1"/>
    </xf>
    <xf numFmtId="167" fontId="4" fillId="0" borderId="9" xfId="1" applyNumberFormat="1" applyFont="1" applyFill="1" applyBorder="1" applyAlignment="1">
      <alignment horizontal="center"/>
    </xf>
    <xf numFmtId="167" fontId="4" fillId="0" borderId="10" xfId="1" applyNumberFormat="1" applyFont="1" applyFill="1" applyBorder="1" applyAlignment="1">
      <alignment horizontal="center"/>
    </xf>
    <xf numFmtId="167" fontId="4" fillId="0" borderId="14" xfId="1" applyNumberFormat="1" applyFont="1" applyFill="1" applyBorder="1" applyAlignment="1">
      <alignment horizontal="center"/>
    </xf>
    <xf numFmtId="167" fontId="4" fillId="0" borderId="16" xfId="1" applyNumberFormat="1" applyFont="1" applyFill="1" applyBorder="1" applyAlignment="1">
      <alignment horizontal="center"/>
    </xf>
    <xf numFmtId="1" fontId="19" fillId="0" borderId="11" xfId="0" applyNumberFormat="1" applyFont="1" applyFill="1" applyBorder="1" applyAlignment="1">
      <alignment horizontal="center" vertical="center" wrapText="1"/>
    </xf>
    <xf numFmtId="1" fontId="19" fillId="0" borderId="13" xfId="0" applyNumberFormat="1" applyFont="1" applyFill="1" applyBorder="1" applyAlignment="1">
      <alignment horizontal="center" vertical="center" wrapText="1"/>
    </xf>
    <xf numFmtId="1" fontId="19" fillId="0" borderId="12" xfId="0" applyNumberFormat="1" applyFont="1" applyFill="1" applyBorder="1" applyAlignment="1">
      <alignment horizontal="center" vertical="center" wrapText="1"/>
    </xf>
    <xf numFmtId="9" fontId="2" fillId="0" borderId="0" xfId="4" applyFont="1" applyFill="1" applyAlignment="1">
      <alignment vertical="center"/>
    </xf>
    <xf numFmtId="169" fontId="2" fillId="0" borderId="0" xfId="0" applyNumberFormat="1" applyFont="1" applyAlignment="1">
      <alignment vertical="center"/>
    </xf>
    <xf numFmtId="0" fontId="12" fillId="6" borderId="4" xfId="0" applyFont="1" applyFill="1" applyBorder="1" applyAlignment="1">
      <alignment horizontal="center" vertical="center"/>
    </xf>
    <xf numFmtId="0" fontId="8" fillId="4" borderId="0" xfId="0" applyFont="1" applyFill="1" applyAlignment="1">
      <alignment horizontal="left" vertical="center" wrapText="1"/>
    </xf>
    <xf numFmtId="0" fontId="6" fillId="4" borderId="0" xfId="0" applyFont="1" applyFill="1" applyAlignment="1">
      <alignment horizontal="left" vertical="center" wrapText="1"/>
    </xf>
  </cellXfs>
  <cellStyles count="6">
    <cellStyle name="Moeda 2" xfId="1" xr:uid="{0E86EEF0-2818-4170-B236-55691957D2A0}"/>
    <cellStyle name="Normal" xfId="0" builtinId="0"/>
    <cellStyle name="Normal 3" xfId="5" xr:uid="{B5BB10D8-BD45-497B-A839-6A54A664F192}"/>
    <cellStyle name="Porcentagem" xfId="4" builtinId="5"/>
    <cellStyle name="Porcentagem 2" xfId="2" xr:uid="{9AC5E7EF-C77A-42B0-B684-D1147C91E06D}"/>
    <cellStyle name="Vírgula" xfId="3" builtinId="3"/>
  </cellStyles>
  <dxfs count="151"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Open Sans"/>
        <family val="2"/>
        <scheme val="none"/>
      </font>
      <numFmt numFmtId="167" formatCode="_-[$R$-416]\ * #,##0_-;\-[$R$-416]\ * #,##0_-;_-[$R$-416]\ * &quot;-&quot;??_-;_-@_-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theme="1" tint="0.24994659260841701"/>
        </left>
        <right/>
        <top style="hair">
          <color theme="1" tint="0.24994659260841701"/>
        </top>
        <bottom style="hair">
          <color theme="1" tint="0.2499465926084170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Open Sans"/>
        <family val="2"/>
        <scheme val="none"/>
      </font>
      <numFmt numFmtId="167" formatCode="_-[$R$-416]\ * #,##0_-;\-[$R$-416]\ * #,##0_-;_-[$R$-416]\ * &quot;-&quot;??_-;_-@_-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hair">
          <color theme="1" tint="0.24994659260841701"/>
        </right>
        <top style="hair">
          <color theme="1" tint="0.24994659260841701"/>
        </top>
        <bottom style="hair">
          <color theme="1" tint="0.24994659260841701"/>
        </bottom>
      </border>
    </dxf>
    <dxf>
      <border outline="0">
        <top style="hair">
          <color theme="1" tint="0.24994659260841701"/>
        </top>
      </border>
    </dxf>
    <dxf>
      <border outline="0">
        <left style="hair">
          <color theme="1" tint="0.24994659260841701"/>
        </left>
        <right style="hair">
          <color theme="1" tint="0.24994659260841701"/>
        </right>
        <top style="hair">
          <color theme="1" tint="0.24994659260841701"/>
        </top>
        <bottom style="hair">
          <color theme="1" tint="0.24994659260841701"/>
        </bottom>
      </border>
    </dxf>
    <dxf>
      <fill>
        <patternFill patternType="none">
          <bgColor auto="1"/>
        </patternFill>
      </fill>
    </dxf>
    <dxf>
      <border outline="0">
        <bottom style="hair">
          <color theme="1" tint="0.2499465926084170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Open Sans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theme="1" tint="0.24994659260841701"/>
        </left>
        <right style="hair">
          <color theme="1" tint="0.2499465926084170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Open Sans"/>
        <family val="2"/>
        <scheme val="none"/>
      </font>
      <numFmt numFmtId="167" formatCode="_-[$R$-416]\ * #,##0_-;\-[$R$-416]\ * #,##0_-;_-[$R$-416]\ * &quot;-&quot;??_-;_-@_-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hair">
          <color theme="1" tint="0.24994659260841701"/>
        </left>
        <right/>
        <top style="hair">
          <color theme="1" tint="0.24994659260841701"/>
        </top>
        <bottom style="hair">
          <color theme="1" tint="0.2499465926084170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Open Sans"/>
        <family val="2"/>
        <scheme val="none"/>
      </font>
      <numFmt numFmtId="167" formatCode="_-[$R$-416]\ * #,##0_-;\-[$R$-416]\ * #,##0_-;_-[$R$-416]\ * &quot;-&quot;??_-;_-@_-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hair">
          <color theme="1" tint="0.24994659260841701"/>
        </right>
        <top style="hair">
          <color theme="1" tint="0.24994659260841701"/>
        </top>
        <bottom style="hair">
          <color theme="1" tint="0.24994659260841701"/>
        </bottom>
      </border>
    </dxf>
    <dxf>
      <border outline="0">
        <top style="hair">
          <color theme="1" tint="0.24994659260841701"/>
        </top>
      </border>
    </dxf>
    <dxf>
      <border outline="0">
        <left style="hair">
          <color theme="1" tint="0.24994659260841701"/>
        </left>
        <right style="hair">
          <color theme="1" tint="0.24994659260841701"/>
        </right>
        <top style="hair">
          <color theme="1" tint="0.24994659260841701"/>
        </top>
        <bottom style="hair">
          <color theme="1" tint="0.24994659260841701"/>
        </bottom>
      </border>
    </dxf>
    <dxf>
      <fill>
        <patternFill patternType="none">
          <bgColor auto="1"/>
        </patternFill>
      </fill>
    </dxf>
    <dxf>
      <border outline="0">
        <bottom style="hair">
          <color theme="1" tint="0.2499465926084170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Open Sans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theme="1" tint="0.24994659260841701"/>
        </left>
        <right style="hair">
          <color theme="1" tint="0.2499465926084170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egoe UI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Lucida Sans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Lucida Sans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Lucida Sans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Lucida Sans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Lucida Sans"/>
        <family val="2"/>
        <scheme val="none"/>
      </font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Lucida Sans"/>
        <family val="2"/>
        <scheme val="none"/>
      </font>
      <fill>
        <patternFill patternType="solid">
          <fgColor theme="4"/>
          <bgColor theme="4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Lucida Sans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Lucida Sans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Lucida Sans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Lucida Sans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Lucida Sans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Lucida Sans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Lucida Sans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Lucida Sans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Lucida Sans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Lucida Sans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Lucida Sans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Lucida Sans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Lucida Sans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Lucida Sans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Lucida Sans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Lucida Sans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Lucida Sans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Lucida Sans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Lucida Sans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Lucida Sans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Lucida Sans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Lucida Sans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Lucida Sans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Lucida Sans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Lucida Sans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ucida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ucida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ucida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ucida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ucida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ucida Sans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ucida Sans"/>
        <family val="2"/>
        <scheme val="none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Lucida Sans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Lucida Sans"/>
        <family val="2"/>
        <scheme val="none"/>
      </font>
    </dxf>
    <dxf>
      <font>
        <strike val="0"/>
        <outline val="0"/>
        <shadow val="0"/>
        <u val="none"/>
        <vertAlign val="baseline"/>
        <name val="Lucida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Lucida Sans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ucida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ucida Sans"/>
        <family val="2"/>
        <scheme val="none"/>
      </font>
    </dxf>
    <dxf>
      <font>
        <strike val="0"/>
        <outline val="0"/>
        <shadow val="0"/>
        <u val="none"/>
        <vertAlign val="baseline"/>
        <name val="Lucida Sans"/>
        <family val="2"/>
        <scheme val="none"/>
      </font>
    </dxf>
    <dxf>
      <font>
        <strike val="0"/>
        <outline val="0"/>
        <shadow val="0"/>
        <u val="none"/>
        <vertAlign val="baseline"/>
        <name val="Lucida Sans"/>
        <family val="2"/>
        <scheme val="none"/>
      </font>
    </dxf>
    <dxf>
      <font>
        <strike val="0"/>
        <outline val="0"/>
        <shadow val="0"/>
        <u val="none"/>
        <vertAlign val="baseline"/>
        <name val="Lucida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Lucida Sans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Lucida Sans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Lucida Sans"/>
        <family val="2"/>
        <scheme val="none"/>
      </font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Lucida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ucida Sans"/>
        <family val="2"/>
        <scheme val="none"/>
      </font>
    </dxf>
    <dxf>
      <font>
        <strike val="0"/>
        <outline val="0"/>
        <shadow val="0"/>
        <u val="none"/>
        <vertAlign val="baseline"/>
        <name val="Lucida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Lucida Sans"/>
        <family val="2"/>
        <scheme val="none"/>
      </font>
    </dxf>
    <dxf>
      <font>
        <strike val="0"/>
        <outline val="0"/>
        <shadow val="0"/>
        <u val="none"/>
        <vertAlign val="baseline"/>
        <name val="Lucida San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Lucida Sans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Lucida Sans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Lucida Sans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Lucida Sans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Lucida Sans"/>
        <family val="2"/>
        <scheme val="none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Lucida Sans"/>
        <family val="2"/>
        <scheme val="none"/>
      </font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Lucida Sans"/>
        <family val="2"/>
        <scheme val="none"/>
      </font>
    </dxf>
    <dxf>
      <font>
        <strike val="0"/>
        <outline val="0"/>
        <shadow val="0"/>
        <u val="none"/>
        <vertAlign val="baseline"/>
        <name val="Lucida Sans"/>
        <family val="2"/>
        <scheme val="none"/>
      </font>
    </dxf>
    <dxf>
      <font>
        <strike val="0"/>
        <outline val="0"/>
        <shadow val="0"/>
        <u val="none"/>
        <vertAlign val="baseline"/>
        <name val="Lucida Sans"/>
        <family val="2"/>
        <scheme val="none"/>
      </font>
    </dxf>
    <dxf>
      <numFmt numFmtId="35" formatCode="_-* #,##0.00_-;\-* #,##0.00_-;_-* &quot;-&quot;??_-;_-@_-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ont>
        <name val="Lucida Sans"/>
        <family val="2"/>
      </font>
    </dxf>
    <dxf>
      <font>
        <name val="Lucida Sans"/>
        <family val="2"/>
      </font>
    </dxf>
    <dxf>
      <font>
        <name val="Lucida Sans"/>
        <family val="2"/>
      </font>
    </dxf>
    <dxf>
      <font>
        <name val="Lucida Sans"/>
        <family val="2"/>
      </font>
    </dxf>
    <dxf>
      <font>
        <name val="Lucida Sans"/>
        <family val="2"/>
      </font>
    </dxf>
    <dxf>
      <font>
        <name val="Lucida Sans"/>
        <family val="2"/>
      </font>
    </dxf>
    <dxf>
      <font>
        <name val="Lucida Sans"/>
        <family val="2"/>
      </font>
    </dxf>
    <dxf>
      <font>
        <name val="Lucida Sans"/>
        <family val="2"/>
      </font>
    </dxf>
    <dxf>
      <font>
        <name val="Lucida Sans"/>
        <family val="2"/>
      </font>
    </dxf>
    <dxf>
      <font>
        <name val="Lucida Sans"/>
        <family val="2"/>
      </font>
    </dxf>
    <dxf>
      <font>
        <name val="Lucida Sans"/>
        <family val="2"/>
      </font>
    </dxf>
    <dxf>
      <font>
        <name val="Lucida Sans"/>
        <family val="2"/>
      </font>
    </dxf>
    <dxf>
      <font>
        <name val="Lucida Sans"/>
        <family val="2"/>
      </font>
    </dxf>
    <dxf>
      <font>
        <name val="Lucida Sans"/>
        <family val="2"/>
      </font>
    </dxf>
    <dxf>
      <font>
        <name val="Lucida Sans"/>
        <family val="2"/>
      </font>
    </dxf>
    <dxf>
      <font>
        <name val="Lucida Sans"/>
        <family val="2"/>
      </font>
    </dxf>
    <dxf>
      <numFmt numFmtId="35" formatCode="_-* #,##0.00_-;\-* #,##0.00_-;_-* &quot;-&quot;??_-;_-@_-"/>
    </dxf>
    <dxf>
      <font>
        <name val="Lucida Sans"/>
        <family val="2"/>
      </font>
    </dxf>
    <dxf>
      <font>
        <name val="Lucida Sans"/>
        <family val="2"/>
      </font>
    </dxf>
    <dxf>
      <font>
        <name val="Lucida Sans"/>
        <family val="2"/>
      </font>
    </dxf>
    <dxf>
      <font>
        <name val="Lucida Sans"/>
        <family val="2"/>
      </font>
    </dxf>
    <dxf>
      <font>
        <name val="Lucida Sans"/>
        <family val="2"/>
      </font>
    </dxf>
    <dxf>
      <font>
        <name val="Lucida Sans"/>
        <family val="2"/>
      </font>
    </dxf>
    <dxf>
      <font>
        <name val="Lucida Sans"/>
        <family val="2"/>
      </font>
    </dxf>
    <dxf>
      <font>
        <name val="Lucida Sans"/>
        <family val="2"/>
      </font>
    </dxf>
    <dxf>
      <font>
        <name val="Lucida Sans"/>
        <family val="2"/>
      </font>
    </dxf>
    <dxf>
      <font>
        <name val="Lucida Sans"/>
        <family val="2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Open Sans"/>
        <family val="2"/>
        <scheme val="none"/>
      </font>
      <numFmt numFmtId="167" formatCode="_-[$R$-416]\ * #,##0_-;\-[$R$-416]\ * #,##0_-;_-[$R$-416]\ * &quot;-&quot;??_-;_-@_-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theme="1" tint="0.24994659260841701"/>
        </left>
        <right/>
        <top style="hair">
          <color theme="1" tint="0.24994659260841701"/>
        </top>
        <bottom style="hair">
          <color theme="1" tint="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Open Sans"/>
        <family val="2"/>
        <scheme val="none"/>
      </font>
      <numFmt numFmtId="167" formatCode="_-[$R$-416]\ * #,##0_-;\-[$R$-416]\ * #,##0_-;_-[$R$-416]\ * &quot;-&quot;??_-;_-@_-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theme="1" tint="0.24994659260841701"/>
        </left>
        <right style="hair">
          <color theme="1" tint="0.24994659260841701"/>
        </right>
        <top style="hair">
          <color theme="1" tint="0.24994659260841701"/>
        </top>
        <bottom style="hair">
          <color theme="1" tint="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Open Sans"/>
        <family val="2"/>
        <scheme val="none"/>
      </font>
      <numFmt numFmtId="167" formatCode="_-[$R$-416]\ * #,##0_-;\-[$R$-416]\ * #,##0_-;_-[$R$-416]\ * &quot;-&quot;??_-;_-@_-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theme="1" tint="0.24994659260841701"/>
        </left>
        <right style="hair">
          <color theme="1" tint="0.24994659260841701"/>
        </right>
        <top style="hair">
          <color theme="1" tint="0.24994659260841701"/>
        </top>
        <bottom style="hair">
          <color theme="1" tint="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Open Sans"/>
        <family val="2"/>
        <scheme val="none"/>
      </font>
      <numFmt numFmtId="167" formatCode="_-[$R$-416]\ * #,##0_-;\-[$R$-416]\ * #,##0_-;_-[$R$-416]\ * &quot;-&quot;??_-;_-@_-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theme="1" tint="0.24994659260841701"/>
        </left>
        <right style="hair">
          <color theme="1" tint="0.24994659260841701"/>
        </right>
        <top style="hair">
          <color theme="1" tint="0.24994659260841701"/>
        </top>
        <bottom style="hair">
          <color theme="1" tint="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Open Sans"/>
        <family val="2"/>
        <scheme val="none"/>
      </font>
      <numFmt numFmtId="1" formatCode="0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theme="1" tint="0.24994659260841701"/>
        </left>
        <right style="hair">
          <color theme="1" tint="0.24994659260841701"/>
        </right>
        <top style="hair">
          <color theme="1" tint="0.24994659260841701"/>
        </top>
        <bottom style="hair">
          <color theme="1" tint="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Open Sans"/>
        <family val="2"/>
        <scheme val="none"/>
      </font>
      <numFmt numFmtId="1" formatCode="0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hair">
          <color theme="1" tint="0.24994659260841701"/>
        </right>
        <top style="hair">
          <color theme="1" tint="0.24994659260841701"/>
        </top>
        <bottom style="hair">
          <color theme="1" tint="0.24994659260841701"/>
        </bottom>
        <vertical/>
        <horizontal/>
      </border>
    </dxf>
    <dxf>
      <border outline="0">
        <top style="hair">
          <color theme="1" tint="0.24994659260841701"/>
        </top>
      </border>
    </dxf>
    <dxf>
      <border outline="0">
        <left style="hair">
          <color theme="1" tint="0.24994659260841701"/>
        </left>
        <right style="hair">
          <color theme="1" tint="0.24994659260841701"/>
        </right>
        <top style="hair">
          <color theme="1" tint="0.24994659260841701"/>
        </top>
        <bottom style="hair">
          <color theme="1" tint="0.2499465926084170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Open Sans"/>
        <family val="2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hair">
          <color theme="1" tint="0.2499465926084170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Open Sans"/>
        <family val="2"/>
        <scheme val="none"/>
      </font>
      <numFmt numFmtId="1" formatCode="0"/>
      <fill>
        <patternFill patternType="solid">
          <fgColor indexed="64"/>
          <bgColor rgb="FF6ADBD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theme="1" tint="0.24994659260841701"/>
        </left>
        <right style="hair">
          <color theme="1" tint="0.24994659260841701"/>
        </right>
        <top/>
        <bottom/>
      </border>
    </dxf>
  </dxfs>
  <tableStyles count="0" defaultTableStyle="TableStyleMedium2" defaultPivotStyle="PivotStyleLight16"/>
  <colors>
    <mruColors>
      <color rgb="FF676F60"/>
      <color rgb="FF79DDDB"/>
      <color rgb="FFC7F1F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Médias e Medianas Salariais</a:t>
            </a:r>
            <a:r>
              <a:rPr lang="pt-BR" baseline="0"/>
              <a:t> por Regiões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'6.i.'!$S$11</c:f>
              <c:strCache>
                <c:ptCount val="1"/>
                <c:pt idx="0">
                  <c:v>Média Salarial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'6.i.'!$R$12:$R$14</c:f>
              <c:strCache>
                <c:ptCount val="3"/>
                <c:pt idx="0">
                  <c:v>Capital</c:v>
                </c:pt>
                <c:pt idx="1">
                  <c:v>Interior</c:v>
                </c:pt>
                <c:pt idx="2">
                  <c:v>Outra</c:v>
                </c:pt>
              </c:strCache>
            </c:strRef>
          </c:cat>
          <c:val>
            <c:numRef>
              <c:f>'6.i.'!$S$12:$S$14</c:f>
              <c:numCache>
                <c:formatCode>_(* #,##0.00_);_(* \(#,##0.00\);_(* "-"??_);_(@_)</c:formatCode>
                <c:ptCount val="3"/>
                <c:pt idx="0">
                  <c:v>11.455454545454545</c:v>
                </c:pt>
                <c:pt idx="1">
                  <c:v>11.549999999999999</c:v>
                </c:pt>
                <c:pt idx="2">
                  <c:v>10.445384615384615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F8-4220-BF6F-ACD53B23F092}"/>
            </c:ext>
          </c:extLst>
        </c:ser>
        <c:ser>
          <c:idx val="1"/>
          <c:order val="1"/>
          <c:tx>
            <c:strRef>
              <c:f>'6.i.'!$T$11</c:f>
              <c:strCache>
                <c:ptCount val="1"/>
                <c:pt idx="0">
                  <c:v>Mediana Salárial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'6.i.'!$R$12:$R$14</c:f>
              <c:strCache>
                <c:ptCount val="3"/>
                <c:pt idx="0">
                  <c:v>Capital</c:v>
                </c:pt>
                <c:pt idx="1">
                  <c:v>Interior</c:v>
                </c:pt>
                <c:pt idx="2">
                  <c:v>Outra</c:v>
                </c:pt>
              </c:strCache>
            </c:strRef>
          </c:cat>
          <c:val>
            <c:numRef>
              <c:f>'6.i.'!$T$12:$T$14</c:f>
              <c:numCache>
                <c:formatCode>_(* #,##0.00_);_(* \(#,##0.00\);_(* "-"??_);_(@_)</c:formatCode>
                <c:ptCount val="3"/>
                <c:pt idx="0">
                  <c:v>9.77</c:v>
                </c:pt>
                <c:pt idx="1">
                  <c:v>10.645</c:v>
                </c:pt>
                <c:pt idx="2">
                  <c:v>9.8000000000000007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F8-4220-BF6F-ACD53B23F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18425359"/>
        <c:axId val="145129839"/>
      </c:barChart>
      <c:catAx>
        <c:axId val="918425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5129839"/>
        <c:crosses val="autoZero"/>
        <c:auto val="1"/>
        <c:lblAlgn val="ctr"/>
        <c:lblOffset val="100"/>
        <c:noMultiLvlLbl val="0"/>
      </c:catAx>
      <c:valAx>
        <c:axId val="14512983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918425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Médias e Medianas Procedência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'6.i.'!$U$11</c:f>
              <c:strCache>
                <c:ptCount val="1"/>
                <c:pt idx="0">
                  <c:v>Média Procedência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'6.i.'!$R$12:$R$14</c:f>
              <c:strCache>
                <c:ptCount val="3"/>
                <c:pt idx="0">
                  <c:v>Capital</c:v>
                </c:pt>
                <c:pt idx="1">
                  <c:v>Interior</c:v>
                </c:pt>
                <c:pt idx="2">
                  <c:v>Outra</c:v>
                </c:pt>
              </c:strCache>
            </c:strRef>
          </c:cat>
          <c:val>
            <c:numRef>
              <c:f>'6.i.'!$U$12:$U$14</c:f>
              <c:numCache>
                <c:formatCode>_(* #,##0.00_);_(* \(#,##0.00\);_(* "-"??_);_(@_)</c:formatCode>
                <c:ptCount val="3"/>
                <c:pt idx="0">
                  <c:v>11</c:v>
                </c:pt>
                <c:pt idx="1">
                  <c:v>12</c:v>
                </c:pt>
                <c:pt idx="2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61-4C00-BD7C-772FA9C5D42E}"/>
            </c:ext>
          </c:extLst>
        </c:ser>
        <c:ser>
          <c:idx val="1"/>
          <c:order val="1"/>
          <c:tx>
            <c:strRef>
              <c:f>'6.i.'!$V$11</c:f>
              <c:strCache>
                <c:ptCount val="1"/>
                <c:pt idx="0">
                  <c:v>Mediana Procedência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'6.i.'!$R$12:$R$14</c:f>
              <c:strCache>
                <c:ptCount val="3"/>
                <c:pt idx="0">
                  <c:v>Capital</c:v>
                </c:pt>
                <c:pt idx="1">
                  <c:v>Interior</c:v>
                </c:pt>
                <c:pt idx="2">
                  <c:v>Outra</c:v>
                </c:pt>
              </c:strCache>
            </c:strRef>
          </c:cat>
          <c:val>
            <c:numRef>
              <c:f>'6.i.'!$V$12:$V$14</c:f>
              <c:numCache>
                <c:formatCode>_(* #,##0.00_);_(* \(#,##0.00\);_(* "-"??_);_(@_)</c:formatCode>
                <c:ptCount val="3"/>
                <c:pt idx="0">
                  <c:v>9.77</c:v>
                </c:pt>
                <c:pt idx="1">
                  <c:v>10.645</c:v>
                </c:pt>
                <c:pt idx="2">
                  <c:v>9.8000000000000007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61-4C00-BD7C-772FA9C5D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44931103"/>
        <c:axId val="834397439"/>
      </c:barChart>
      <c:catAx>
        <c:axId val="1944931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34397439"/>
        <c:crosses val="autoZero"/>
        <c:auto val="1"/>
        <c:lblAlgn val="ctr"/>
        <c:lblOffset val="100"/>
        <c:noMultiLvlLbl val="0"/>
      </c:catAx>
      <c:valAx>
        <c:axId val="83439743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crossAx val="1944931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Médias e Medianas Procedência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'6.i.'!$U$11</c:f>
              <c:strCache>
                <c:ptCount val="1"/>
                <c:pt idx="0">
                  <c:v>Média Procedência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'6.i.'!$R$12:$R$14</c:f>
              <c:strCache>
                <c:ptCount val="3"/>
                <c:pt idx="0">
                  <c:v>Capital</c:v>
                </c:pt>
                <c:pt idx="1">
                  <c:v>Interior</c:v>
                </c:pt>
                <c:pt idx="2">
                  <c:v>Outra</c:v>
                </c:pt>
              </c:strCache>
            </c:strRef>
          </c:cat>
          <c:val>
            <c:numRef>
              <c:f>'6.i.'!$U$12:$U$14</c:f>
              <c:numCache>
                <c:formatCode>_(* #,##0.00_);_(* \(#,##0.00\);_(* "-"??_);_(@_)</c:formatCode>
                <c:ptCount val="3"/>
                <c:pt idx="0">
                  <c:v>11</c:v>
                </c:pt>
                <c:pt idx="1">
                  <c:v>12</c:v>
                </c:pt>
                <c:pt idx="2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81-4F28-9FBC-75C151817886}"/>
            </c:ext>
          </c:extLst>
        </c:ser>
        <c:ser>
          <c:idx val="1"/>
          <c:order val="1"/>
          <c:tx>
            <c:strRef>
              <c:f>'6.i.'!$V$11</c:f>
              <c:strCache>
                <c:ptCount val="1"/>
                <c:pt idx="0">
                  <c:v>Mediana Procedência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'6.i.'!$R$12:$R$14</c:f>
              <c:strCache>
                <c:ptCount val="3"/>
                <c:pt idx="0">
                  <c:v>Capital</c:v>
                </c:pt>
                <c:pt idx="1">
                  <c:v>Interior</c:v>
                </c:pt>
                <c:pt idx="2">
                  <c:v>Outra</c:v>
                </c:pt>
              </c:strCache>
            </c:strRef>
          </c:cat>
          <c:val>
            <c:numRef>
              <c:f>'6.i.'!$V$12:$V$14</c:f>
              <c:numCache>
                <c:formatCode>_(* #,##0.00_);_(* \(#,##0.00\);_(* "-"??_);_(@_)</c:formatCode>
                <c:ptCount val="3"/>
                <c:pt idx="0">
                  <c:v>9.77</c:v>
                </c:pt>
                <c:pt idx="1">
                  <c:v>10.645</c:v>
                </c:pt>
                <c:pt idx="2">
                  <c:v>9.8000000000000007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81-4F28-9FBC-75C151817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26304767"/>
        <c:axId val="1927275423"/>
      </c:barChart>
      <c:catAx>
        <c:axId val="4263047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27275423"/>
        <c:crosses val="autoZero"/>
        <c:auto val="1"/>
        <c:lblAlgn val="ctr"/>
        <c:lblOffset val="100"/>
        <c:noMultiLvlLbl val="0"/>
      </c:catAx>
      <c:valAx>
        <c:axId val="1927275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26304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Médias e Medianas Nro. Filhos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'6.i.'!$W$11</c:f>
              <c:strCache>
                <c:ptCount val="1"/>
                <c:pt idx="0">
                  <c:v>Média N.Filhos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'6.i.'!$R$12:$R$14</c:f>
              <c:strCache>
                <c:ptCount val="3"/>
                <c:pt idx="0">
                  <c:v>Capital</c:v>
                </c:pt>
                <c:pt idx="1">
                  <c:v>Interior</c:v>
                </c:pt>
                <c:pt idx="2">
                  <c:v>Outra</c:v>
                </c:pt>
              </c:strCache>
            </c:strRef>
          </c:cat>
          <c:val>
            <c:numRef>
              <c:f>'6.i.'!$W$12:$W$14</c:f>
              <c:numCache>
                <c:formatCode>_(* #,##0.00_);_(* \(#,##0.00\);_(* "-"??_);_(@_)</c:formatCode>
                <c:ptCount val="3"/>
                <c:pt idx="0">
                  <c:v>1.7142857142857142</c:v>
                </c:pt>
                <c:pt idx="1">
                  <c:v>1.625</c:v>
                </c:pt>
                <c:pt idx="2">
                  <c:v>1.6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28-419F-A40A-2CF62726B2E1}"/>
            </c:ext>
          </c:extLst>
        </c:ser>
        <c:ser>
          <c:idx val="1"/>
          <c:order val="1"/>
          <c:tx>
            <c:strRef>
              <c:f>'6.i.'!$X$11</c:f>
              <c:strCache>
                <c:ptCount val="1"/>
                <c:pt idx="0">
                  <c:v>Mediana N.Filhos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'6.i.'!$R$12:$R$14</c:f>
              <c:strCache>
                <c:ptCount val="3"/>
                <c:pt idx="0">
                  <c:v>Capital</c:v>
                </c:pt>
                <c:pt idx="1">
                  <c:v>Interior</c:v>
                </c:pt>
                <c:pt idx="2">
                  <c:v>Outra</c:v>
                </c:pt>
              </c:strCache>
            </c:strRef>
          </c:cat>
          <c:val>
            <c:numRef>
              <c:f>'6.i.'!$X$12:$X$14</c:f>
              <c:numCache>
                <c:formatCode>_(* #,##0.00_);_(* \(#,##0.00\);_(* "-"??_);_(@_)</c:formatCode>
                <c:ptCount val="3"/>
                <c:pt idx="0">
                  <c:v>1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28-419F-A40A-2CF62726B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1355551"/>
        <c:axId val="145140239"/>
      </c:barChart>
      <c:catAx>
        <c:axId val="15135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5140239"/>
        <c:crosses val="autoZero"/>
        <c:auto val="1"/>
        <c:lblAlgn val="ctr"/>
        <c:lblOffset val="100"/>
        <c:noMultiLvlLbl val="0"/>
      </c:catAx>
      <c:valAx>
        <c:axId val="145140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1355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% escolaridade por região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'6.i.'!$AB$19</c:f>
              <c:strCache>
                <c:ptCount val="1"/>
                <c:pt idx="0">
                  <c:v>% EnsinoFund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'6.i.'!$AA$20:$AA$22</c:f>
              <c:strCache>
                <c:ptCount val="3"/>
                <c:pt idx="0">
                  <c:v>capital</c:v>
                </c:pt>
                <c:pt idx="1">
                  <c:v>interior</c:v>
                </c:pt>
                <c:pt idx="2">
                  <c:v>outra</c:v>
                </c:pt>
              </c:strCache>
            </c:strRef>
          </c:cat>
          <c:val>
            <c:numRef>
              <c:f>'6.i.'!$AB$20:$AB$22</c:f>
              <c:numCache>
                <c:formatCode>0%</c:formatCode>
                <c:ptCount val="3"/>
                <c:pt idx="0">
                  <c:v>0.36363636363636365</c:v>
                </c:pt>
                <c:pt idx="1">
                  <c:v>0.25</c:v>
                </c:pt>
                <c:pt idx="2">
                  <c:v>0.38461538461538464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21-404B-8A0C-5C7AB86418E0}"/>
            </c:ext>
          </c:extLst>
        </c:ser>
        <c:ser>
          <c:idx val="1"/>
          <c:order val="1"/>
          <c:tx>
            <c:strRef>
              <c:f>'6.i.'!$AC$19</c:f>
              <c:strCache>
                <c:ptCount val="1"/>
                <c:pt idx="0">
                  <c:v>% Ensino Méd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'6.i.'!$AA$20:$AA$22</c:f>
              <c:strCache>
                <c:ptCount val="3"/>
                <c:pt idx="0">
                  <c:v>capital</c:v>
                </c:pt>
                <c:pt idx="1">
                  <c:v>interior</c:v>
                </c:pt>
                <c:pt idx="2">
                  <c:v>outra</c:v>
                </c:pt>
              </c:strCache>
            </c:strRef>
          </c:cat>
          <c:val>
            <c:numRef>
              <c:f>'6.i.'!$AC$20:$AC$22</c:f>
              <c:numCache>
                <c:formatCode>0%</c:formatCode>
                <c:ptCount val="3"/>
                <c:pt idx="0">
                  <c:v>0.45454545454545453</c:v>
                </c:pt>
                <c:pt idx="1">
                  <c:v>0.58333333333333337</c:v>
                </c:pt>
                <c:pt idx="2">
                  <c:v>0.46153846153846156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21-404B-8A0C-5C7AB86418E0}"/>
            </c:ext>
          </c:extLst>
        </c:ser>
        <c:ser>
          <c:idx val="2"/>
          <c:order val="2"/>
          <c:tx>
            <c:strRef>
              <c:f>'6.i.'!$AD$19</c:f>
              <c:strCache>
                <c:ptCount val="1"/>
                <c:pt idx="0">
                  <c:v>% Super.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'6.i.'!$AA$20:$AA$22</c:f>
              <c:strCache>
                <c:ptCount val="3"/>
                <c:pt idx="0">
                  <c:v>capital</c:v>
                </c:pt>
                <c:pt idx="1">
                  <c:v>interior</c:v>
                </c:pt>
                <c:pt idx="2">
                  <c:v>outra</c:v>
                </c:pt>
              </c:strCache>
            </c:strRef>
          </c:cat>
          <c:val>
            <c:numRef>
              <c:f>'6.i.'!$AD$20:$AD$22</c:f>
              <c:numCache>
                <c:formatCode>0%</c:formatCode>
                <c:ptCount val="3"/>
                <c:pt idx="0">
                  <c:v>0.18181818181818182</c:v>
                </c:pt>
                <c:pt idx="1">
                  <c:v>0.16666666666666666</c:v>
                </c:pt>
                <c:pt idx="2">
                  <c:v>0.15384615384615385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21-404B-8A0C-5C7AB8641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4546175"/>
        <c:axId val="1874247455"/>
      </c:barChart>
      <c:catAx>
        <c:axId val="2034546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74247455"/>
        <c:crosses val="autoZero"/>
        <c:auto val="1"/>
        <c:lblAlgn val="ctr"/>
        <c:lblOffset val="100"/>
        <c:noMultiLvlLbl val="0"/>
      </c:catAx>
      <c:valAx>
        <c:axId val="187424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34546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Média e Mediana Salarial por Grau de Instrução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'6.i.'!$B$75</c:f>
              <c:strCache>
                <c:ptCount val="1"/>
                <c:pt idx="0">
                  <c:v>Média Salarial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'6.i.'!$A$76:$A$78</c:f>
              <c:strCache>
                <c:ptCount val="3"/>
                <c:pt idx="0">
                  <c:v>1-ensino fundamental</c:v>
                </c:pt>
                <c:pt idx="1">
                  <c:v>2-ensino medio</c:v>
                </c:pt>
                <c:pt idx="2">
                  <c:v>3-superior</c:v>
                </c:pt>
              </c:strCache>
            </c:strRef>
          </c:cat>
          <c:val>
            <c:numRef>
              <c:f>'6.i.'!$B$76:$B$78</c:f>
              <c:numCache>
                <c:formatCode>_(* #,##0.00_);_(* \(#,##0.00\);_(* "-"??_);_(@_)</c:formatCode>
                <c:ptCount val="3"/>
                <c:pt idx="0">
                  <c:v>7.836666666666666</c:v>
                </c:pt>
                <c:pt idx="1">
                  <c:v>11.528333333333334</c:v>
                </c:pt>
                <c:pt idx="2">
                  <c:v>16.474999999999998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C7-4F24-B568-3086B09E990E}"/>
            </c:ext>
          </c:extLst>
        </c:ser>
        <c:ser>
          <c:idx val="1"/>
          <c:order val="1"/>
          <c:tx>
            <c:strRef>
              <c:f>'6.i.'!$C$75</c:f>
              <c:strCache>
                <c:ptCount val="1"/>
                <c:pt idx="0">
                  <c:v>Mediana Salárial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'6.i.'!$A$76:$A$78</c:f>
              <c:strCache>
                <c:ptCount val="3"/>
                <c:pt idx="0">
                  <c:v>1-ensino fundamental</c:v>
                </c:pt>
                <c:pt idx="1">
                  <c:v>2-ensino medio</c:v>
                </c:pt>
                <c:pt idx="2">
                  <c:v>3-superior</c:v>
                </c:pt>
              </c:strCache>
            </c:strRef>
          </c:cat>
          <c:val>
            <c:numRef>
              <c:f>'6.i.'!$C$76:$C$78</c:f>
              <c:numCache>
                <c:formatCode>_(* #,##0.00_);_(* \(#,##0.00\);_(* "-"??_);_(@_)</c:formatCode>
                <c:ptCount val="3"/>
                <c:pt idx="0">
                  <c:v>7.125</c:v>
                </c:pt>
                <c:pt idx="1">
                  <c:v>10.91</c:v>
                </c:pt>
                <c:pt idx="2">
                  <c:v>16.740000000000002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C7-4F24-B568-3086B09E9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28337055"/>
        <c:axId val="1824864463"/>
      </c:barChart>
      <c:catAx>
        <c:axId val="9283370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24864463"/>
        <c:crosses val="autoZero"/>
        <c:auto val="1"/>
        <c:lblAlgn val="ctr"/>
        <c:lblOffset val="100"/>
        <c:noMultiLvlLbl val="0"/>
      </c:catAx>
      <c:valAx>
        <c:axId val="1824864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28337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[01-AnaliseExploratoria-NOME_SOBRENOME.xlsx]6.i.!Tabela dinâmica27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'6.i.'!$B$109:$B$110</c:f>
              <c:strCache>
                <c:ptCount val="1"/>
                <c:pt idx="0">
                  <c:v>1-ensino fundamental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'6.i.'!$A$111:$A$113</c:f>
              <c:strCache>
                <c:ptCount val="2"/>
                <c:pt idx="0">
                  <c:v>casado</c:v>
                </c:pt>
                <c:pt idx="1">
                  <c:v>solteiro</c:v>
                </c:pt>
              </c:strCache>
            </c:strRef>
          </c:cat>
          <c:val>
            <c:numRef>
              <c:f>'6.i.'!$B$111:$B$113</c:f>
              <c:numCache>
                <c:formatCode>General</c:formatCode>
                <c:ptCount val="2"/>
                <c:pt idx="0">
                  <c:v>5</c:v>
                </c:pt>
                <c:pt idx="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EA-4FE4-99F9-769324951CA6}"/>
            </c:ext>
          </c:extLst>
        </c:ser>
        <c:ser>
          <c:idx val="1"/>
          <c:order val="1"/>
          <c:tx>
            <c:strRef>
              <c:f>'6.i.'!$C$109:$C$110</c:f>
              <c:strCache>
                <c:ptCount val="1"/>
                <c:pt idx="0">
                  <c:v>2-ensino medio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'6.i.'!$A$111:$A$113</c:f>
              <c:strCache>
                <c:ptCount val="2"/>
                <c:pt idx="0">
                  <c:v>casado</c:v>
                </c:pt>
                <c:pt idx="1">
                  <c:v>solteiro</c:v>
                </c:pt>
              </c:strCache>
            </c:strRef>
          </c:cat>
          <c:val>
            <c:numRef>
              <c:f>'6.i.'!$C$111:$C$113</c:f>
              <c:numCache>
                <c:formatCode>General</c:formatCode>
                <c:ptCount val="2"/>
                <c:pt idx="0">
                  <c:v>12</c:v>
                </c:pt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EA-4FE4-99F9-769324951CA6}"/>
            </c:ext>
          </c:extLst>
        </c:ser>
        <c:ser>
          <c:idx val="2"/>
          <c:order val="2"/>
          <c:tx>
            <c:strRef>
              <c:f>'6.i.'!$D$109:$D$110</c:f>
              <c:strCache>
                <c:ptCount val="1"/>
                <c:pt idx="0">
                  <c:v>3-superior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'6.i.'!$A$111:$A$113</c:f>
              <c:strCache>
                <c:ptCount val="2"/>
                <c:pt idx="0">
                  <c:v>casado</c:v>
                </c:pt>
                <c:pt idx="1">
                  <c:v>solteiro</c:v>
                </c:pt>
              </c:strCache>
            </c:strRef>
          </c:cat>
          <c:val>
            <c:numRef>
              <c:f>'6.i.'!$D$111:$D$113</c:f>
              <c:numCache>
                <c:formatCode>General</c:formatCode>
                <c:ptCount val="2"/>
                <c:pt idx="0">
                  <c:v>3</c:v>
                </c:pt>
                <c:pt idx="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6EA-4FE4-99F9-769324951C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041119"/>
        <c:axId val="1874249535"/>
      </c:barChart>
      <c:catAx>
        <c:axId val="21041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74249535"/>
        <c:crosses val="autoZero"/>
        <c:auto val="1"/>
        <c:lblAlgn val="ctr"/>
        <c:lblOffset val="100"/>
        <c:noMultiLvlLbl val="0"/>
      </c:catAx>
      <c:valAx>
        <c:axId val="187424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04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Média de salario vs Idade</a:t>
            </a:r>
          </a:p>
        </c:rich>
      </c:tx>
      <c:layout>
        <c:manualLayout>
          <c:xMode val="edge"/>
          <c:yMode val="edge"/>
          <c:x val="0.36049999999999999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'6.i.'!$E$140</c:f>
              <c:strCache>
                <c:ptCount val="1"/>
                <c:pt idx="0">
                  <c:v>Média de salario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'6.i.'!$D$141:$D$164</c:f>
              <c:numCache>
                <c:formatCode>General</c:formatCode>
                <c:ptCount val="24"/>
                <c:pt idx="0">
                  <c:v>20</c:v>
                </c:pt>
                <c:pt idx="1">
                  <c:v>23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  <c:pt idx="17">
                  <c:v>40</c:v>
                </c:pt>
                <c:pt idx="18">
                  <c:v>41</c:v>
                </c:pt>
                <c:pt idx="19">
                  <c:v>42</c:v>
                </c:pt>
                <c:pt idx="20">
                  <c:v>43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</c:numCache>
            </c:numRef>
          </c:xVal>
          <c:yVal>
            <c:numRef>
              <c:f>'6.i.'!$E$141:$E$164</c:f>
              <c:numCache>
                <c:formatCode>_(* #,##0.00_);_(* \(#,##0.00\);_(* "-"??_);_(@_)</c:formatCode>
                <c:ptCount val="24"/>
                <c:pt idx="0">
                  <c:v>5.73</c:v>
                </c:pt>
                <c:pt idx="1">
                  <c:v>7.44</c:v>
                </c:pt>
                <c:pt idx="2">
                  <c:v>10.53</c:v>
                </c:pt>
                <c:pt idx="3">
                  <c:v>8.3949999999999996</c:v>
                </c:pt>
                <c:pt idx="4">
                  <c:v>8.4600000000000009</c:v>
                </c:pt>
                <c:pt idx="5">
                  <c:v>6.66</c:v>
                </c:pt>
                <c:pt idx="6">
                  <c:v>14.69</c:v>
                </c:pt>
                <c:pt idx="7">
                  <c:v>10.095000000000001</c:v>
                </c:pt>
                <c:pt idx="8">
                  <c:v>12.994999999999999</c:v>
                </c:pt>
                <c:pt idx="9">
                  <c:v>8.8949999999999996</c:v>
                </c:pt>
                <c:pt idx="10">
                  <c:v>13.434999999999999</c:v>
                </c:pt>
                <c:pt idx="11">
                  <c:v>9.59</c:v>
                </c:pt>
                <c:pt idx="12">
                  <c:v>14.795</c:v>
                </c:pt>
                <c:pt idx="13">
                  <c:v>10.93</c:v>
                </c:pt>
                <c:pt idx="14">
                  <c:v>9.75</c:v>
                </c:pt>
                <c:pt idx="15">
                  <c:v>9.35</c:v>
                </c:pt>
                <c:pt idx="16">
                  <c:v>9.8000000000000007</c:v>
                </c:pt>
                <c:pt idx="17">
                  <c:v>10.484999999999999</c:v>
                </c:pt>
                <c:pt idx="18">
                  <c:v>9.43</c:v>
                </c:pt>
                <c:pt idx="19">
                  <c:v>23.3</c:v>
                </c:pt>
                <c:pt idx="20">
                  <c:v>12.325000000000001</c:v>
                </c:pt>
                <c:pt idx="21">
                  <c:v>8.9499999999999993</c:v>
                </c:pt>
                <c:pt idx="22">
                  <c:v>13.85</c:v>
                </c:pt>
                <c:pt idx="23">
                  <c:v>19.399999999999999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0D-40CE-AE33-DA0C8016C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13984"/>
        <c:axId val="1824864879"/>
      </c:scatterChart>
      <c:valAx>
        <c:axId val="165513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24864879"/>
        <c:crosses val="autoZero"/>
        <c:crossBetween val="midCat"/>
      </c:valAx>
      <c:valAx>
        <c:axId val="182486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5513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Média de salario vs Idade</a:t>
            </a:r>
          </a:p>
        </c:rich>
      </c:tx>
      <c:layout>
        <c:manualLayout>
          <c:xMode val="edge"/>
          <c:yMode val="edge"/>
          <c:x val="0.36049999999999999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'6.i.'!$E$140</c:f>
              <c:strCache>
                <c:ptCount val="1"/>
                <c:pt idx="0">
                  <c:v>Média de salario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'6.i.'!$D$141:$D$164</c:f>
              <c:numCache>
                <c:formatCode>General</c:formatCode>
                <c:ptCount val="24"/>
                <c:pt idx="0">
                  <c:v>20</c:v>
                </c:pt>
                <c:pt idx="1">
                  <c:v>23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  <c:pt idx="17">
                  <c:v>40</c:v>
                </c:pt>
                <c:pt idx="18">
                  <c:v>41</c:v>
                </c:pt>
                <c:pt idx="19">
                  <c:v>42</c:v>
                </c:pt>
                <c:pt idx="20">
                  <c:v>43</c:v>
                </c:pt>
                <c:pt idx="21">
                  <c:v>44</c:v>
                </c:pt>
                <c:pt idx="22">
                  <c:v>46</c:v>
                </c:pt>
                <c:pt idx="23">
                  <c:v>48</c:v>
                </c:pt>
              </c:numCache>
            </c:numRef>
          </c:xVal>
          <c:yVal>
            <c:numRef>
              <c:f>'6.i.'!$E$141:$E$164</c:f>
              <c:numCache>
                <c:formatCode>_(* #,##0.00_);_(* \(#,##0.00\);_(* "-"??_);_(@_)</c:formatCode>
                <c:ptCount val="24"/>
                <c:pt idx="0">
                  <c:v>5.73</c:v>
                </c:pt>
                <c:pt idx="1">
                  <c:v>7.44</c:v>
                </c:pt>
                <c:pt idx="2">
                  <c:v>10.53</c:v>
                </c:pt>
                <c:pt idx="3">
                  <c:v>8.3949999999999996</c:v>
                </c:pt>
                <c:pt idx="4">
                  <c:v>8.4600000000000009</c:v>
                </c:pt>
                <c:pt idx="5">
                  <c:v>6.66</c:v>
                </c:pt>
                <c:pt idx="6">
                  <c:v>14.69</c:v>
                </c:pt>
                <c:pt idx="7">
                  <c:v>10.095000000000001</c:v>
                </c:pt>
                <c:pt idx="8">
                  <c:v>12.994999999999999</c:v>
                </c:pt>
                <c:pt idx="9">
                  <c:v>8.8949999999999996</c:v>
                </c:pt>
                <c:pt idx="10">
                  <c:v>13.434999999999999</c:v>
                </c:pt>
                <c:pt idx="11">
                  <c:v>9.59</c:v>
                </c:pt>
                <c:pt idx="12">
                  <c:v>14.795</c:v>
                </c:pt>
                <c:pt idx="13">
                  <c:v>10.93</c:v>
                </c:pt>
                <c:pt idx="14">
                  <c:v>9.75</c:v>
                </c:pt>
                <c:pt idx="15">
                  <c:v>9.35</c:v>
                </c:pt>
                <c:pt idx="16">
                  <c:v>9.8000000000000007</c:v>
                </c:pt>
                <c:pt idx="17">
                  <c:v>10.484999999999999</c:v>
                </c:pt>
                <c:pt idx="18">
                  <c:v>9.43</c:v>
                </c:pt>
                <c:pt idx="19">
                  <c:v>23.3</c:v>
                </c:pt>
                <c:pt idx="20">
                  <c:v>12.325000000000001</c:v>
                </c:pt>
                <c:pt idx="21">
                  <c:v>8.9499999999999993</c:v>
                </c:pt>
                <c:pt idx="22">
                  <c:v>13.85</c:v>
                </c:pt>
                <c:pt idx="23">
                  <c:v>19.399999999999999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B7-4581-8A4F-67F89DD9C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13984"/>
        <c:axId val="1824864879"/>
      </c:scatterChart>
      <c:valAx>
        <c:axId val="165513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24864879"/>
        <c:crosses val="autoZero"/>
        <c:crossBetween val="midCat"/>
      </c:valAx>
      <c:valAx>
        <c:axId val="182486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5513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Média Salarial por Região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'6.i.'!$B$185</c:f>
              <c:strCache>
                <c:ptCount val="1"/>
                <c:pt idx="0">
                  <c:v>Média Salarial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'6.i.'!$A$186:$A$188</c:f>
              <c:strCache>
                <c:ptCount val="3"/>
                <c:pt idx="0">
                  <c:v>Capital</c:v>
                </c:pt>
                <c:pt idx="1">
                  <c:v>Interior</c:v>
                </c:pt>
                <c:pt idx="2">
                  <c:v>Outra</c:v>
                </c:pt>
              </c:strCache>
            </c:strRef>
          </c:cat>
          <c:val>
            <c:numRef>
              <c:f>'6.i.'!$B$186:$B$188</c:f>
              <c:numCache>
                <c:formatCode>_(* #,##0.00_);_(* \(#,##0.00\);_(* "-"??_);_(@_)</c:formatCode>
                <c:ptCount val="3"/>
                <c:pt idx="0">
                  <c:v>11.455454545454545</c:v>
                </c:pt>
                <c:pt idx="1">
                  <c:v>11.549999999999999</c:v>
                </c:pt>
                <c:pt idx="2">
                  <c:v>10.445384615384615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B4-471D-BD93-25646F27BCC5}"/>
            </c:ext>
          </c:extLst>
        </c:ser>
        <c:ser>
          <c:idx val="1"/>
          <c:order val="1"/>
          <c:tx>
            <c:strRef>
              <c:f>'6.i.'!$C$185</c:f>
              <c:strCache>
                <c:ptCount val="1"/>
                <c:pt idx="0">
                  <c:v>Mediana Salárial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'6.i.'!$A$186:$A$188</c:f>
              <c:strCache>
                <c:ptCount val="3"/>
                <c:pt idx="0">
                  <c:v>Capital</c:v>
                </c:pt>
                <c:pt idx="1">
                  <c:v>Interior</c:v>
                </c:pt>
                <c:pt idx="2">
                  <c:v>Outra</c:v>
                </c:pt>
              </c:strCache>
            </c:strRef>
          </c:cat>
          <c:val>
            <c:numRef>
              <c:f>'6.i.'!$C$186:$C$188</c:f>
              <c:numCache>
                <c:formatCode>_(* #,##0.00_);_(* \(#,##0.00\);_(* "-"??_);_(@_)</c:formatCode>
                <c:ptCount val="3"/>
                <c:pt idx="0">
                  <c:v>9.77</c:v>
                </c:pt>
                <c:pt idx="1">
                  <c:v>10.645</c:v>
                </c:pt>
                <c:pt idx="2">
                  <c:v>9.8000000000000007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B4-471D-BD93-25646F27B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1210624"/>
        <c:axId val="1867187391"/>
      </c:barChart>
      <c:catAx>
        <c:axId val="11121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67187391"/>
        <c:crosses val="autoZero"/>
        <c:auto val="1"/>
        <c:lblAlgn val="ctr"/>
        <c:lblOffset val="100"/>
        <c:noMultiLvlLbl val="0"/>
      </c:catAx>
      <c:valAx>
        <c:axId val="186718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121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'6.i.'!$G$231</c:f>
              <c:strCache>
                <c:ptCount val="1"/>
                <c:pt idx="0">
                  <c:v>Q1 + Q2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'6.i.'!$F$232:$F$234</c:f>
              <c:strCache>
                <c:ptCount val="3"/>
                <c:pt idx="0">
                  <c:v>capital</c:v>
                </c:pt>
                <c:pt idx="1">
                  <c:v>interior</c:v>
                </c:pt>
                <c:pt idx="2">
                  <c:v>outra</c:v>
                </c:pt>
              </c:strCache>
            </c:strRef>
          </c:cat>
          <c:val>
            <c:numRef>
              <c:f>'6.i.'!$G$232:$G$234</c:f>
              <c:numCache>
                <c:formatCode>General</c:formatCode>
                <c:ptCount val="3"/>
                <c:pt idx="0">
                  <c:v>6</c:v>
                </c:pt>
                <c:pt idx="1">
                  <c:v>7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6B-44CB-9B32-74D65164ADB3}"/>
            </c:ext>
          </c:extLst>
        </c:ser>
        <c:ser>
          <c:idx val="1"/>
          <c:order val="1"/>
          <c:tx>
            <c:strRef>
              <c:f>'6.i.'!$H$231</c:f>
              <c:strCache>
                <c:ptCount val="1"/>
                <c:pt idx="0">
                  <c:v>Q3 + Q4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'6.i.'!$F$232:$F$234</c:f>
              <c:strCache>
                <c:ptCount val="3"/>
                <c:pt idx="0">
                  <c:v>capital</c:v>
                </c:pt>
                <c:pt idx="1">
                  <c:v>interior</c:v>
                </c:pt>
                <c:pt idx="2">
                  <c:v>outra</c:v>
                </c:pt>
              </c:strCache>
            </c:strRef>
          </c:cat>
          <c:val>
            <c:numRef>
              <c:f>'6.i.'!$H$232:$H$234</c:f>
              <c:numCache>
                <c:formatCode>General</c:formatCode>
                <c:ptCount val="3"/>
                <c:pt idx="0">
                  <c:v>5</c:v>
                </c:pt>
                <c:pt idx="1">
                  <c:v>5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6B-44CB-9B32-74D65164A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69062224"/>
        <c:axId val="1469178640"/>
      </c:barChart>
      <c:catAx>
        <c:axId val="146906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69178640"/>
        <c:crosses val="autoZero"/>
        <c:auto val="1"/>
        <c:lblAlgn val="ctr"/>
        <c:lblOffset val="100"/>
        <c:noMultiLvlLbl val="0"/>
      </c:catAx>
      <c:valAx>
        <c:axId val="146917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6906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'6.i.'!$E$288</c:f>
              <c:strCache>
                <c:ptCount val="1"/>
                <c:pt idx="0">
                  <c:v>Nro Filhos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5A1-4550-8424-FA7E1138441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5A1-4550-8424-FA7E1138441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'6.i.'!$D$289:$D$290</c:f>
              <c:strCache>
                <c:ptCount val="2"/>
                <c:pt idx="0">
                  <c:v>Q1 + Q2</c:v>
                </c:pt>
                <c:pt idx="1">
                  <c:v>Q3 + Q4</c:v>
                </c:pt>
              </c:strCache>
            </c:strRef>
          </c:cat>
          <c:val>
            <c:numRef>
              <c:f>'6.i.'!$E$289:$E$290</c:f>
              <c:numCache>
                <c:formatCode>General</c:formatCode>
                <c:ptCount val="2"/>
                <c:pt idx="0">
                  <c:v>8</c:v>
                </c:pt>
                <c:pt idx="1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A4-4FDD-9502-66A90833DC12}"/>
            </c:ext>
          </c:extLst>
        </c:ser>
        <c:ser>
          <c:idx val="1"/>
          <c:order val="1"/>
          <c:tx>
            <c:strRef>
              <c:f>'6.i.'!$F$288</c:f>
              <c:strCache>
                <c:ptCount val="1"/>
                <c:pt idx="0">
                  <c:v>% Nro Filhos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5A1-4550-8424-FA7E1138441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5A1-4550-8424-FA7E11384415}"/>
              </c:ext>
            </c:extLst>
          </c:dPt>
          <c:cat>
            <c:strRef>
              <c:f>'6.i.'!$D$289:$D$290</c:f>
              <c:strCache>
                <c:ptCount val="2"/>
                <c:pt idx="0">
                  <c:v>Q1 + Q2</c:v>
                </c:pt>
                <c:pt idx="1">
                  <c:v>Q3 + Q4</c:v>
                </c:pt>
              </c:strCache>
            </c:strRef>
          </c:cat>
          <c:val>
            <c:numRef>
              <c:f>'6.i.'!$F$289:$F$290</c:f>
              <c:numCache>
                <c:formatCode>0%</c:formatCode>
                <c:ptCount val="2"/>
                <c:pt idx="0">
                  <c:v>0.24242424242424243</c:v>
                </c:pt>
                <c:pt idx="1">
                  <c:v>0.75757575757575757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A4-4FDD-9502-66A90833D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'6.i.'!$H$344</c:f>
              <c:strCache>
                <c:ptCount val="1"/>
                <c:pt idx="0">
                  <c:v>Q1+Q2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'6.i.'!$I$343:$K$343</c:f>
              <c:strCache>
                <c:ptCount val="3"/>
                <c:pt idx="0">
                  <c:v>1-ensino fundamental</c:v>
                </c:pt>
                <c:pt idx="1">
                  <c:v>2-ensino medio</c:v>
                </c:pt>
                <c:pt idx="2">
                  <c:v>3-superior</c:v>
                </c:pt>
              </c:strCache>
            </c:strRef>
          </c:cat>
          <c:val>
            <c:numRef>
              <c:f>'6.i.'!$I$344:$K$344</c:f>
              <c:numCache>
                <c:formatCode>General</c:formatCode>
                <c:ptCount val="3"/>
                <c:pt idx="0">
                  <c:v>3</c:v>
                </c:pt>
                <c:pt idx="1">
                  <c:v>5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D6-4163-802A-3E31236C5963}"/>
            </c:ext>
          </c:extLst>
        </c:ser>
        <c:ser>
          <c:idx val="1"/>
          <c:order val="1"/>
          <c:tx>
            <c:strRef>
              <c:f>'6.i.'!$H$345</c:f>
              <c:strCache>
                <c:ptCount val="1"/>
                <c:pt idx="0">
                  <c:v>Q3+Q4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'6.i.'!$I$343:$K$343</c:f>
              <c:strCache>
                <c:ptCount val="3"/>
                <c:pt idx="0">
                  <c:v>1-ensino fundamental</c:v>
                </c:pt>
                <c:pt idx="1">
                  <c:v>2-ensino medio</c:v>
                </c:pt>
                <c:pt idx="2">
                  <c:v>3-superior</c:v>
                </c:pt>
              </c:strCache>
            </c:strRef>
          </c:cat>
          <c:val>
            <c:numRef>
              <c:f>'6.i.'!$I$345:$K$345</c:f>
              <c:numCache>
                <c:formatCode>General</c:formatCode>
                <c:ptCount val="3"/>
                <c:pt idx="0">
                  <c:v>8</c:v>
                </c:pt>
                <c:pt idx="1">
                  <c:v>8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D6-4163-802A-3E31236C59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14043472"/>
        <c:axId val="1550835632"/>
      </c:barChart>
      <c:catAx>
        <c:axId val="16140434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50835632"/>
        <c:crosses val="autoZero"/>
        <c:auto val="1"/>
        <c:lblAlgn val="ctr"/>
        <c:lblOffset val="100"/>
        <c:noMultiLvlLbl val="0"/>
      </c:catAx>
      <c:valAx>
        <c:axId val="1550835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1404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Salários vs</a:t>
            </a:r>
            <a:r>
              <a:rPr lang="pt-BR" baseline="0"/>
              <a:t> Rendimento Tot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'6.ii.'!$B$82:$B$129</c:f>
              <c:numCache>
                <c:formatCode>_(* #,##0.00_);_(* \(#,##0.00\);_(* "-"??_);_(@_)</c:formatCode>
                <c:ptCount val="48"/>
                <c:pt idx="0">
                  <c:v>4300</c:v>
                </c:pt>
                <c:pt idx="1">
                  <c:v>4400</c:v>
                </c:pt>
                <c:pt idx="2">
                  <c:v>4800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5800</c:v>
                </c:pt>
                <c:pt idx="8">
                  <c:v>6000</c:v>
                </c:pt>
                <c:pt idx="9">
                  <c:v>6000</c:v>
                </c:pt>
                <c:pt idx="10">
                  <c:v>6000</c:v>
                </c:pt>
                <c:pt idx="11">
                  <c:v>6320</c:v>
                </c:pt>
                <c:pt idx="12">
                  <c:v>6400</c:v>
                </c:pt>
                <c:pt idx="13">
                  <c:v>6500</c:v>
                </c:pt>
                <c:pt idx="14">
                  <c:v>6800</c:v>
                </c:pt>
                <c:pt idx="15">
                  <c:v>6900</c:v>
                </c:pt>
                <c:pt idx="16">
                  <c:v>6927</c:v>
                </c:pt>
                <c:pt idx="17">
                  <c:v>7000</c:v>
                </c:pt>
                <c:pt idx="18">
                  <c:v>7825</c:v>
                </c:pt>
                <c:pt idx="19">
                  <c:v>7890</c:v>
                </c:pt>
                <c:pt idx="20">
                  <c:v>8000</c:v>
                </c:pt>
                <c:pt idx="21">
                  <c:v>8000</c:v>
                </c:pt>
                <c:pt idx="22">
                  <c:v>8000</c:v>
                </c:pt>
                <c:pt idx="23">
                  <c:v>8100</c:v>
                </c:pt>
                <c:pt idx="24">
                  <c:v>8700</c:v>
                </c:pt>
                <c:pt idx="25">
                  <c:v>8784</c:v>
                </c:pt>
                <c:pt idx="26">
                  <c:v>8800</c:v>
                </c:pt>
                <c:pt idx="27">
                  <c:v>10000</c:v>
                </c:pt>
                <c:pt idx="28">
                  <c:v>10000</c:v>
                </c:pt>
                <c:pt idx="29">
                  <c:v>10000</c:v>
                </c:pt>
                <c:pt idx="30">
                  <c:v>10527</c:v>
                </c:pt>
                <c:pt idx="31">
                  <c:v>10736</c:v>
                </c:pt>
                <c:pt idx="32">
                  <c:v>11000</c:v>
                </c:pt>
                <c:pt idx="33">
                  <c:v>12000</c:v>
                </c:pt>
                <c:pt idx="34">
                  <c:v>12000</c:v>
                </c:pt>
                <c:pt idx="35">
                  <c:v>12200</c:v>
                </c:pt>
                <c:pt idx="36">
                  <c:v>12912.54</c:v>
                </c:pt>
                <c:pt idx="37">
                  <c:v>13348</c:v>
                </c:pt>
                <c:pt idx="38">
                  <c:v>13500</c:v>
                </c:pt>
                <c:pt idx="39">
                  <c:v>14584</c:v>
                </c:pt>
                <c:pt idx="40">
                  <c:v>15000</c:v>
                </c:pt>
                <c:pt idx="41">
                  <c:v>15400</c:v>
                </c:pt>
                <c:pt idx="42">
                  <c:v>17800</c:v>
                </c:pt>
                <c:pt idx="43">
                  <c:v>21950</c:v>
                </c:pt>
                <c:pt idx="44">
                  <c:v>30000</c:v>
                </c:pt>
                <c:pt idx="45">
                  <c:v>37000</c:v>
                </c:pt>
                <c:pt idx="46">
                  <c:v>40000</c:v>
                </c:pt>
                <c:pt idx="47">
                  <c:v>81000</c:v>
                </c:pt>
              </c:numCache>
            </c:numRef>
          </c:xVal>
          <c:yVal>
            <c:numRef>
              <c:f>'6.ii.'!$C$82:$C$129</c:f>
              <c:numCache>
                <c:formatCode>_(* #,##0.00_);_(* \(#,##0.00\);_(* "-"??_);_(@_)</c:formatCode>
                <c:ptCount val="48"/>
                <c:pt idx="0">
                  <c:v>4300</c:v>
                </c:pt>
                <c:pt idx="1">
                  <c:v>4400</c:v>
                </c:pt>
                <c:pt idx="2">
                  <c:v>4800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5800</c:v>
                </c:pt>
                <c:pt idx="8">
                  <c:v>6000</c:v>
                </c:pt>
                <c:pt idx="9">
                  <c:v>6000</c:v>
                </c:pt>
                <c:pt idx="10">
                  <c:v>6000</c:v>
                </c:pt>
                <c:pt idx="11">
                  <c:v>6320</c:v>
                </c:pt>
                <c:pt idx="12">
                  <c:v>6400</c:v>
                </c:pt>
                <c:pt idx="13">
                  <c:v>6500</c:v>
                </c:pt>
                <c:pt idx="14">
                  <c:v>6800</c:v>
                </c:pt>
                <c:pt idx="15">
                  <c:v>6900</c:v>
                </c:pt>
                <c:pt idx="16">
                  <c:v>6927</c:v>
                </c:pt>
                <c:pt idx="17">
                  <c:v>5500</c:v>
                </c:pt>
                <c:pt idx="18">
                  <c:v>7825</c:v>
                </c:pt>
                <c:pt idx="19">
                  <c:v>7000</c:v>
                </c:pt>
                <c:pt idx="20">
                  <c:v>6500</c:v>
                </c:pt>
                <c:pt idx="21">
                  <c:v>8000</c:v>
                </c:pt>
                <c:pt idx="22">
                  <c:v>8000</c:v>
                </c:pt>
                <c:pt idx="23">
                  <c:v>8100</c:v>
                </c:pt>
                <c:pt idx="24">
                  <c:v>5700</c:v>
                </c:pt>
                <c:pt idx="25">
                  <c:v>8784</c:v>
                </c:pt>
                <c:pt idx="26">
                  <c:v>7300</c:v>
                </c:pt>
                <c:pt idx="27">
                  <c:v>10000</c:v>
                </c:pt>
                <c:pt idx="28">
                  <c:v>10000</c:v>
                </c:pt>
                <c:pt idx="29">
                  <c:v>10000</c:v>
                </c:pt>
                <c:pt idx="30">
                  <c:v>4027</c:v>
                </c:pt>
                <c:pt idx="31">
                  <c:v>5214</c:v>
                </c:pt>
                <c:pt idx="32">
                  <c:v>7500</c:v>
                </c:pt>
                <c:pt idx="33">
                  <c:v>9000</c:v>
                </c:pt>
                <c:pt idx="34">
                  <c:v>12000</c:v>
                </c:pt>
                <c:pt idx="35">
                  <c:v>9200</c:v>
                </c:pt>
                <c:pt idx="36">
                  <c:v>12912.54</c:v>
                </c:pt>
                <c:pt idx="37">
                  <c:v>13348</c:v>
                </c:pt>
                <c:pt idx="38">
                  <c:v>13500</c:v>
                </c:pt>
                <c:pt idx="39">
                  <c:v>10084</c:v>
                </c:pt>
                <c:pt idx="40">
                  <c:v>15000</c:v>
                </c:pt>
                <c:pt idx="41">
                  <c:v>10400</c:v>
                </c:pt>
                <c:pt idx="42">
                  <c:v>14800</c:v>
                </c:pt>
                <c:pt idx="43">
                  <c:v>21000</c:v>
                </c:pt>
                <c:pt idx="44">
                  <c:v>30000</c:v>
                </c:pt>
                <c:pt idx="45">
                  <c:v>22000</c:v>
                </c:pt>
                <c:pt idx="46">
                  <c:v>40000</c:v>
                </c:pt>
                <c:pt idx="47">
                  <c:v>54500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8D-4981-87AE-1D5465173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110447"/>
        <c:axId val="409958511"/>
      </c:scatterChart>
      <c:valAx>
        <c:axId val="2441104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09958511"/>
        <c:crosses val="autoZero"/>
        <c:crossBetween val="midCat"/>
      </c:valAx>
      <c:valAx>
        <c:axId val="40995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441104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Dispersão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'6.ii.'!$A$218:$A$265</c:f>
              <c:numCache>
                <c:formatCode>General</c:formatCode>
                <c:ptCount val="48"/>
                <c:pt idx="0">
                  <c:v>68</c:v>
                </c:pt>
                <c:pt idx="1">
                  <c:v>72</c:v>
                </c:pt>
                <c:pt idx="2">
                  <c:v>75</c:v>
                </c:pt>
                <c:pt idx="3">
                  <c:v>66</c:v>
                </c:pt>
                <c:pt idx="4">
                  <c:v>35</c:v>
                </c:pt>
                <c:pt idx="5">
                  <c:v>47</c:v>
                </c:pt>
                <c:pt idx="6">
                  <c:v>68</c:v>
                </c:pt>
                <c:pt idx="7">
                  <c:v>69</c:v>
                </c:pt>
                <c:pt idx="8">
                  <c:v>70</c:v>
                </c:pt>
                <c:pt idx="9">
                  <c:v>70</c:v>
                </c:pt>
                <c:pt idx="10">
                  <c:v>63</c:v>
                </c:pt>
                <c:pt idx="11">
                  <c:v>44</c:v>
                </c:pt>
                <c:pt idx="12">
                  <c:v>32</c:v>
                </c:pt>
                <c:pt idx="13">
                  <c:v>54</c:v>
                </c:pt>
                <c:pt idx="14">
                  <c:v>56</c:v>
                </c:pt>
                <c:pt idx="15">
                  <c:v>39</c:v>
                </c:pt>
                <c:pt idx="16">
                  <c:v>45</c:v>
                </c:pt>
                <c:pt idx="17">
                  <c:v>39</c:v>
                </c:pt>
                <c:pt idx="18">
                  <c:v>67</c:v>
                </c:pt>
                <c:pt idx="19">
                  <c:v>81</c:v>
                </c:pt>
                <c:pt idx="20">
                  <c:v>70</c:v>
                </c:pt>
                <c:pt idx="21">
                  <c:v>31</c:v>
                </c:pt>
                <c:pt idx="22">
                  <c:v>73</c:v>
                </c:pt>
                <c:pt idx="23">
                  <c:v>65</c:v>
                </c:pt>
                <c:pt idx="24">
                  <c:v>61</c:v>
                </c:pt>
                <c:pt idx="25">
                  <c:v>72</c:v>
                </c:pt>
                <c:pt idx="26">
                  <c:v>30</c:v>
                </c:pt>
                <c:pt idx="27">
                  <c:v>94</c:v>
                </c:pt>
                <c:pt idx="28">
                  <c:v>80</c:v>
                </c:pt>
                <c:pt idx="29">
                  <c:v>62</c:v>
                </c:pt>
                <c:pt idx="30">
                  <c:v>35</c:v>
                </c:pt>
                <c:pt idx="31">
                  <c:v>75</c:v>
                </c:pt>
                <c:pt idx="32">
                  <c:v>47</c:v>
                </c:pt>
                <c:pt idx="33">
                  <c:v>69</c:v>
                </c:pt>
                <c:pt idx="34">
                  <c:v>82</c:v>
                </c:pt>
                <c:pt idx="35">
                  <c:v>74</c:v>
                </c:pt>
                <c:pt idx="36">
                  <c:v>67</c:v>
                </c:pt>
                <c:pt idx="37">
                  <c:v>46</c:v>
                </c:pt>
                <c:pt idx="38">
                  <c:v>45</c:v>
                </c:pt>
                <c:pt idx="39">
                  <c:v>66</c:v>
                </c:pt>
                <c:pt idx="40">
                  <c:v>70</c:v>
                </c:pt>
                <c:pt idx="41">
                  <c:v>62</c:v>
                </c:pt>
                <c:pt idx="42">
                  <c:v>64</c:v>
                </c:pt>
                <c:pt idx="43">
                  <c:v>68</c:v>
                </c:pt>
                <c:pt idx="44">
                  <c:v>69</c:v>
                </c:pt>
                <c:pt idx="45">
                  <c:v>67</c:v>
                </c:pt>
                <c:pt idx="46">
                  <c:v>66</c:v>
                </c:pt>
                <c:pt idx="47">
                  <c:v>57</c:v>
                </c:pt>
              </c:numCache>
            </c:numRef>
          </c:xVal>
          <c:yVal>
            <c:numRef>
              <c:f>'6.ii.'!$B$218:$B$265</c:f>
              <c:numCache>
                <c:formatCode>_(* #,##0.00_);_(* \(#,##0.00\);_(* "-"??_);_(@_)</c:formatCode>
                <c:ptCount val="48"/>
                <c:pt idx="0">
                  <c:v>4027</c:v>
                </c:pt>
                <c:pt idx="1">
                  <c:v>4300</c:v>
                </c:pt>
                <c:pt idx="2">
                  <c:v>4400</c:v>
                </c:pt>
                <c:pt idx="3">
                  <c:v>4800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5214</c:v>
                </c:pt>
                <c:pt idx="9">
                  <c:v>5500</c:v>
                </c:pt>
                <c:pt idx="10">
                  <c:v>5700</c:v>
                </c:pt>
                <c:pt idx="11">
                  <c:v>5800</c:v>
                </c:pt>
                <c:pt idx="12">
                  <c:v>6000</c:v>
                </c:pt>
                <c:pt idx="13">
                  <c:v>6000</c:v>
                </c:pt>
                <c:pt idx="14">
                  <c:v>6000</c:v>
                </c:pt>
                <c:pt idx="15">
                  <c:v>6320</c:v>
                </c:pt>
                <c:pt idx="16">
                  <c:v>6400</c:v>
                </c:pt>
                <c:pt idx="17">
                  <c:v>6500</c:v>
                </c:pt>
                <c:pt idx="18">
                  <c:v>6500</c:v>
                </c:pt>
                <c:pt idx="19">
                  <c:v>6800</c:v>
                </c:pt>
                <c:pt idx="20">
                  <c:v>6900</c:v>
                </c:pt>
                <c:pt idx="21">
                  <c:v>6927</c:v>
                </c:pt>
                <c:pt idx="22">
                  <c:v>7000</c:v>
                </c:pt>
                <c:pt idx="23">
                  <c:v>7300</c:v>
                </c:pt>
                <c:pt idx="24">
                  <c:v>7500</c:v>
                </c:pt>
                <c:pt idx="25">
                  <c:v>7825</c:v>
                </c:pt>
                <c:pt idx="26">
                  <c:v>8000</c:v>
                </c:pt>
                <c:pt idx="27">
                  <c:v>8000</c:v>
                </c:pt>
                <c:pt idx="28">
                  <c:v>8100</c:v>
                </c:pt>
                <c:pt idx="29">
                  <c:v>8784</c:v>
                </c:pt>
                <c:pt idx="30">
                  <c:v>9000</c:v>
                </c:pt>
                <c:pt idx="31">
                  <c:v>9200</c:v>
                </c:pt>
                <c:pt idx="32">
                  <c:v>10000</c:v>
                </c:pt>
                <c:pt idx="33">
                  <c:v>10000</c:v>
                </c:pt>
                <c:pt idx="34">
                  <c:v>10000</c:v>
                </c:pt>
                <c:pt idx="35">
                  <c:v>10084</c:v>
                </c:pt>
                <c:pt idx="36">
                  <c:v>10400</c:v>
                </c:pt>
                <c:pt idx="37">
                  <c:v>12000</c:v>
                </c:pt>
                <c:pt idx="38">
                  <c:v>12912.54</c:v>
                </c:pt>
                <c:pt idx="39">
                  <c:v>13348</c:v>
                </c:pt>
                <c:pt idx="40">
                  <c:v>13500</c:v>
                </c:pt>
                <c:pt idx="41">
                  <c:v>14800</c:v>
                </c:pt>
                <c:pt idx="42">
                  <c:v>15000</c:v>
                </c:pt>
                <c:pt idx="43">
                  <c:v>21000</c:v>
                </c:pt>
                <c:pt idx="44">
                  <c:v>22000</c:v>
                </c:pt>
                <c:pt idx="45">
                  <c:v>30000</c:v>
                </c:pt>
                <c:pt idx="46">
                  <c:v>40000</c:v>
                </c:pt>
                <c:pt idx="47">
                  <c:v>54500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6A-4561-AE0E-018C48F7E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443119"/>
        <c:axId val="453885807"/>
      </c:scatterChart>
      <c:valAx>
        <c:axId val="402443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53885807"/>
        <c:crosses val="autoZero"/>
        <c:crossBetween val="midCat"/>
      </c:valAx>
      <c:valAx>
        <c:axId val="453885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024431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Salário vs Rendimento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'6.ii.'!$B$283</c:f>
              <c:strCache>
                <c:ptCount val="1"/>
                <c:pt idx="0">
                  <c:v>Limite de Crédito Imediato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'6.ii.'!$A$284:$A$331</c:f>
              <c:numCache>
                <c:formatCode>_-[$R$-416]\ * #,##0_-;\-[$R$-416]\ * #,##0_-;_-[$R$-416]\ * "-"??_-;_-@_-</c:formatCode>
                <c:ptCount val="48"/>
                <c:pt idx="0">
                  <c:v>4027</c:v>
                </c:pt>
                <c:pt idx="1">
                  <c:v>4300</c:v>
                </c:pt>
                <c:pt idx="2">
                  <c:v>4400</c:v>
                </c:pt>
                <c:pt idx="3">
                  <c:v>4800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5214</c:v>
                </c:pt>
                <c:pt idx="9">
                  <c:v>5500</c:v>
                </c:pt>
                <c:pt idx="10">
                  <c:v>5700</c:v>
                </c:pt>
                <c:pt idx="11">
                  <c:v>5800</c:v>
                </c:pt>
                <c:pt idx="12">
                  <c:v>6000</c:v>
                </c:pt>
                <c:pt idx="13">
                  <c:v>6000</c:v>
                </c:pt>
                <c:pt idx="14">
                  <c:v>6000</c:v>
                </c:pt>
                <c:pt idx="15">
                  <c:v>6320</c:v>
                </c:pt>
                <c:pt idx="16">
                  <c:v>6400</c:v>
                </c:pt>
                <c:pt idx="17">
                  <c:v>6500</c:v>
                </c:pt>
                <c:pt idx="18">
                  <c:v>6500</c:v>
                </c:pt>
                <c:pt idx="19">
                  <c:v>6800</c:v>
                </c:pt>
                <c:pt idx="20">
                  <c:v>6900</c:v>
                </c:pt>
                <c:pt idx="21">
                  <c:v>6927</c:v>
                </c:pt>
                <c:pt idx="22">
                  <c:v>7000</c:v>
                </c:pt>
                <c:pt idx="23">
                  <c:v>7300</c:v>
                </c:pt>
                <c:pt idx="24">
                  <c:v>7500</c:v>
                </c:pt>
                <c:pt idx="25">
                  <c:v>7825</c:v>
                </c:pt>
                <c:pt idx="26">
                  <c:v>8000</c:v>
                </c:pt>
                <c:pt idx="27">
                  <c:v>8000</c:v>
                </c:pt>
                <c:pt idx="28">
                  <c:v>8100</c:v>
                </c:pt>
                <c:pt idx="29">
                  <c:v>8784</c:v>
                </c:pt>
                <c:pt idx="30">
                  <c:v>9000</c:v>
                </c:pt>
                <c:pt idx="31">
                  <c:v>9200</c:v>
                </c:pt>
                <c:pt idx="32">
                  <c:v>10000</c:v>
                </c:pt>
                <c:pt idx="33">
                  <c:v>10000</c:v>
                </c:pt>
                <c:pt idx="34">
                  <c:v>10000</c:v>
                </c:pt>
                <c:pt idx="35">
                  <c:v>10084</c:v>
                </c:pt>
                <c:pt idx="36">
                  <c:v>10400</c:v>
                </c:pt>
                <c:pt idx="37">
                  <c:v>12000</c:v>
                </c:pt>
                <c:pt idx="38">
                  <c:v>12912.54</c:v>
                </c:pt>
                <c:pt idx="39">
                  <c:v>13348</c:v>
                </c:pt>
                <c:pt idx="40">
                  <c:v>13500</c:v>
                </c:pt>
                <c:pt idx="41">
                  <c:v>14800</c:v>
                </c:pt>
                <c:pt idx="42">
                  <c:v>15000</c:v>
                </c:pt>
                <c:pt idx="43">
                  <c:v>21000</c:v>
                </c:pt>
                <c:pt idx="44">
                  <c:v>22000</c:v>
                </c:pt>
                <c:pt idx="45">
                  <c:v>30000</c:v>
                </c:pt>
                <c:pt idx="46">
                  <c:v>40000</c:v>
                </c:pt>
                <c:pt idx="47">
                  <c:v>54500</c:v>
                </c:pt>
              </c:numCache>
            </c:numRef>
          </c:xVal>
          <c:yVal>
            <c:numRef>
              <c:f>'6.ii.'!$B$284:$B$331</c:f>
              <c:numCache>
                <c:formatCode>_-[$R$-416]\ * #,##0_-;\-[$R$-416]\ * #,##0_-;_-[$R$-416]\ * "-"??_-;_-@_-</c:formatCode>
                <c:ptCount val="48"/>
                <c:pt idx="0">
                  <c:v>3000</c:v>
                </c:pt>
                <c:pt idx="1">
                  <c:v>2000</c:v>
                </c:pt>
                <c:pt idx="2">
                  <c:v>3000</c:v>
                </c:pt>
                <c:pt idx="3">
                  <c:v>440</c:v>
                </c:pt>
                <c:pt idx="4">
                  <c:v>1000</c:v>
                </c:pt>
                <c:pt idx="5">
                  <c:v>2000</c:v>
                </c:pt>
                <c:pt idx="6">
                  <c:v>2000</c:v>
                </c:pt>
                <c:pt idx="7">
                  <c:v>380</c:v>
                </c:pt>
                <c:pt idx="8">
                  <c:v>400</c:v>
                </c:pt>
                <c:pt idx="9">
                  <c:v>340</c:v>
                </c:pt>
                <c:pt idx="10">
                  <c:v>3000</c:v>
                </c:pt>
                <c:pt idx="11">
                  <c:v>500</c:v>
                </c:pt>
                <c:pt idx="12">
                  <c:v>1790</c:v>
                </c:pt>
                <c:pt idx="13">
                  <c:v>2000</c:v>
                </c:pt>
                <c:pt idx="14">
                  <c:v>2000</c:v>
                </c:pt>
                <c:pt idx="15">
                  <c:v>1550</c:v>
                </c:pt>
                <c:pt idx="16">
                  <c:v>2000</c:v>
                </c:pt>
                <c:pt idx="17">
                  <c:v>3000</c:v>
                </c:pt>
                <c:pt idx="18">
                  <c:v>2000</c:v>
                </c:pt>
                <c:pt idx="19">
                  <c:v>380</c:v>
                </c:pt>
                <c:pt idx="20">
                  <c:v>3000</c:v>
                </c:pt>
                <c:pt idx="21">
                  <c:v>3000</c:v>
                </c:pt>
                <c:pt idx="22">
                  <c:v>3000</c:v>
                </c:pt>
                <c:pt idx="23">
                  <c:v>2000</c:v>
                </c:pt>
                <c:pt idx="24">
                  <c:v>2000</c:v>
                </c:pt>
                <c:pt idx="25">
                  <c:v>3000</c:v>
                </c:pt>
                <c:pt idx="26">
                  <c:v>3000</c:v>
                </c:pt>
                <c:pt idx="27">
                  <c:v>2000</c:v>
                </c:pt>
                <c:pt idx="28">
                  <c:v>3500</c:v>
                </c:pt>
                <c:pt idx="29">
                  <c:v>1170</c:v>
                </c:pt>
                <c:pt idx="30">
                  <c:v>3000</c:v>
                </c:pt>
                <c:pt idx="31">
                  <c:v>3000</c:v>
                </c:pt>
                <c:pt idx="32">
                  <c:v>3000</c:v>
                </c:pt>
                <c:pt idx="33">
                  <c:v>3000</c:v>
                </c:pt>
                <c:pt idx="34">
                  <c:v>3000</c:v>
                </c:pt>
                <c:pt idx="35">
                  <c:v>3000</c:v>
                </c:pt>
                <c:pt idx="36">
                  <c:v>2000</c:v>
                </c:pt>
                <c:pt idx="37">
                  <c:v>2000</c:v>
                </c:pt>
                <c:pt idx="38">
                  <c:v>1970</c:v>
                </c:pt>
                <c:pt idx="39">
                  <c:v>2990</c:v>
                </c:pt>
                <c:pt idx="40">
                  <c:v>3100</c:v>
                </c:pt>
                <c:pt idx="41">
                  <c:v>3000</c:v>
                </c:pt>
                <c:pt idx="42">
                  <c:v>3000</c:v>
                </c:pt>
                <c:pt idx="43">
                  <c:v>3000</c:v>
                </c:pt>
                <c:pt idx="44">
                  <c:v>1000</c:v>
                </c:pt>
                <c:pt idx="45">
                  <c:v>900</c:v>
                </c:pt>
                <c:pt idx="46">
                  <c:v>3000</c:v>
                </c:pt>
                <c:pt idx="47">
                  <c:v>2000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C1-4484-B4D6-298C47FA2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418879"/>
        <c:axId val="252303471"/>
      </c:scatterChart>
      <c:valAx>
        <c:axId val="3374188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R$-416]\ * #,##0_-;\-[$R$-416]\ * #,##0_-;_-[$R$-416]\ 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52303471"/>
        <c:crosses val="autoZero"/>
        <c:crossBetween val="midCat"/>
      </c:valAx>
      <c:valAx>
        <c:axId val="252303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R$-416]\ * #,##0_-;\-[$R$-416]\ * #,##0_-;_-[$R$-416]\ 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374188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'6.ii.'!$B$350</c:f>
              <c:strCache>
                <c:ptCount val="1"/>
                <c:pt idx="0">
                  <c:v>Limite do Cheque Especial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'6.ii.'!$A$351:$A$398</c:f>
              <c:numCache>
                <c:formatCode>_-[$R$-416]\ * #.##0_-;\-[$R$-416]\ * #.##0_-;_-[$R$-416]\ * "-"??_-;_-@_-</c:formatCode>
                <c:ptCount val="48"/>
                <c:pt idx="0">
                  <c:v>5214</c:v>
                </c:pt>
                <c:pt idx="1">
                  <c:v>5000</c:v>
                </c:pt>
                <c:pt idx="2">
                  <c:v>5800</c:v>
                </c:pt>
                <c:pt idx="3">
                  <c:v>8100</c:v>
                </c:pt>
                <c:pt idx="4">
                  <c:v>5000</c:v>
                </c:pt>
                <c:pt idx="5">
                  <c:v>4400</c:v>
                </c:pt>
                <c:pt idx="6">
                  <c:v>4300</c:v>
                </c:pt>
                <c:pt idx="7">
                  <c:v>4800</c:v>
                </c:pt>
                <c:pt idx="8">
                  <c:v>6320</c:v>
                </c:pt>
                <c:pt idx="9">
                  <c:v>5000</c:v>
                </c:pt>
                <c:pt idx="10">
                  <c:v>7300</c:v>
                </c:pt>
                <c:pt idx="11">
                  <c:v>6800</c:v>
                </c:pt>
                <c:pt idx="12">
                  <c:v>8784</c:v>
                </c:pt>
                <c:pt idx="13">
                  <c:v>10084</c:v>
                </c:pt>
                <c:pt idx="14">
                  <c:v>6400</c:v>
                </c:pt>
                <c:pt idx="15">
                  <c:v>6000</c:v>
                </c:pt>
                <c:pt idx="16">
                  <c:v>5000</c:v>
                </c:pt>
                <c:pt idx="17">
                  <c:v>8000</c:v>
                </c:pt>
                <c:pt idx="18">
                  <c:v>7825</c:v>
                </c:pt>
                <c:pt idx="19">
                  <c:v>6500</c:v>
                </c:pt>
                <c:pt idx="20">
                  <c:v>6000</c:v>
                </c:pt>
                <c:pt idx="21">
                  <c:v>5500</c:v>
                </c:pt>
                <c:pt idx="22">
                  <c:v>8000</c:v>
                </c:pt>
                <c:pt idx="23">
                  <c:v>12000</c:v>
                </c:pt>
                <c:pt idx="24">
                  <c:v>6000</c:v>
                </c:pt>
                <c:pt idx="25">
                  <c:v>22000</c:v>
                </c:pt>
                <c:pt idx="26">
                  <c:v>6927</c:v>
                </c:pt>
                <c:pt idx="27">
                  <c:v>6500</c:v>
                </c:pt>
                <c:pt idx="28">
                  <c:v>6900</c:v>
                </c:pt>
                <c:pt idx="29">
                  <c:v>7500</c:v>
                </c:pt>
                <c:pt idx="30">
                  <c:v>10000</c:v>
                </c:pt>
                <c:pt idx="31">
                  <c:v>7000</c:v>
                </c:pt>
                <c:pt idx="32">
                  <c:v>4027</c:v>
                </c:pt>
                <c:pt idx="33">
                  <c:v>12912.54</c:v>
                </c:pt>
                <c:pt idx="34">
                  <c:v>14800</c:v>
                </c:pt>
                <c:pt idx="35">
                  <c:v>9000</c:v>
                </c:pt>
                <c:pt idx="36">
                  <c:v>10400</c:v>
                </c:pt>
                <c:pt idx="37">
                  <c:v>5700</c:v>
                </c:pt>
                <c:pt idx="38">
                  <c:v>21000</c:v>
                </c:pt>
                <c:pt idx="39">
                  <c:v>15000</c:v>
                </c:pt>
                <c:pt idx="40">
                  <c:v>13348</c:v>
                </c:pt>
                <c:pt idx="41">
                  <c:v>10000</c:v>
                </c:pt>
                <c:pt idx="42">
                  <c:v>10000</c:v>
                </c:pt>
                <c:pt idx="43">
                  <c:v>9200</c:v>
                </c:pt>
                <c:pt idx="44">
                  <c:v>13500</c:v>
                </c:pt>
                <c:pt idx="45">
                  <c:v>40000</c:v>
                </c:pt>
                <c:pt idx="46">
                  <c:v>30000</c:v>
                </c:pt>
                <c:pt idx="47">
                  <c:v>54500</c:v>
                </c:pt>
              </c:numCache>
            </c:numRef>
          </c:xVal>
          <c:yVal>
            <c:numRef>
              <c:f>'6.ii.'!$B$351:$B$398</c:f>
              <c:numCache>
                <c:formatCode>_-[$R$-416]\ * #.##0_-;\-[$R$-416]\ * #.##0_-;_-[$R$-416]\ * "-"??_-;_-@_-</c:formatCode>
                <c:ptCount val="48"/>
                <c:pt idx="0">
                  <c:v>500</c:v>
                </c:pt>
                <c:pt idx="1">
                  <c:v>600</c:v>
                </c:pt>
                <c:pt idx="2">
                  <c:v>800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1500</c:v>
                </c:pt>
                <c:pt idx="8">
                  <c:v>1640</c:v>
                </c:pt>
                <c:pt idx="9">
                  <c:v>1700</c:v>
                </c:pt>
                <c:pt idx="10">
                  <c:v>1780</c:v>
                </c:pt>
                <c:pt idx="11">
                  <c:v>2000</c:v>
                </c:pt>
                <c:pt idx="12">
                  <c:v>2350</c:v>
                </c:pt>
                <c:pt idx="13">
                  <c:v>2500</c:v>
                </c:pt>
                <c:pt idx="14">
                  <c:v>2500</c:v>
                </c:pt>
                <c:pt idx="15">
                  <c:v>2500</c:v>
                </c:pt>
                <c:pt idx="16">
                  <c:v>2500</c:v>
                </c:pt>
                <c:pt idx="17">
                  <c:v>3000</c:v>
                </c:pt>
                <c:pt idx="18">
                  <c:v>3000</c:v>
                </c:pt>
                <c:pt idx="19">
                  <c:v>3000</c:v>
                </c:pt>
                <c:pt idx="20">
                  <c:v>3000</c:v>
                </c:pt>
                <c:pt idx="21">
                  <c:v>3000</c:v>
                </c:pt>
                <c:pt idx="22">
                  <c:v>3350</c:v>
                </c:pt>
                <c:pt idx="23">
                  <c:v>3500</c:v>
                </c:pt>
                <c:pt idx="24">
                  <c:v>3600</c:v>
                </c:pt>
                <c:pt idx="25">
                  <c:v>4000</c:v>
                </c:pt>
                <c:pt idx="26">
                  <c:v>4000</c:v>
                </c:pt>
                <c:pt idx="27">
                  <c:v>4000</c:v>
                </c:pt>
                <c:pt idx="28">
                  <c:v>4140</c:v>
                </c:pt>
                <c:pt idx="29">
                  <c:v>4930</c:v>
                </c:pt>
                <c:pt idx="30">
                  <c:v>5000</c:v>
                </c:pt>
                <c:pt idx="31">
                  <c:v>5000</c:v>
                </c:pt>
                <c:pt idx="32">
                  <c:v>5000</c:v>
                </c:pt>
                <c:pt idx="33">
                  <c:v>5320</c:v>
                </c:pt>
                <c:pt idx="34">
                  <c:v>6000</c:v>
                </c:pt>
                <c:pt idx="35">
                  <c:v>6000</c:v>
                </c:pt>
                <c:pt idx="36">
                  <c:v>8000</c:v>
                </c:pt>
                <c:pt idx="37">
                  <c:v>9900</c:v>
                </c:pt>
                <c:pt idx="38">
                  <c:v>10000</c:v>
                </c:pt>
                <c:pt idx="39">
                  <c:v>10000</c:v>
                </c:pt>
                <c:pt idx="40">
                  <c:v>10000</c:v>
                </c:pt>
                <c:pt idx="41">
                  <c:v>10000</c:v>
                </c:pt>
                <c:pt idx="42">
                  <c:v>10000</c:v>
                </c:pt>
                <c:pt idx="43">
                  <c:v>10000</c:v>
                </c:pt>
                <c:pt idx="44">
                  <c:v>13000</c:v>
                </c:pt>
                <c:pt idx="45">
                  <c:v>18185</c:v>
                </c:pt>
                <c:pt idx="46">
                  <c:v>20000</c:v>
                </c:pt>
                <c:pt idx="47">
                  <c:v>35000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AB-42AE-AA0D-AC13C95F9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296671"/>
        <c:axId val="2115388895"/>
      </c:scatterChart>
      <c:valAx>
        <c:axId val="249296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R$-416]\ * #.##0_-;\-[$R$-416]\ * #.##0_-;_-[$R$-416]\ 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15388895"/>
        <c:crosses val="autoZero"/>
        <c:crossBetween val="midCat"/>
      </c:valAx>
      <c:valAx>
        <c:axId val="2115388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R$-416]\ * #.##0_-;\-[$R$-416]\ * #.##0_-;_-[$R$-416]\ 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49296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pt-B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Médias</a:t>
            </a:r>
            <a:r>
              <a:rPr lang="pt-BR" sz="1800" b="0" i="0" baseline="0">
                <a:effectLst/>
              </a:rPr>
              <a:t> </a:t>
            </a:r>
            <a:r>
              <a:rPr lang="pt-B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e Medianas Salariais por Regiões</a:t>
            </a:r>
          </a:p>
        </cx:rich>
      </cx:tx>
    </cx:title>
    <cx:plotArea>
      <cx:plotAreaRegion>
        <cx:series layoutId="boxWhisker" uniqueId="{47B70656-FC0F-4162-A177-E3196764A7B2}">
          <cx:dataLabels/>
          <cx:dataId val="0"/>
          <cx:layoutPr>
            <cx:visibility meanLine="1" meanMarker="1" nonoutliers="0" outliers="1"/>
            <cx:statistics quartileMethod="in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pt-B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Médias</a:t>
            </a:r>
            <a:r>
              <a:rPr lang="pt-BR" sz="1800" b="0" i="0" baseline="0">
                <a:effectLst/>
              </a:rPr>
              <a:t> </a:t>
            </a:r>
            <a:r>
              <a:rPr lang="pt-BR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e Medianas Nro. Filhos</a:t>
            </a:r>
          </a:p>
        </cx:rich>
      </cx:tx>
    </cx:title>
    <cx:plotArea>
      <cx:plotAreaRegion>
        <cx:series layoutId="boxWhisker" uniqueId="{6D249769-7FEF-4E85-8778-9DB79AB125FB}">
          <cx:tx>
            <cx:txData>
              <cx:f>_xlchart.v1.0</cx:f>
              <cx:v/>
            </cx:txData>
          </cx:tx>
          <cx:dataLabels/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/>
    <cx:plotArea>
      <cx:plotAreaRegion>
        <cx:series layoutId="boxWhisker" uniqueId="{9A59A9CD-9A52-478E-B305-499727941C39}">
          <cx:dataLabels/>
          <cx:dataId val="0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/>
    <cx:plotArea>
      <cx:plotAreaRegion>
        <cx:series layoutId="clusteredColumn" uniqueId="{479F57A3-566A-4C3B-8ABD-D4404E44DE3A}">
          <cx:tx>
            <cx:txData>
              <cx:f>_xlchart.v1.3</cx:f>
              <cx:v>Idade</cx:v>
            </cx:txData>
          </cx:tx>
          <cx:dataLabels/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  <cx:data id="1">
      <cx:numDim type="val">
        <cx:f>_xlchart.v1.8</cx:f>
      </cx:numDim>
    </cx:data>
  </cx:chartData>
  <cx:chart>
    <cx:plotArea>
      <cx:plotAreaRegion>
        <cx:series layoutId="boxWhisker" uniqueId="{74AD5866-5D05-4E26-8CCC-4CFE0C013A68}">
          <cx:dataLabels pos="l">
            <cx:visibility seriesName="0" categoryName="0" value="1"/>
          </cx:dataLabels>
          <cx:dataId val="0"/>
          <cx:layoutPr>
            <cx:statistics quartileMethod="exclusive"/>
          </cx:layoutPr>
        </cx:series>
        <cx:series layoutId="boxWhisker" uniqueId="{E846617F-EBF9-4D8E-8B18-B6F5B7F5BBA6}">
          <cx:dataLabels pos="l">
            <cx:visibility seriesName="0" categoryName="0" value="1"/>
          </cx:dataLabels>
          <cx:dataId val="1"/>
          <cx:layoutPr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title>
          <cx:tx>
            <cx:txData>
              <cx:v>Valores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pt-BR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Valores</a:t>
              </a:r>
            </a:p>
          </cx:txPr>
        </cx:title>
        <cx:majorGridlines/>
        <cx:majorTickMarks type="out"/>
        <cx:tickLabels/>
      </cx:axis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pt-BR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noFill/>
  </cx:spPr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>
      <cx:tx>
        <cx:txData>
          <cx:v>Salários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Salários</a:t>
          </a:r>
        </a:p>
      </cx:txPr>
    </cx:title>
    <cx:plotArea>
      <cx:plotAreaRegion>
        <cx:series layoutId="clusteredColumn" uniqueId="{FD63B7AD-0C48-46A4-8FB3-8BEC1D326476}">
          <cx:tx>
            <cx:txData>
              <cx:f>_xlchart.v1.5</cx:f>
              <cx:v>Salário</cx:v>
            </cx:txData>
          </cx:tx>
          <cx:dataLabels/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/>
    <cx:plotArea>
      <cx:plotAreaRegion>
        <cx:series layoutId="clusteredColumn" uniqueId="{CBC86851-02CB-40B3-9508-84E931836EAD}">
          <cx:dataLabels/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</cx:f>
      </cx:numDim>
    </cx:data>
  </cx:chartData>
  <cx:chart>
    <cx:title pos="t" align="ctr" overlay="0">
      <cx:tx>
        <cx:txData>
          <cx:v>Distribuição Salarial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Distribuição Salarial</a:t>
          </a:r>
        </a:p>
      </cx:txPr>
    </cx:title>
    <cx:plotArea>
      <cx:plotAreaRegion>
        <cx:series layoutId="boxWhisker" uniqueId="{F61E3EDD-3F0E-4152-A914-F8B27C7AB10A}">
          <cx:dataLabels/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_xlchart.v1.12</cx:f>
      </cx:numDim>
    </cx:data>
    <cx:data id="1">
      <cx:numDim type="val">
        <cx:f>_xlchart.v1.14</cx:f>
      </cx:numDim>
    </cx:data>
  </cx:chartData>
  <cx:chart>
    <cx:title pos="t" align="ctr" overlay="0"/>
    <cx:plotArea>
      <cx:plotAreaRegion>
        <cx:series layoutId="boxWhisker" uniqueId="{012EB715-10DF-4F94-8B22-BBD4B1634D6E}">
          <cx:tx>
            <cx:txData>
              <cx:f>_xlchart.v1.11</cx:f>
              <cx:v>Salário</cx:v>
            </cx:txData>
          </cx:tx>
          <cx:dataLabels/>
          <cx:dataId val="0"/>
          <cx:layoutPr>
            <cx:visibility meanLine="1" meanMarker="1" nonoutliers="0" outliers="1"/>
            <cx:statistics quartileMethod="inclusive"/>
          </cx:layoutPr>
        </cx:series>
        <cx:series layoutId="boxWhisker" uniqueId="{3A040281-F2F9-4BF5-9EC0-040390C4AF4B}">
          <cx:tx>
            <cx:txData>
              <cx:f>_xlchart.v1.13</cx:f>
              <cx:v>Limite do Cheque Especial</cx:v>
            </cx:txData>
          </cx:tx>
          <cx:dataLabels/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13" Type="http://schemas.openxmlformats.org/officeDocument/2006/relationships/chart" Target="../charts/chart11.xml"/><Relationship Id="rId3" Type="http://schemas.openxmlformats.org/officeDocument/2006/relationships/chart" Target="../charts/chart2.xml"/><Relationship Id="rId7" Type="http://schemas.openxmlformats.org/officeDocument/2006/relationships/chart" Target="../charts/chart5.xml"/><Relationship Id="rId12" Type="http://schemas.openxmlformats.org/officeDocument/2006/relationships/chart" Target="../charts/chart10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6" Type="http://schemas.microsoft.com/office/2014/relationships/chartEx" Target="../charts/chartEx2.xml"/><Relationship Id="rId11" Type="http://schemas.openxmlformats.org/officeDocument/2006/relationships/chart" Target="../charts/chart9.xml"/><Relationship Id="rId5" Type="http://schemas.openxmlformats.org/officeDocument/2006/relationships/chart" Target="../charts/chart4.xml"/><Relationship Id="rId15" Type="http://schemas.openxmlformats.org/officeDocument/2006/relationships/chart" Target="../charts/chart13.xml"/><Relationship Id="rId10" Type="http://schemas.openxmlformats.org/officeDocument/2006/relationships/chart" Target="../charts/chart8.xml"/><Relationship Id="rId4" Type="http://schemas.openxmlformats.org/officeDocument/2006/relationships/chart" Target="../charts/chart3.xml"/><Relationship Id="rId9" Type="http://schemas.openxmlformats.org/officeDocument/2006/relationships/chart" Target="../charts/chart7.xml"/><Relationship Id="rId14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8" Type="http://schemas.microsoft.com/office/2014/relationships/chartEx" Target="../charts/chartEx8.xml"/><Relationship Id="rId3" Type="http://schemas.microsoft.com/office/2014/relationships/chartEx" Target="../charts/chartEx5.xml"/><Relationship Id="rId7" Type="http://schemas.openxmlformats.org/officeDocument/2006/relationships/chart" Target="../charts/chart15.xml"/><Relationship Id="rId2" Type="http://schemas.microsoft.com/office/2014/relationships/chartEx" Target="../charts/chartEx4.xml"/><Relationship Id="rId1" Type="http://schemas.microsoft.com/office/2014/relationships/chartEx" Target="../charts/chartEx3.xml"/><Relationship Id="rId6" Type="http://schemas.microsoft.com/office/2014/relationships/chartEx" Target="../charts/chartEx7.xml"/><Relationship Id="rId11" Type="http://schemas.microsoft.com/office/2014/relationships/chartEx" Target="../charts/chartEx9.xml"/><Relationship Id="rId5" Type="http://schemas.microsoft.com/office/2014/relationships/chartEx" Target="../charts/chartEx6.xml"/><Relationship Id="rId10" Type="http://schemas.openxmlformats.org/officeDocument/2006/relationships/chart" Target="../charts/chart17.xml"/><Relationship Id="rId4" Type="http://schemas.openxmlformats.org/officeDocument/2006/relationships/chart" Target="../charts/chart14.xml"/><Relationship Id="rId9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579751</xdr:colOff>
      <xdr:row>25</xdr:row>
      <xdr:rowOff>30452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B806DFD9-F164-42E1-8B5B-F20F1336D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85351" cy="407857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211622</xdr:colOff>
      <xdr:row>13</xdr:row>
      <xdr:rowOff>124064</xdr:rowOff>
    </xdr:from>
    <xdr:to>
      <xdr:col>16</xdr:col>
      <xdr:colOff>209550</xdr:colOff>
      <xdr:row>31</xdr:row>
      <xdr:rowOff>142876</xdr:rowOff>
    </xdr:to>
    <xdr:sp macro="" textlink="">
      <xdr:nvSpPr>
        <xdr:cNvPr id="2" name="Text Box 5">
          <a:extLst>
            <a:ext uri="{FF2B5EF4-FFF2-40B4-BE49-F238E27FC236}">
              <a16:creationId xmlns:a16="http://schemas.microsoft.com/office/drawing/2014/main" id="{C9198F67-D543-4B16-8E40-F202566286EF}"/>
            </a:ext>
          </a:extLst>
        </xdr:cNvPr>
        <xdr:cNvSpPr txBox="1">
          <a:spLocks noChangeArrowheads="1"/>
        </xdr:cNvSpPr>
      </xdr:nvSpPr>
      <xdr:spPr bwMode="auto">
        <a:xfrm>
          <a:off x="211622" y="2267189"/>
          <a:ext cx="9751528" cy="29334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anchor="t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342900" indent="-342900" algn="l" defTabSz="914400" rtl="0" eaLnBrk="1" latinLnBrk="0" hangingPunct="1">
            <a:lnSpc>
              <a:spcPts val="1800"/>
            </a:lnSpc>
            <a:buFont typeface="+mj-lt"/>
            <a:buAutoNum type="alphaLcParenR"/>
            <a:defRPr/>
          </a:pPr>
          <a:r>
            <a:rPr lang="pt-BR" sz="1100" kern="1200">
              <a:solidFill>
                <a:srgbClr val="434343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Descreva de forma sucinta (com apoio de gráficos e tabelas) o perfil sócio demográfico dos funcionários da empresa, com base nas suas conclusões da análise univariada.</a:t>
          </a:r>
        </a:p>
        <a:p>
          <a:pPr marL="342900" indent="-342900" algn="l" defTabSz="914400" rtl="0" eaLnBrk="1" latinLnBrk="0" hangingPunct="1">
            <a:lnSpc>
              <a:spcPts val="1800"/>
            </a:lnSpc>
            <a:buFont typeface="+mj-lt"/>
            <a:buAutoNum type="alphaLcParenR"/>
            <a:defRPr/>
          </a:pPr>
          <a:r>
            <a:rPr lang="pt-BR" sz="1100" kern="1200">
              <a:solidFill>
                <a:srgbClr val="434343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Pode-se afirmar que os funcionários que têm maior grau de instrução ganham mais? Justifique.</a:t>
          </a:r>
        </a:p>
        <a:p>
          <a:pPr marL="342900" indent="-342900" algn="l" defTabSz="914400" rtl="0" eaLnBrk="1" latinLnBrk="0" hangingPunct="1">
            <a:lnSpc>
              <a:spcPts val="1800"/>
            </a:lnSpc>
            <a:buFont typeface="+mj-lt"/>
            <a:buAutoNum type="alphaLcParenR"/>
            <a:defRPr/>
          </a:pPr>
          <a:r>
            <a:rPr lang="pt-BR" sz="1100" kern="1200">
              <a:solidFill>
                <a:srgbClr val="434343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O grau de instrução sofre alguma influência de acordo com o estado civil? Justifique.</a:t>
          </a:r>
        </a:p>
        <a:p>
          <a:pPr marL="342900" indent="-342900" algn="l" defTabSz="914400" rtl="0" eaLnBrk="1" latinLnBrk="0" hangingPunct="1">
            <a:lnSpc>
              <a:spcPts val="1800"/>
            </a:lnSpc>
            <a:buFont typeface="+mj-lt"/>
            <a:buAutoNum type="alphaLcParenR"/>
            <a:defRPr/>
          </a:pPr>
          <a:r>
            <a:rPr lang="pt-BR" sz="1100" kern="1200">
              <a:solidFill>
                <a:srgbClr val="434343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Pode-se afirmar que os funcionários mais velhos ganham mais? Justifique.</a:t>
          </a:r>
        </a:p>
        <a:p>
          <a:pPr marL="342900" indent="-342900" algn="l" defTabSz="914400" rtl="0" eaLnBrk="1" latinLnBrk="0" hangingPunct="1">
            <a:lnSpc>
              <a:spcPts val="1800"/>
            </a:lnSpc>
            <a:buFont typeface="+mj-lt"/>
            <a:buAutoNum type="alphaLcParenR"/>
            <a:defRPr/>
          </a:pPr>
          <a:r>
            <a:rPr lang="pt-BR" sz="1100" kern="1200">
              <a:solidFill>
                <a:srgbClr val="434343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Funcionários comentaram que devido ao mercado estar muito competitivo e na capital os salários serem maiores do que em outras regiões, quem vem da capital (a empresa é sediada na capital) ganha mais do que quem vem das outras regiões de procedência. Isso é verdade? Justifique.</a:t>
          </a:r>
        </a:p>
        <a:p>
          <a:pPr marL="342900" indent="-342900" algn="l" defTabSz="914400" rtl="0" eaLnBrk="1" latinLnBrk="0" hangingPunct="1">
            <a:lnSpc>
              <a:spcPts val="1800"/>
            </a:lnSpc>
            <a:buFont typeface="+mj-lt"/>
            <a:buAutoNum type="alphaLcParenR"/>
            <a:defRPr/>
          </a:pPr>
          <a:r>
            <a:rPr lang="pt-BR" sz="1100" kern="1200">
              <a:solidFill>
                <a:srgbClr val="434343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Também comentaram que o RH da empresa está trazendo gente mais nova de outras regiões (a empresa é sediada na capital). Isso é verdade? Justifique.</a:t>
          </a:r>
        </a:p>
        <a:p>
          <a:pPr marL="342900" indent="-342900" algn="l" defTabSz="914400" rtl="0" eaLnBrk="1" latinLnBrk="0" hangingPunct="1">
            <a:lnSpc>
              <a:spcPts val="1800"/>
            </a:lnSpc>
            <a:buFont typeface="+mj-lt"/>
            <a:buAutoNum type="alphaLcParenR"/>
            <a:defRPr/>
          </a:pPr>
          <a:r>
            <a:rPr lang="pt-BR" sz="1100" kern="1200">
              <a:solidFill>
                <a:srgbClr val="434343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O departamento de RH afirmou que as pessoas mais velhas têm mais filhos, e isso encarece as despesas da empresa relacionadas ao plano de saúde. É possível fazer essa afirmação? Justifique.</a:t>
          </a:r>
        </a:p>
        <a:p>
          <a:pPr marL="342900" indent="-342900" algn="l" defTabSz="914400" rtl="0" eaLnBrk="1" latinLnBrk="0" hangingPunct="1">
            <a:lnSpc>
              <a:spcPts val="1800"/>
            </a:lnSpc>
            <a:buFont typeface="+mj-lt"/>
            <a:buAutoNum type="alphaLcParenR"/>
            <a:defRPr/>
          </a:pPr>
          <a:r>
            <a:rPr lang="pt-BR" sz="1100" b="1" kern="1200">
              <a:solidFill>
                <a:srgbClr val="434343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Existe alguma informação pertinente da análise de base de funcionários da companhia MB que valeria citar para finalizar a análise de dados? </a:t>
          </a:r>
        </a:p>
      </xdr:txBody>
    </xdr:sp>
    <xdr:clientData/>
  </xdr:twoCellAnchor>
  <xdr:twoCellAnchor>
    <xdr:from>
      <xdr:col>0</xdr:col>
      <xdr:colOff>0</xdr:colOff>
      <xdr:row>5</xdr:row>
      <xdr:rowOff>4286</xdr:rowOff>
    </xdr:from>
    <xdr:to>
      <xdr:col>16</xdr:col>
      <xdr:colOff>233548</xdr:colOff>
      <xdr:row>12</xdr:row>
      <xdr:rowOff>75474</xdr:rowOff>
    </xdr:to>
    <xdr:grpSp>
      <xdr:nvGrpSpPr>
        <xdr:cNvPr id="3" name="Agrupar 2">
          <a:extLst>
            <a:ext uri="{FF2B5EF4-FFF2-40B4-BE49-F238E27FC236}">
              <a16:creationId xmlns:a16="http://schemas.microsoft.com/office/drawing/2014/main" id="{49D45D2B-9AA4-4B9F-8FA5-29EF40F371E0}"/>
            </a:ext>
          </a:extLst>
        </xdr:cNvPr>
        <xdr:cNvGrpSpPr/>
      </xdr:nvGrpSpPr>
      <xdr:grpSpPr>
        <a:xfrm>
          <a:off x="0" y="852011"/>
          <a:ext cx="9987148" cy="1204663"/>
          <a:chOff x="0" y="737711"/>
          <a:chExt cx="9987148" cy="1204663"/>
        </a:xfrm>
      </xdr:grpSpPr>
      <xdr:sp macro="" textlink="">
        <xdr:nvSpPr>
          <xdr:cNvPr id="4" name="Retângulo 3">
            <a:extLst>
              <a:ext uri="{FF2B5EF4-FFF2-40B4-BE49-F238E27FC236}">
                <a16:creationId xmlns:a16="http://schemas.microsoft.com/office/drawing/2014/main" id="{BD654EBD-493C-43AC-BEE8-75AE282F1B3E}"/>
              </a:ext>
            </a:extLst>
          </xdr:cNvPr>
          <xdr:cNvSpPr/>
        </xdr:nvSpPr>
        <xdr:spPr>
          <a:xfrm>
            <a:off x="0" y="737711"/>
            <a:ext cx="9987148" cy="1204663"/>
          </a:xfrm>
          <a:prstGeom prst="rect">
            <a:avLst/>
          </a:prstGeom>
          <a:gradFill>
            <a:gsLst>
              <a:gs pos="0">
                <a:srgbClr val="6ADBD9"/>
              </a:gs>
              <a:gs pos="50000">
                <a:srgbClr val="6ADBD9"/>
              </a:gs>
              <a:gs pos="100000">
                <a:srgbClr val="66CCFF"/>
              </a:gs>
            </a:gsLst>
            <a:path path="circle">
              <a:fillToRect l="100000" t="100000"/>
            </a:path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pt-BR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pt-BR" sz="1800" b="0" i="0" u="none" strike="noStrike" kern="1200" cap="none" spc="0" normalizeH="0" baseline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endParaRPr>
          </a:p>
        </xdr:txBody>
      </xdr:sp>
      <xdr:sp macro="" textlink="">
        <xdr:nvSpPr>
          <xdr:cNvPr id="5" name="Elipse 4">
            <a:extLst>
              <a:ext uri="{FF2B5EF4-FFF2-40B4-BE49-F238E27FC236}">
                <a16:creationId xmlns:a16="http://schemas.microsoft.com/office/drawing/2014/main" id="{8750B7CA-7AE3-4175-A003-718FA7FCD55C}"/>
              </a:ext>
            </a:extLst>
          </xdr:cNvPr>
          <xdr:cNvSpPr/>
        </xdr:nvSpPr>
        <xdr:spPr>
          <a:xfrm>
            <a:off x="8551718" y="804124"/>
            <a:ext cx="1077279" cy="1071836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pt-BR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pt-BR"/>
          </a:p>
        </xdr:txBody>
      </xdr:sp>
      <xdr:pic>
        <xdr:nvPicPr>
          <xdr:cNvPr id="6" name="Gráfico 2" descr="Edifício">
            <a:extLst>
              <a:ext uri="{FF2B5EF4-FFF2-40B4-BE49-F238E27FC236}">
                <a16:creationId xmlns:a16="http://schemas.microsoft.com/office/drawing/2014/main" id="{95D45758-627C-4AEC-9374-773009216C4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753475" y="1000125"/>
            <a:ext cx="676275" cy="6762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7" name="Retângulo 6">
            <a:extLst>
              <a:ext uri="{FF2B5EF4-FFF2-40B4-BE49-F238E27FC236}">
                <a16:creationId xmlns:a16="http://schemas.microsoft.com/office/drawing/2014/main" id="{C742B4ED-888F-48E1-814B-59C6C0BAB11B}"/>
              </a:ext>
            </a:extLst>
          </xdr:cNvPr>
          <xdr:cNvSpPr/>
        </xdr:nvSpPr>
        <xdr:spPr>
          <a:xfrm>
            <a:off x="449036" y="932089"/>
            <a:ext cx="7365501" cy="801880"/>
          </a:xfrm>
          <a:prstGeom prst="rect">
            <a:avLst/>
          </a:prstGeom>
        </xdr:spPr>
        <xdr:txBody>
          <a:bodyPr wrap="square" anchor="t">
            <a:spAutoFit/>
          </a:bodyPr>
          <a:lstStyle>
            <a:defPPr>
              <a:defRPr lang="pt-BR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330200" indent="-330200">
              <a:defRPr/>
            </a:pPr>
            <a:r>
              <a:rPr lang="pt-PT" sz="1400">
                <a:solidFill>
                  <a:srgbClr val="434343"/>
                </a:solidFill>
                <a:latin typeface="Open Sans" panose="020B0604020202020204"/>
                <a:cs typeface="Arial"/>
              </a:rPr>
              <a:t>Dando continuidade ao banco de dados já trabalhado em sala de aula, responda às</a:t>
            </a:r>
            <a:r>
              <a:rPr lang="pt-PT" sz="1400" baseline="0">
                <a:solidFill>
                  <a:srgbClr val="434343"/>
                </a:solidFill>
                <a:latin typeface="Open Sans" panose="020B0604020202020204"/>
                <a:cs typeface="Arial"/>
              </a:rPr>
              <a:t> </a:t>
            </a:r>
            <a:r>
              <a:rPr lang="pt-PT" sz="1400">
                <a:solidFill>
                  <a:srgbClr val="434343"/>
                </a:solidFill>
                <a:latin typeface="Open Sans" panose="020B0604020202020204"/>
                <a:cs typeface="Arial"/>
              </a:rPr>
              <a:t>seguintes questões de negócio. O banco de dados está referenciado como Companhia_MB.txt:</a:t>
            </a:r>
          </a:p>
        </xdr:txBody>
      </xdr:sp>
    </xdr:grpSp>
    <xdr:clientData/>
  </xdr:twoCellAnchor>
  <xdr:twoCellAnchor editAs="oneCell">
    <xdr:from>
      <xdr:col>0</xdr:col>
      <xdr:colOff>285750</xdr:colOff>
      <xdr:row>0</xdr:row>
      <xdr:rowOff>114301</xdr:rowOff>
    </xdr:from>
    <xdr:to>
      <xdr:col>8</xdr:col>
      <xdr:colOff>448950</xdr:colOff>
      <xdr:row>2</xdr:row>
      <xdr:rowOff>38101</xdr:rowOff>
    </xdr:to>
    <xdr:sp macro="" textlink="">
      <xdr:nvSpPr>
        <xdr:cNvPr id="8" name="Title Placeholder 1">
          <a:extLst>
            <a:ext uri="{FF2B5EF4-FFF2-40B4-BE49-F238E27FC236}">
              <a16:creationId xmlns:a16="http://schemas.microsoft.com/office/drawing/2014/main" id="{46C0E301-0991-4E13-8506-EF33EDEC039C}"/>
            </a:ext>
          </a:extLst>
        </xdr:cNvPr>
        <xdr:cNvSpPr txBox="1">
          <a:spLocks/>
        </xdr:cNvSpPr>
      </xdr:nvSpPr>
      <xdr:spPr>
        <a:xfrm>
          <a:off x="285750" y="114301"/>
          <a:ext cx="5040000" cy="266700"/>
        </a:xfrm>
        <a:prstGeom prst="rect">
          <a:avLst/>
        </a:prstGeom>
      </xdr:spPr>
      <xdr:txBody>
        <a:bodyPr vert="horz" wrap="square" lIns="91440" tIns="45720" rIns="91440" bIns="45720" rtlCol="0" anchor="ctr">
          <a:normAutofit/>
        </a:bodyPr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ts val="1900"/>
            </a:lnSpc>
          </a:pPr>
          <a:r>
            <a:rPr lang="en-US">
              <a:solidFill>
                <a:srgbClr val="434343"/>
              </a:solidFill>
              <a:latin typeface="Segoe UI" panose="020B0502040204020203" pitchFamily="34" charset="0"/>
              <a:ea typeface="Open Sans" panose="020B0604020202020204" charset="0"/>
              <a:cs typeface="Segoe UI" panose="020B0502040204020203" pitchFamily="34" charset="0"/>
            </a:rPr>
            <a:t>6.i. People</a:t>
          </a:r>
          <a:r>
            <a:rPr lang="en-US" baseline="0">
              <a:solidFill>
                <a:srgbClr val="434343"/>
              </a:solidFill>
              <a:latin typeface="Segoe UI" panose="020B0502040204020203" pitchFamily="34" charset="0"/>
              <a:ea typeface="Open Sans" panose="020B0604020202020204" charset="0"/>
              <a:cs typeface="Segoe UI" panose="020B0502040204020203" pitchFamily="34" charset="0"/>
            </a:rPr>
            <a:t> Analytics</a:t>
          </a:r>
        </a:p>
      </xdr:txBody>
    </xdr:sp>
    <xdr:clientData/>
  </xdr:twoCellAnchor>
  <xdr:twoCellAnchor editAs="oneCell">
    <xdr:from>
      <xdr:col>0</xdr:col>
      <xdr:colOff>285750</xdr:colOff>
      <xdr:row>2</xdr:row>
      <xdr:rowOff>47625</xdr:rowOff>
    </xdr:from>
    <xdr:to>
      <xdr:col>8</xdr:col>
      <xdr:colOff>448950</xdr:colOff>
      <xdr:row>3</xdr:row>
      <xdr:rowOff>123825</xdr:rowOff>
    </xdr:to>
    <xdr:sp macro="" textlink="">
      <xdr:nvSpPr>
        <xdr:cNvPr id="9" name="Title Placeholder 1">
          <a:extLst>
            <a:ext uri="{FF2B5EF4-FFF2-40B4-BE49-F238E27FC236}">
              <a16:creationId xmlns:a16="http://schemas.microsoft.com/office/drawing/2014/main" id="{D10E1911-213B-4669-BB23-2DD56E81CE55}"/>
            </a:ext>
          </a:extLst>
        </xdr:cNvPr>
        <xdr:cNvSpPr txBox="1">
          <a:spLocks/>
        </xdr:cNvSpPr>
      </xdr:nvSpPr>
      <xdr:spPr>
        <a:xfrm>
          <a:off x="285750" y="390525"/>
          <a:ext cx="5040000" cy="247650"/>
        </a:xfrm>
        <a:prstGeom prst="rect">
          <a:avLst/>
        </a:prstGeom>
      </xdr:spPr>
      <xdr:txBody>
        <a:bodyPr vert="horz" wrap="square" lIns="91440" tIns="45720" rIns="91440" bIns="45720" rtlCol="0" anchor="ctr">
          <a:normAutofit/>
        </a:bodyPr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ts val="1100"/>
            </a:lnSpc>
          </a:pPr>
          <a:r>
            <a:rPr lang="en-US" sz="1100">
              <a:solidFill>
                <a:srgbClr val="6ADBD9"/>
              </a:solidFill>
              <a:latin typeface="Segoe UI" panose="020B0502040204020203" pitchFamily="34" charset="0"/>
              <a:ea typeface="Open Sans" panose="020B0604020202020204" charset="0"/>
              <a:cs typeface="Segoe UI" panose="020B0502040204020203" pitchFamily="34" charset="0"/>
            </a:rPr>
            <a:t>BANCO DE DADOS EM .TXT</a:t>
          </a:r>
          <a:endParaRPr lang="en-US" sz="1100">
            <a:solidFill>
              <a:srgbClr val="434343"/>
            </a:solidFill>
            <a:latin typeface="Segoe UI" panose="020B0502040204020203" pitchFamily="34" charset="0"/>
            <a:ea typeface="Open Sans" panose="020B0604020202020204" charset="0"/>
            <a:cs typeface="Segoe UI" panose="020B0502040204020203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211622</xdr:colOff>
      <xdr:row>13</xdr:row>
      <xdr:rowOff>121813</xdr:rowOff>
    </xdr:from>
    <xdr:to>
      <xdr:col>15</xdr:col>
      <xdr:colOff>170801</xdr:colOff>
      <xdr:row>26</xdr:row>
      <xdr:rowOff>57150</xdr:rowOff>
    </xdr:to>
    <xdr:sp macro="" textlink="">
      <xdr:nvSpPr>
        <xdr:cNvPr id="2" name="Text Box 5">
          <a:extLst>
            <a:ext uri="{FF2B5EF4-FFF2-40B4-BE49-F238E27FC236}">
              <a16:creationId xmlns:a16="http://schemas.microsoft.com/office/drawing/2014/main" id="{C4DF8CD0-84C1-4817-94F7-A83D2F1A46F1}"/>
            </a:ext>
          </a:extLst>
        </xdr:cNvPr>
        <xdr:cNvSpPr txBox="1">
          <a:spLocks noChangeArrowheads="1"/>
        </xdr:cNvSpPr>
      </xdr:nvSpPr>
      <xdr:spPr bwMode="auto">
        <a:xfrm>
          <a:off x="211622" y="2264938"/>
          <a:ext cx="9103179" cy="2040362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wrap="square" anchor="t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342900" indent="-342900">
            <a:lnSpc>
              <a:spcPts val="1800"/>
            </a:lnSpc>
            <a:buFont typeface="+mj-lt"/>
            <a:buAutoNum type="alphaLcParenR"/>
            <a:defRPr/>
          </a:pPr>
          <a:r>
            <a:rPr lang="pt-BR" sz="1100">
              <a:solidFill>
                <a:srgbClr val="434343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Qual a idade dos clientes presentes no banco de dados? Como está a distribuição da idade? Existem clientes com idades discrepantes?</a:t>
          </a:r>
        </a:p>
        <a:p>
          <a:pPr marL="342900" indent="-342900">
            <a:lnSpc>
              <a:spcPts val="1800"/>
            </a:lnSpc>
            <a:buFont typeface="+mj-lt"/>
            <a:buAutoNum type="alphaLcParenR"/>
            <a:defRPr/>
          </a:pPr>
          <a:r>
            <a:rPr lang="pt-BR" sz="1100">
              <a:solidFill>
                <a:srgbClr val="434343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*Existem clientes que possuem rendimento total e salários muito discrepantes em relação aos demais clientes? Como está a distribuição destas variáveis? Construir os box plots em um único gráfico.</a:t>
          </a:r>
        </a:p>
        <a:p>
          <a:pPr marL="342900" indent="-342900">
            <a:lnSpc>
              <a:spcPts val="1800"/>
            </a:lnSpc>
            <a:buFont typeface="+mj-lt"/>
            <a:buAutoNum type="alphaLcParenR"/>
            <a:defRPr/>
          </a:pPr>
          <a:r>
            <a:rPr lang="pt-BR" sz="1100">
              <a:solidFill>
                <a:srgbClr val="434343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Existe relação entre rendimento total e salário?</a:t>
          </a:r>
        </a:p>
        <a:p>
          <a:pPr marL="342900" indent="-342900">
            <a:lnSpc>
              <a:spcPts val="1800"/>
            </a:lnSpc>
            <a:buFont typeface="+mj-lt"/>
            <a:buAutoNum type="alphaLcParenR"/>
            <a:defRPr/>
          </a:pPr>
          <a:r>
            <a:rPr lang="pt-BR" sz="1100">
              <a:solidFill>
                <a:srgbClr val="434343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*O salário dos clientes tem relação com a idade? Clientes mais novos (abaixo de 40 anos) ganham menos em relação aos clientes mais velhos (acima de 40 anos)?</a:t>
          </a:r>
        </a:p>
        <a:p>
          <a:pPr marL="342900" indent="-342900">
            <a:lnSpc>
              <a:spcPts val="1800"/>
            </a:lnSpc>
            <a:buFont typeface="+mj-lt"/>
            <a:buAutoNum type="alphaLcParenR"/>
            <a:defRPr/>
          </a:pPr>
          <a:r>
            <a:rPr lang="pt-BR" sz="1100">
              <a:solidFill>
                <a:srgbClr val="434343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O salário provavelmente foi utilizado para calcular o quanto de crédito poderia ser liberado imediatamente?</a:t>
          </a:r>
        </a:p>
        <a:p>
          <a:pPr marL="342900" indent="-342900">
            <a:lnSpc>
              <a:spcPts val="1800"/>
            </a:lnSpc>
            <a:buFont typeface="+mj-lt"/>
            <a:buAutoNum type="alphaLcParenR"/>
            <a:defRPr/>
          </a:pPr>
          <a:r>
            <a:rPr lang="pt-BR" sz="1100">
              <a:solidFill>
                <a:srgbClr val="434343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O salário provavelmente foi utilizado para calcular o limite de cheque especial? </a:t>
          </a:r>
          <a:endParaRPr lang="pt-BR" sz="1100">
            <a:solidFill>
              <a:srgbClr val="434343"/>
            </a:solidFill>
            <a:latin typeface="Open Sans" panose="020B0604020202020204"/>
            <a:cs typeface="Arial" charset="0"/>
          </a:endParaRPr>
        </a:p>
      </xdr:txBody>
    </xdr:sp>
    <xdr:clientData/>
  </xdr:twoCellAnchor>
  <xdr:twoCellAnchor>
    <xdr:from>
      <xdr:col>0</xdr:col>
      <xdr:colOff>0</xdr:colOff>
      <xdr:row>5</xdr:row>
      <xdr:rowOff>4286</xdr:rowOff>
    </xdr:from>
    <xdr:to>
      <xdr:col>16</xdr:col>
      <xdr:colOff>233548</xdr:colOff>
      <xdr:row>12</xdr:row>
      <xdr:rowOff>75474</xdr:rowOff>
    </xdr:to>
    <xdr:grpSp>
      <xdr:nvGrpSpPr>
        <xdr:cNvPr id="3" name="Agrupar 2">
          <a:extLst>
            <a:ext uri="{FF2B5EF4-FFF2-40B4-BE49-F238E27FC236}">
              <a16:creationId xmlns:a16="http://schemas.microsoft.com/office/drawing/2014/main" id="{45EFD901-921E-4893-8CEC-D4440FE68641}"/>
            </a:ext>
          </a:extLst>
        </xdr:cNvPr>
        <xdr:cNvGrpSpPr/>
      </xdr:nvGrpSpPr>
      <xdr:grpSpPr>
        <a:xfrm>
          <a:off x="0" y="852011"/>
          <a:ext cx="9987148" cy="1204663"/>
          <a:chOff x="0" y="813911"/>
          <a:chExt cx="9987148" cy="1204663"/>
        </a:xfrm>
      </xdr:grpSpPr>
      <xdr:sp macro="" textlink="">
        <xdr:nvSpPr>
          <xdr:cNvPr id="4" name="Retângulo 3">
            <a:extLst>
              <a:ext uri="{FF2B5EF4-FFF2-40B4-BE49-F238E27FC236}">
                <a16:creationId xmlns:a16="http://schemas.microsoft.com/office/drawing/2014/main" id="{5C02B746-AC43-4F5D-81D8-FAA9D689C0B7}"/>
              </a:ext>
            </a:extLst>
          </xdr:cNvPr>
          <xdr:cNvSpPr/>
        </xdr:nvSpPr>
        <xdr:spPr>
          <a:xfrm>
            <a:off x="0" y="813911"/>
            <a:ext cx="9987148" cy="1204663"/>
          </a:xfrm>
          <a:prstGeom prst="rect">
            <a:avLst/>
          </a:prstGeom>
          <a:gradFill>
            <a:gsLst>
              <a:gs pos="0">
                <a:srgbClr val="6ADBD9"/>
              </a:gs>
              <a:gs pos="50000">
                <a:srgbClr val="6ADBD9"/>
              </a:gs>
              <a:gs pos="100000">
                <a:srgbClr val="66CCFF"/>
              </a:gs>
            </a:gsLst>
            <a:path path="circle">
              <a:fillToRect l="100000" t="100000"/>
            </a:path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pt-BR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pt-BR" sz="1800" b="0" i="0" u="none" strike="noStrike" kern="1200" cap="none" spc="0" normalizeH="0" baseline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endParaRPr>
          </a:p>
        </xdr:txBody>
      </xdr:sp>
      <xdr:pic>
        <xdr:nvPicPr>
          <xdr:cNvPr id="5" name="Picture 2" descr="Woman Holding Card While Operating Silver Laptop">
            <a:extLst>
              <a:ext uri="{FF2B5EF4-FFF2-40B4-BE49-F238E27FC236}">
                <a16:creationId xmlns:a16="http://schemas.microsoft.com/office/drawing/2014/main" id="{3FAE8662-BFD0-45A9-897C-5864F2CC4B56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 cstate="print"/>
          <a:srcRect l="14100" r="14100"/>
          <a:stretch/>
        </xdr:blipFill>
        <xdr:spPr bwMode="auto">
          <a:xfrm>
            <a:off x="8548234" y="877910"/>
            <a:ext cx="1077279" cy="1071836"/>
          </a:xfrm>
          <a:prstGeom prst="ellipse">
            <a:avLst/>
          </a:prstGeom>
          <a:noFill/>
        </xdr:spPr>
      </xdr:pic>
      <xdr:sp macro="" textlink="">
        <xdr:nvSpPr>
          <xdr:cNvPr id="6" name="Retângulo 5">
            <a:extLst>
              <a:ext uri="{FF2B5EF4-FFF2-40B4-BE49-F238E27FC236}">
                <a16:creationId xmlns:a16="http://schemas.microsoft.com/office/drawing/2014/main" id="{243D3EA7-0E10-4615-8197-4A7AD280155E}"/>
              </a:ext>
            </a:extLst>
          </xdr:cNvPr>
          <xdr:cNvSpPr/>
        </xdr:nvSpPr>
        <xdr:spPr>
          <a:xfrm>
            <a:off x="447675" y="1009650"/>
            <a:ext cx="7365501" cy="801880"/>
          </a:xfrm>
          <a:prstGeom prst="rect">
            <a:avLst/>
          </a:prstGeom>
        </xdr:spPr>
        <xdr:txBody>
          <a:bodyPr wrap="square" anchor="t">
            <a:noAutofit/>
          </a:bodyPr>
          <a:lstStyle>
            <a:defPPr>
              <a:defRPr lang="pt-BR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330200" indent="-330200">
              <a:defRPr/>
            </a:pPr>
            <a:r>
              <a:rPr lang="pt-PT" sz="1400">
                <a:solidFill>
                  <a:srgbClr val="434343"/>
                </a:solidFill>
                <a:latin typeface="Open Sans" panose="020B0604020202020204"/>
                <a:cs typeface="Arial"/>
              </a:rPr>
              <a:t>Esta base de dados amostral traz informações dos clientes de um banco que solicitaram limite de crédito. A fonte de dados foi simulada. Responda às seguintes questões de negócio:</a:t>
            </a:r>
          </a:p>
        </xdr:txBody>
      </xdr:sp>
    </xdr:grpSp>
    <xdr:clientData/>
  </xdr:twoCellAnchor>
  <xdr:twoCellAnchor editAs="oneCell">
    <xdr:from>
      <xdr:col>0</xdr:col>
      <xdr:colOff>285750</xdr:colOff>
      <xdr:row>0</xdr:row>
      <xdr:rowOff>85726</xdr:rowOff>
    </xdr:from>
    <xdr:to>
      <xdr:col>8</xdr:col>
      <xdr:colOff>448950</xdr:colOff>
      <xdr:row>2</xdr:row>
      <xdr:rowOff>66676</xdr:rowOff>
    </xdr:to>
    <xdr:sp macro="" textlink="">
      <xdr:nvSpPr>
        <xdr:cNvPr id="7" name="Title Placeholder 1">
          <a:extLst>
            <a:ext uri="{FF2B5EF4-FFF2-40B4-BE49-F238E27FC236}">
              <a16:creationId xmlns:a16="http://schemas.microsoft.com/office/drawing/2014/main" id="{D3891389-AD47-4DB3-805E-A3E7232A2FAD}"/>
            </a:ext>
          </a:extLst>
        </xdr:cNvPr>
        <xdr:cNvSpPr txBox="1">
          <a:spLocks/>
        </xdr:cNvSpPr>
      </xdr:nvSpPr>
      <xdr:spPr>
        <a:xfrm>
          <a:off x="285750" y="85726"/>
          <a:ext cx="5040000" cy="323850"/>
        </a:xfrm>
        <a:prstGeom prst="rect">
          <a:avLst/>
        </a:prstGeom>
      </xdr:spPr>
      <xdr:txBody>
        <a:bodyPr vert="horz" wrap="square" lIns="91440" tIns="45720" rIns="91440" bIns="45720" rtlCol="0" anchor="ctr">
          <a:normAutofit/>
        </a:bodyPr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ts val="1900"/>
            </a:lnSpc>
          </a:pPr>
          <a:r>
            <a:rPr lang="en-US">
              <a:solidFill>
                <a:srgbClr val="434343"/>
              </a:solidFill>
              <a:latin typeface="Segoe UI" panose="020B0502040204020203" pitchFamily="34" charset="0"/>
              <a:ea typeface="Open Sans" panose="020B0604020202020204" charset="0"/>
              <a:cs typeface="Segoe UI" panose="020B0502040204020203" pitchFamily="34" charset="0"/>
            </a:rPr>
            <a:t>6.ii. Limite de Crédito</a:t>
          </a:r>
          <a:endParaRPr lang="en-US" baseline="0">
            <a:solidFill>
              <a:srgbClr val="434343"/>
            </a:solidFill>
            <a:latin typeface="Segoe UI" panose="020B0502040204020203" pitchFamily="34" charset="0"/>
            <a:ea typeface="Open Sans" panose="020B0604020202020204" charset="0"/>
            <a:cs typeface="Segoe UI" panose="020B0502040204020203" pitchFamily="34" charset="0"/>
          </a:endParaRPr>
        </a:p>
      </xdr:txBody>
    </xdr:sp>
    <xdr:clientData/>
  </xdr:twoCellAnchor>
  <xdr:twoCellAnchor editAs="oneCell">
    <xdr:from>
      <xdr:col>0</xdr:col>
      <xdr:colOff>285750</xdr:colOff>
      <xdr:row>2</xdr:row>
      <xdr:rowOff>38100</xdr:rowOff>
    </xdr:from>
    <xdr:to>
      <xdr:col>8</xdr:col>
      <xdr:colOff>448950</xdr:colOff>
      <xdr:row>3</xdr:row>
      <xdr:rowOff>142875</xdr:rowOff>
    </xdr:to>
    <xdr:sp macro="" textlink="">
      <xdr:nvSpPr>
        <xdr:cNvPr id="8" name="Title Placeholder 1">
          <a:extLst>
            <a:ext uri="{FF2B5EF4-FFF2-40B4-BE49-F238E27FC236}">
              <a16:creationId xmlns:a16="http://schemas.microsoft.com/office/drawing/2014/main" id="{BE366139-BCEA-4BAE-A73C-8F2624A81F4A}"/>
            </a:ext>
          </a:extLst>
        </xdr:cNvPr>
        <xdr:cNvSpPr txBox="1">
          <a:spLocks/>
        </xdr:cNvSpPr>
      </xdr:nvSpPr>
      <xdr:spPr>
        <a:xfrm>
          <a:off x="285750" y="381000"/>
          <a:ext cx="5040000" cy="276225"/>
        </a:xfrm>
        <a:prstGeom prst="rect">
          <a:avLst/>
        </a:prstGeom>
      </xdr:spPr>
      <xdr:txBody>
        <a:bodyPr vert="horz" wrap="square" lIns="91440" tIns="45720" rIns="91440" bIns="45720" rtlCol="0" anchor="ctr">
          <a:normAutofit/>
        </a:bodyPr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ts val="1100"/>
            </a:lnSpc>
          </a:pPr>
          <a:r>
            <a:rPr lang="en-US" sz="1100">
              <a:solidFill>
                <a:srgbClr val="6ADBD9"/>
              </a:solidFill>
              <a:latin typeface="Segoe UI" panose="020B0502040204020203" pitchFamily="34" charset="0"/>
              <a:ea typeface="Open Sans" panose="020B0604020202020204" charset="0"/>
              <a:cs typeface="Segoe UI" panose="020B0502040204020203" pitchFamily="34" charset="0"/>
            </a:rPr>
            <a:t>BANCO DE DADOS EM .TXT</a:t>
          </a:r>
          <a:endParaRPr lang="en-US" sz="1100">
            <a:solidFill>
              <a:srgbClr val="434343"/>
            </a:solidFill>
            <a:latin typeface="Segoe UI" panose="020B0502040204020203" pitchFamily="34" charset="0"/>
            <a:ea typeface="Open Sans" panose="020B0604020202020204" charset="0"/>
            <a:cs typeface="Segoe UI" panose="020B0502040204020203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579751</xdr:colOff>
      <xdr:row>25</xdr:row>
      <xdr:rowOff>30452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99F1D395-F656-49F3-A96C-39E411603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85351" cy="4078577"/>
        </a:xfrm>
        <a:prstGeom prst="rect">
          <a:avLst/>
        </a:prstGeom>
      </xdr:spPr>
    </xdr:pic>
    <xdr:clientData/>
  </xdr:twoCellAnchor>
  <xdr:twoCellAnchor>
    <xdr:from>
      <xdr:col>0</xdr:col>
      <xdr:colOff>400049</xdr:colOff>
      <xdr:row>8</xdr:row>
      <xdr:rowOff>38099</xdr:rowOff>
    </xdr:from>
    <xdr:to>
      <xdr:col>11</xdr:col>
      <xdr:colOff>104774</xdr:colOff>
      <xdr:row>18</xdr:row>
      <xdr:rowOff>41980</xdr:rowOff>
    </xdr:to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0F61F989-AD27-4844-AEF5-7C4457E58251}"/>
            </a:ext>
          </a:extLst>
        </xdr:cNvPr>
        <xdr:cNvSpPr txBox="1"/>
      </xdr:nvSpPr>
      <xdr:spPr>
        <a:xfrm>
          <a:off x="400049" y="1333499"/>
          <a:ext cx="6410325" cy="162313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pt-BR" sz="800" b="1">
              <a:solidFill>
                <a:schemeClr val="tx1">
                  <a:lumMod val="75000"/>
                  <a:lumOff val="25000"/>
                </a:schemeClr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# Aponta diretório onde estão as base de dados (troque por seu diretório de dados, </a:t>
          </a:r>
          <a:r>
            <a:rPr lang="pt-BR" sz="800" b="1">
              <a:solidFill>
                <a:srgbClr val="FF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em vermelho</a:t>
          </a:r>
          <a:r>
            <a:rPr lang="pt-BR" sz="800" b="1">
              <a:solidFill>
                <a:schemeClr val="tx1">
                  <a:lumMod val="75000"/>
                  <a:lumOff val="25000"/>
                </a:schemeClr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)</a:t>
          </a:r>
        </a:p>
        <a:p>
          <a:r>
            <a:rPr lang="pt-BR" sz="800">
              <a:solidFill>
                <a:schemeClr val="tx1">
                  <a:lumMod val="75000"/>
                  <a:lumOff val="25000"/>
                </a:schemeClr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setwd("</a:t>
          </a:r>
          <a:r>
            <a:rPr lang="pt-BR" sz="800">
              <a:solidFill>
                <a:srgbClr val="FF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C:/_Ayu/0-Fia/_2020/_Disciplinas/Analise_Exploratoria</a:t>
          </a:r>
          <a:r>
            <a:rPr lang="pt-BR" sz="800">
              <a:solidFill>
                <a:schemeClr val="tx1">
                  <a:lumMod val="75000"/>
                  <a:lumOff val="25000"/>
                </a:schemeClr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")</a:t>
          </a:r>
        </a:p>
        <a:p>
          <a:endParaRPr lang="pt-BR" sz="800">
            <a:solidFill>
              <a:schemeClr val="tx1">
                <a:lumMod val="75000"/>
                <a:lumOff val="25000"/>
              </a:schemeClr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r>
            <a:rPr lang="pt-BR" sz="800" b="1">
              <a:solidFill>
                <a:schemeClr val="tx1">
                  <a:lumMod val="75000"/>
                  <a:lumOff val="25000"/>
                </a:schemeClr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# Mostra</a:t>
          </a:r>
          <a:r>
            <a:rPr lang="pt-BR" sz="800" b="1" baseline="0">
              <a:solidFill>
                <a:schemeClr val="tx1">
                  <a:lumMod val="75000"/>
                  <a:lumOff val="25000"/>
                </a:schemeClr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 onde os dados estão apontados</a:t>
          </a:r>
        </a:p>
        <a:p>
          <a:r>
            <a:rPr lang="pt-BR" sz="800">
              <a:solidFill>
                <a:schemeClr val="tx1">
                  <a:lumMod val="75000"/>
                  <a:lumOff val="25000"/>
                </a:schemeClr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getwd()</a:t>
          </a:r>
        </a:p>
        <a:p>
          <a:endParaRPr lang="pt-BR" sz="800">
            <a:solidFill>
              <a:schemeClr val="tx1">
                <a:lumMod val="75000"/>
                <a:lumOff val="25000"/>
              </a:schemeClr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r>
            <a:rPr lang="pt-BR" sz="800" b="1">
              <a:solidFill>
                <a:schemeClr val="tx1">
                  <a:lumMod val="75000"/>
                  <a:lumOff val="25000"/>
                </a:schemeClr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# Leitura das bases em .txt dos Exercícios para Casa</a:t>
          </a:r>
        </a:p>
        <a:p>
          <a:r>
            <a:rPr lang="pt-BR" sz="800">
              <a:solidFill>
                <a:schemeClr val="tx1">
                  <a:lumMod val="75000"/>
                  <a:lumOff val="25000"/>
                </a:schemeClr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dados_6i = read.table("Companhia_MB.txt", header = TRUE, sep = "\t", dec = ".")</a:t>
          </a:r>
        </a:p>
        <a:p>
          <a:r>
            <a:rPr lang="pt-BR" sz="800">
              <a:solidFill>
                <a:schemeClr val="tx1">
                  <a:lumMod val="75000"/>
                  <a:lumOff val="25000"/>
                </a:schemeClr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dados_6ii = read.table("Venda_Veiculos.txt", header = TRUE, sep = "\t", dec = ".")</a:t>
          </a:r>
        </a:p>
        <a:p>
          <a:r>
            <a:rPr lang="pt-BR" sz="800">
              <a:solidFill>
                <a:schemeClr val="tx1">
                  <a:lumMod val="75000"/>
                  <a:lumOff val="25000"/>
                </a:schemeClr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dados_6iii = read.table("Limite_Credito.txt", header = TRUE, sep = "\t", dec = ".")</a:t>
          </a:r>
        </a:p>
        <a:p>
          <a:r>
            <a:rPr lang="pt-BR" sz="800">
              <a:solidFill>
                <a:schemeClr val="tx1">
                  <a:lumMod val="75000"/>
                  <a:lumOff val="25000"/>
                </a:schemeClr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dados_6iv = read.table("Churn_Telecom.txt", header = TRUE, sep = "\t", dec = ".")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579751</xdr:colOff>
      <xdr:row>25</xdr:row>
      <xdr:rowOff>30452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FF785D38-159E-4C88-AFA8-9E9D7D063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85351" cy="407857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0</xdr:row>
      <xdr:rowOff>114301</xdr:rowOff>
    </xdr:from>
    <xdr:to>
      <xdr:col>4</xdr:col>
      <xdr:colOff>415333</xdr:colOff>
      <xdr:row>2</xdr:row>
      <xdr:rowOff>57151</xdr:rowOff>
    </xdr:to>
    <xdr:sp macro="" textlink="">
      <xdr:nvSpPr>
        <xdr:cNvPr id="2" name="Title Placeholder 1">
          <a:extLst>
            <a:ext uri="{FF2B5EF4-FFF2-40B4-BE49-F238E27FC236}">
              <a16:creationId xmlns:a16="http://schemas.microsoft.com/office/drawing/2014/main" id="{3A9B415D-79C8-4107-927C-A41C223AFE41}"/>
            </a:ext>
          </a:extLst>
        </xdr:cNvPr>
        <xdr:cNvSpPr txBox="1">
          <a:spLocks/>
        </xdr:cNvSpPr>
      </xdr:nvSpPr>
      <xdr:spPr>
        <a:xfrm>
          <a:off x="285750" y="114301"/>
          <a:ext cx="5040000" cy="285750"/>
        </a:xfrm>
        <a:prstGeom prst="rect">
          <a:avLst/>
        </a:prstGeom>
      </xdr:spPr>
      <xdr:txBody>
        <a:bodyPr vert="horz" wrap="square" lIns="91440" tIns="45720" rIns="91440" bIns="45720" rtlCol="0" anchor="ctr">
          <a:normAutofit/>
        </a:bodyPr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ts val="1900"/>
            </a:lnSpc>
          </a:pPr>
          <a:r>
            <a:rPr lang="en-US">
              <a:solidFill>
                <a:srgbClr val="434343"/>
              </a:solidFill>
              <a:latin typeface="Segoe UI" panose="020B0502040204020203" pitchFamily="34" charset="0"/>
              <a:ea typeface="Open Sans" panose="020B0604020202020204" charset="0"/>
              <a:cs typeface="Segoe UI" panose="020B0502040204020203" pitchFamily="34" charset="0"/>
            </a:rPr>
            <a:t>6.i. People</a:t>
          </a:r>
          <a:r>
            <a:rPr lang="en-US" baseline="0">
              <a:solidFill>
                <a:srgbClr val="434343"/>
              </a:solidFill>
              <a:latin typeface="Segoe UI" panose="020B0502040204020203" pitchFamily="34" charset="0"/>
              <a:ea typeface="Open Sans" panose="020B0604020202020204" charset="0"/>
              <a:cs typeface="Segoe UI" panose="020B0502040204020203" pitchFamily="34" charset="0"/>
            </a:rPr>
            <a:t> Analytics</a:t>
          </a:r>
        </a:p>
      </xdr:txBody>
    </xdr:sp>
    <xdr:clientData/>
  </xdr:twoCellAnchor>
  <xdr:twoCellAnchor editAs="oneCell">
    <xdr:from>
      <xdr:col>0</xdr:col>
      <xdr:colOff>114300</xdr:colOff>
      <xdr:row>3</xdr:row>
      <xdr:rowOff>104776</xdr:rowOff>
    </xdr:from>
    <xdr:to>
      <xdr:col>8</xdr:col>
      <xdr:colOff>997323</xdr:colOff>
      <xdr:row>6</xdr:row>
      <xdr:rowOff>66675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4F1531F8-E0FF-4553-A44D-C2B211F5A144}"/>
            </a:ext>
          </a:extLst>
        </xdr:cNvPr>
        <xdr:cNvSpPr/>
      </xdr:nvSpPr>
      <xdr:spPr>
        <a:xfrm>
          <a:off x="114300" y="790576"/>
          <a:ext cx="11029950" cy="476249"/>
        </a:xfrm>
        <a:prstGeom prst="rect">
          <a:avLst/>
        </a:prstGeom>
        <a:gradFill>
          <a:gsLst>
            <a:gs pos="0">
              <a:srgbClr val="6ADBD9"/>
            </a:gs>
            <a:gs pos="50000">
              <a:srgbClr val="6ADBD9"/>
            </a:gs>
            <a:gs pos="100000">
              <a:srgbClr val="66CCFF"/>
            </a:gs>
          </a:gsLst>
          <a:path path="circle">
            <a:fillToRect l="100000" t="100000"/>
          </a:path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pt-BR" sz="1800" b="0" i="0" u="none" strike="noStrike" kern="1200" cap="none" spc="0" normalizeH="0" baseline="0">
            <a:ln>
              <a:noFill/>
            </a:ln>
            <a:solidFill>
              <a:prstClr val="white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161925</xdr:colOff>
      <xdr:row>3</xdr:row>
      <xdr:rowOff>104775</xdr:rowOff>
    </xdr:from>
    <xdr:to>
      <xdr:col>8</xdr:col>
      <xdr:colOff>940173</xdr:colOff>
      <xdr:row>6</xdr:row>
      <xdr:rowOff>57150</xdr:rowOff>
    </xdr:to>
    <xdr:sp macro="" textlink="">
      <xdr:nvSpPr>
        <xdr:cNvPr id="4" name="Text Box 5">
          <a:extLst>
            <a:ext uri="{FF2B5EF4-FFF2-40B4-BE49-F238E27FC236}">
              <a16:creationId xmlns:a16="http://schemas.microsoft.com/office/drawing/2014/main" id="{EE0652EF-B27E-4BE0-B4FE-398DEF96D1EC}"/>
            </a:ext>
          </a:extLst>
        </xdr:cNvPr>
        <xdr:cNvSpPr txBox="1">
          <a:spLocks noChangeArrowheads="1"/>
        </xdr:cNvSpPr>
      </xdr:nvSpPr>
      <xdr:spPr bwMode="auto">
        <a:xfrm>
          <a:off x="161925" y="790575"/>
          <a:ext cx="10925175" cy="46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>
            <a:lnSpc>
              <a:spcPts val="1800"/>
            </a:lnSpc>
            <a:buFontTx/>
            <a:buNone/>
            <a:defRPr/>
          </a:pPr>
          <a:r>
            <a:rPr lang="pt-BR" sz="1100" kern="1200">
              <a:solidFill>
                <a:schemeClr val="bg1"/>
              </a:solidFill>
              <a:latin typeface="Segoe UI" panose="020B0502040204020203" pitchFamily="34" charset="0"/>
              <a:ea typeface="Open Sans" panose="020B0606030504020204" pitchFamily="34" charset="0"/>
              <a:cs typeface="Segoe UI" panose="020B0502040204020203" pitchFamily="34" charset="0"/>
            </a:rPr>
            <a:t>a) Descreva de forma sucinta (com apoio de gráficos e tabelas) o perfil sócio demográfico dos funcionários da companhia MB, com base nas suas conclusões da análise univariada.</a:t>
          </a:r>
        </a:p>
      </xdr:txBody>
    </xdr:sp>
    <xdr:clientData/>
  </xdr:twoCellAnchor>
  <xdr:twoCellAnchor editAs="oneCell">
    <xdr:from>
      <xdr:col>0</xdr:col>
      <xdr:colOff>114300</xdr:colOff>
      <xdr:row>61</xdr:row>
      <xdr:rowOff>104776</xdr:rowOff>
    </xdr:from>
    <xdr:to>
      <xdr:col>8</xdr:col>
      <xdr:colOff>997323</xdr:colOff>
      <xdr:row>64</xdr:row>
      <xdr:rowOff>66676</xdr:rowOff>
    </xdr:to>
    <xdr:sp macro="" textlink="">
      <xdr:nvSpPr>
        <xdr:cNvPr id="5" name="Retângulo 4">
          <a:extLst>
            <a:ext uri="{FF2B5EF4-FFF2-40B4-BE49-F238E27FC236}">
              <a16:creationId xmlns:a16="http://schemas.microsoft.com/office/drawing/2014/main" id="{FB7C364F-EDCD-4076-9211-A0A929C2569A}"/>
            </a:ext>
          </a:extLst>
        </xdr:cNvPr>
        <xdr:cNvSpPr/>
      </xdr:nvSpPr>
      <xdr:spPr>
        <a:xfrm>
          <a:off x="114300" y="10048876"/>
          <a:ext cx="11029950" cy="476249"/>
        </a:xfrm>
        <a:prstGeom prst="rect">
          <a:avLst/>
        </a:prstGeom>
        <a:gradFill>
          <a:gsLst>
            <a:gs pos="0">
              <a:srgbClr val="6ADBD9"/>
            </a:gs>
            <a:gs pos="50000">
              <a:srgbClr val="6ADBD9"/>
            </a:gs>
            <a:gs pos="100000">
              <a:srgbClr val="66CCFF"/>
            </a:gs>
          </a:gsLst>
          <a:path path="circle">
            <a:fillToRect l="100000" t="100000"/>
          </a:path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pt-BR" sz="1800" b="0" i="0" u="none" strike="noStrike" kern="1200" cap="none" spc="0" normalizeH="0" baseline="0">
            <a:ln>
              <a:noFill/>
            </a:ln>
            <a:solidFill>
              <a:prstClr val="white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161925</xdr:colOff>
      <xdr:row>61</xdr:row>
      <xdr:rowOff>104775</xdr:rowOff>
    </xdr:from>
    <xdr:to>
      <xdr:col>8</xdr:col>
      <xdr:colOff>940173</xdr:colOff>
      <xdr:row>64</xdr:row>
      <xdr:rowOff>57151</xdr:rowOff>
    </xdr:to>
    <xdr:sp macro="" textlink="">
      <xdr:nvSpPr>
        <xdr:cNvPr id="6" name="Text Box 5">
          <a:extLst>
            <a:ext uri="{FF2B5EF4-FFF2-40B4-BE49-F238E27FC236}">
              <a16:creationId xmlns:a16="http://schemas.microsoft.com/office/drawing/2014/main" id="{227C8AC6-32DD-4D45-ACE4-70E0FBEF3956}"/>
            </a:ext>
          </a:extLst>
        </xdr:cNvPr>
        <xdr:cNvSpPr txBox="1">
          <a:spLocks noChangeArrowheads="1"/>
        </xdr:cNvSpPr>
      </xdr:nvSpPr>
      <xdr:spPr bwMode="auto">
        <a:xfrm>
          <a:off x="161925" y="10048875"/>
          <a:ext cx="10925175" cy="46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>
            <a:lnSpc>
              <a:spcPts val="1800"/>
            </a:lnSpc>
            <a:buFontTx/>
            <a:buNone/>
            <a:defRPr/>
          </a:pPr>
          <a:r>
            <a:rPr lang="pt-BR" sz="1100" kern="1200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b) Pode-se afirmar que os funcionários que têm maior grau de instrução ganham mais? Justifique.</a:t>
          </a:r>
        </a:p>
      </xdr:txBody>
    </xdr:sp>
    <xdr:clientData/>
  </xdr:twoCellAnchor>
  <xdr:twoCellAnchor editAs="oneCell">
    <xdr:from>
      <xdr:col>0</xdr:col>
      <xdr:colOff>114300</xdr:colOff>
      <xdr:row>101</xdr:row>
      <xdr:rowOff>104776</xdr:rowOff>
    </xdr:from>
    <xdr:to>
      <xdr:col>8</xdr:col>
      <xdr:colOff>997323</xdr:colOff>
      <xdr:row>104</xdr:row>
      <xdr:rowOff>66675</xdr:rowOff>
    </xdr:to>
    <xdr:sp macro="" textlink="">
      <xdr:nvSpPr>
        <xdr:cNvPr id="7" name="Retângulo 6">
          <a:extLst>
            <a:ext uri="{FF2B5EF4-FFF2-40B4-BE49-F238E27FC236}">
              <a16:creationId xmlns:a16="http://schemas.microsoft.com/office/drawing/2014/main" id="{DE7368CB-5DDB-400C-B3E9-3B879121B011}"/>
            </a:ext>
          </a:extLst>
        </xdr:cNvPr>
        <xdr:cNvSpPr/>
      </xdr:nvSpPr>
      <xdr:spPr>
        <a:xfrm>
          <a:off x="114300" y="15020926"/>
          <a:ext cx="11029950" cy="476249"/>
        </a:xfrm>
        <a:prstGeom prst="rect">
          <a:avLst/>
        </a:prstGeom>
        <a:gradFill>
          <a:gsLst>
            <a:gs pos="0">
              <a:srgbClr val="6ADBD9"/>
            </a:gs>
            <a:gs pos="50000">
              <a:srgbClr val="6ADBD9"/>
            </a:gs>
            <a:gs pos="100000">
              <a:srgbClr val="66CCFF"/>
            </a:gs>
          </a:gsLst>
          <a:path path="circle">
            <a:fillToRect l="100000" t="100000"/>
          </a:path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pt-BR" sz="1800" b="0" i="0" u="none" strike="noStrike" kern="1200" cap="none" spc="0" normalizeH="0" baseline="0">
            <a:ln>
              <a:noFill/>
            </a:ln>
            <a:solidFill>
              <a:prstClr val="white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161925</xdr:colOff>
      <xdr:row>101</xdr:row>
      <xdr:rowOff>104775</xdr:rowOff>
    </xdr:from>
    <xdr:to>
      <xdr:col>8</xdr:col>
      <xdr:colOff>940173</xdr:colOff>
      <xdr:row>104</xdr:row>
      <xdr:rowOff>57150</xdr:rowOff>
    </xdr:to>
    <xdr:sp macro="" textlink="">
      <xdr:nvSpPr>
        <xdr:cNvPr id="8" name="Text Box 5">
          <a:extLst>
            <a:ext uri="{FF2B5EF4-FFF2-40B4-BE49-F238E27FC236}">
              <a16:creationId xmlns:a16="http://schemas.microsoft.com/office/drawing/2014/main" id="{0E27DD15-0F04-4F47-927D-E584F4389D84}"/>
            </a:ext>
          </a:extLst>
        </xdr:cNvPr>
        <xdr:cNvSpPr txBox="1">
          <a:spLocks noChangeArrowheads="1"/>
        </xdr:cNvSpPr>
      </xdr:nvSpPr>
      <xdr:spPr bwMode="auto">
        <a:xfrm>
          <a:off x="161925" y="15020925"/>
          <a:ext cx="10925175" cy="46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>
            <a:lnSpc>
              <a:spcPts val="1800"/>
            </a:lnSpc>
            <a:buFontTx/>
            <a:buNone/>
            <a:defRPr/>
          </a:pPr>
          <a:r>
            <a:rPr lang="pt-BR" sz="1100" kern="1200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c) O grau de instrução sofre alguma influência de acordo com o estado civil? Justifique.</a:t>
          </a:r>
        </a:p>
      </xdr:txBody>
    </xdr:sp>
    <xdr:clientData/>
  </xdr:twoCellAnchor>
  <xdr:twoCellAnchor editAs="oneCell">
    <xdr:from>
      <xdr:col>0</xdr:col>
      <xdr:colOff>114300</xdr:colOff>
      <xdr:row>132</xdr:row>
      <xdr:rowOff>104776</xdr:rowOff>
    </xdr:from>
    <xdr:to>
      <xdr:col>8</xdr:col>
      <xdr:colOff>997323</xdr:colOff>
      <xdr:row>135</xdr:row>
      <xdr:rowOff>66675</xdr:rowOff>
    </xdr:to>
    <xdr:sp macro="" textlink="">
      <xdr:nvSpPr>
        <xdr:cNvPr id="9" name="Retângulo 8">
          <a:extLst>
            <a:ext uri="{FF2B5EF4-FFF2-40B4-BE49-F238E27FC236}">
              <a16:creationId xmlns:a16="http://schemas.microsoft.com/office/drawing/2014/main" id="{6FC605E3-3AC0-4CDE-AE00-738844E624A4}"/>
            </a:ext>
          </a:extLst>
        </xdr:cNvPr>
        <xdr:cNvSpPr/>
      </xdr:nvSpPr>
      <xdr:spPr>
        <a:xfrm>
          <a:off x="114300" y="19659601"/>
          <a:ext cx="11029950" cy="476249"/>
        </a:xfrm>
        <a:prstGeom prst="rect">
          <a:avLst/>
        </a:prstGeom>
        <a:gradFill>
          <a:gsLst>
            <a:gs pos="0">
              <a:srgbClr val="6ADBD9"/>
            </a:gs>
            <a:gs pos="50000">
              <a:srgbClr val="6ADBD9"/>
            </a:gs>
            <a:gs pos="100000">
              <a:srgbClr val="66CCFF"/>
            </a:gs>
          </a:gsLst>
          <a:path path="circle">
            <a:fillToRect l="100000" t="100000"/>
          </a:path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pt-BR" sz="1800" b="0" i="0" u="none" strike="noStrike" kern="1200" cap="none" spc="0" normalizeH="0" baseline="0">
            <a:ln>
              <a:noFill/>
            </a:ln>
            <a:solidFill>
              <a:prstClr val="white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161925</xdr:colOff>
      <xdr:row>132</xdr:row>
      <xdr:rowOff>104775</xdr:rowOff>
    </xdr:from>
    <xdr:to>
      <xdr:col>8</xdr:col>
      <xdr:colOff>940173</xdr:colOff>
      <xdr:row>135</xdr:row>
      <xdr:rowOff>57150</xdr:rowOff>
    </xdr:to>
    <xdr:sp macro="" textlink="">
      <xdr:nvSpPr>
        <xdr:cNvPr id="10" name="Text Box 5">
          <a:extLst>
            <a:ext uri="{FF2B5EF4-FFF2-40B4-BE49-F238E27FC236}">
              <a16:creationId xmlns:a16="http://schemas.microsoft.com/office/drawing/2014/main" id="{F2D30FD8-E135-44F0-A5FC-81D8EEE1D765}"/>
            </a:ext>
          </a:extLst>
        </xdr:cNvPr>
        <xdr:cNvSpPr txBox="1">
          <a:spLocks noChangeArrowheads="1"/>
        </xdr:cNvSpPr>
      </xdr:nvSpPr>
      <xdr:spPr bwMode="auto">
        <a:xfrm>
          <a:off x="161925" y="19659600"/>
          <a:ext cx="10925175" cy="46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>
            <a:lnSpc>
              <a:spcPts val="1800"/>
            </a:lnSpc>
            <a:buFontTx/>
            <a:buNone/>
            <a:defRPr/>
          </a:pPr>
          <a:r>
            <a:rPr lang="pt-BR" sz="1100" kern="1200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d) Pode-se afirmar que os funcionários mais velhos ganham mais? Justifique.</a:t>
          </a:r>
        </a:p>
      </xdr:txBody>
    </xdr:sp>
    <xdr:clientData/>
  </xdr:twoCellAnchor>
  <xdr:twoCellAnchor editAs="oneCell">
    <xdr:from>
      <xdr:col>0</xdr:col>
      <xdr:colOff>114300</xdr:colOff>
      <xdr:row>176</xdr:row>
      <xdr:rowOff>104776</xdr:rowOff>
    </xdr:from>
    <xdr:to>
      <xdr:col>8</xdr:col>
      <xdr:colOff>997323</xdr:colOff>
      <xdr:row>179</xdr:row>
      <xdr:rowOff>66676</xdr:rowOff>
    </xdr:to>
    <xdr:sp macro="" textlink="">
      <xdr:nvSpPr>
        <xdr:cNvPr id="11" name="Retângulo 10">
          <a:extLst>
            <a:ext uri="{FF2B5EF4-FFF2-40B4-BE49-F238E27FC236}">
              <a16:creationId xmlns:a16="http://schemas.microsoft.com/office/drawing/2014/main" id="{248DFAAC-9F6A-4D03-A641-101ACAED1BB4}"/>
            </a:ext>
          </a:extLst>
        </xdr:cNvPr>
        <xdr:cNvSpPr/>
      </xdr:nvSpPr>
      <xdr:spPr>
        <a:xfrm>
          <a:off x="114300" y="24803101"/>
          <a:ext cx="11029950" cy="476249"/>
        </a:xfrm>
        <a:prstGeom prst="rect">
          <a:avLst/>
        </a:prstGeom>
        <a:gradFill>
          <a:gsLst>
            <a:gs pos="0">
              <a:srgbClr val="6ADBD9"/>
            </a:gs>
            <a:gs pos="50000">
              <a:srgbClr val="6ADBD9"/>
            </a:gs>
            <a:gs pos="100000">
              <a:srgbClr val="66CCFF"/>
            </a:gs>
          </a:gsLst>
          <a:path path="circle">
            <a:fillToRect l="100000" t="100000"/>
          </a:path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pt-BR" sz="1800" b="0" i="0" u="none" strike="noStrike" kern="1200" cap="none" spc="0" normalizeH="0" baseline="0">
            <a:ln>
              <a:noFill/>
            </a:ln>
            <a:solidFill>
              <a:prstClr val="white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161925</xdr:colOff>
      <xdr:row>176</xdr:row>
      <xdr:rowOff>104775</xdr:rowOff>
    </xdr:from>
    <xdr:to>
      <xdr:col>8</xdr:col>
      <xdr:colOff>940173</xdr:colOff>
      <xdr:row>179</xdr:row>
      <xdr:rowOff>57151</xdr:rowOff>
    </xdr:to>
    <xdr:sp macro="" textlink="">
      <xdr:nvSpPr>
        <xdr:cNvPr id="12" name="Text Box 5">
          <a:extLst>
            <a:ext uri="{FF2B5EF4-FFF2-40B4-BE49-F238E27FC236}">
              <a16:creationId xmlns:a16="http://schemas.microsoft.com/office/drawing/2014/main" id="{B92ACC3C-B014-4B3B-BD68-AB48251A4430}"/>
            </a:ext>
          </a:extLst>
        </xdr:cNvPr>
        <xdr:cNvSpPr txBox="1">
          <a:spLocks noChangeArrowheads="1"/>
        </xdr:cNvSpPr>
      </xdr:nvSpPr>
      <xdr:spPr bwMode="auto">
        <a:xfrm>
          <a:off x="161925" y="24803100"/>
          <a:ext cx="10925175" cy="46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>
            <a:lnSpc>
              <a:spcPts val="1800"/>
            </a:lnSpc>
            <a:buFontTx/>
            <a:buNone/>
            <a:defRPr/>
          </a:pPr>
          <a:r>
            <a:rPr lang="pt-BR" sz="1100" kern="1200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e) Funcionários comentaram que, devido ao mercado estar muito competitivo e na capital os salários serem maiores do que em outras regiões, quem vem da capital (a empresa é sediada na capital) ganha mais do que em outras regiões de procedência. Isso é verdade? Justifique.</a:t>
          </a:r>
        </a:p>
      </xdr:txBody>
    </xdr:sp>
    <xdr:clientData/>
  </xdr:twoCellAnchor>
  <xdr:twoCellAnchor editAs="oneCell">
    <xdr:from>
      <xdr:col>0</xdr:col>
      <xdr:colOff>114300</xdr:colOff>
      <xdr:row>208</xdr:row>
      <xdr:rowOff>104776</xdr:rowOff>
    </xdr:from>
    <xdr:to>
      <xdr:col>8</xdr:col>
      <xdr:colOff>997323</xdr:colOff>
      <xdr:row>211</xdr:row>
      <xdr:rowOff>66675</xdr:rowOff>
    </xdr:to>
    <xdr:sp macro="" textlink="">
      <xdr:nvSpPr>
        <xdr:cNvPr id="13" name="Retângulo 12">
          <a:extLst>
            <a:ext uri="{FF2B5EF4-FFF2-40B4-BE49-F238E27FC236}">
              <a16:creationId xmlns:a16="http://schemas.microsoft.com/office/drawing/2014/main" id="{92A14CE1-D9C6-4DE7-8872-5A55420CCB29}"/>
            </a:ext>
          </a:extLst>
        </xdr:cNvPr>
        <xdr:cNvSpPr/>
      </xdr:nvSpPr>
      <xdr:spPr>
        <a:xfrm>
          <a:off x="114300" y="29775151"/>
          <a:ext cx="11029950" cy="476249"/>
        </a:xfrm>
        <a:prstGeom prst="rect">
          <a:avLst/>
        </a:prstGeom>
        <a:gradFill>
          <a:gsLst>
            <a:gs pos="0">
              <a:srgbClr val="6ADBD9"/>
            </a:gs>
            <a:gs pos="50000">
              <a:srgbClr val="6ADBD9"/>
            </a:gs>
            <a:gs pos="100000">
              <a:srgbClr val="66CCFF"/>
            </a:gs>
          </a:gsLst>
          <a:path path="circle">
            <a:fillToRect l="100000" t="100000"/>
          </a:path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pt-BR" sz="1800" b="0" i="0" u="none" strike="noStrike" kern="1200" cap="none" spc="0" normalizeH="0" baseline="0">
            <a:ln>
              <a:noFill/>
            </a:ln>
            <a:solidFill>
              <a:prstClr val="white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161925</xdr:colOff>
      <xdr:row>208</xdr:row>
      <xdr:rowOff>104775</xdr:rowOff>
    </xdr:from>
    <xdr:to>
      <xdr:col>8</xdr:col>
      <xdr:colOff>940173</xdr:colOff>
      <xdr:row>211</xdr:row>
      <xdr:rowOff>57150</xdr:rowOff>
    </xdr:to>
    <xdr:sp macro="" textlink="">
      <xdr:nvSpPr>
        <xdr:cNvPr id="14" name="Text Box 5">
          <a:extLst>
            <a:ext uri="{FF2B5EF4-FFF2-40B4-BE49-F238E27FC236}">
              <a16:creationId xmlns:a16="http://schemas.microsoft.com/office/drawing/2014/main" id="{7454087B-3126-4EE0-A5C9-5234FE197DBD}"/>
            </a:ext>
          </a:extLst>
        </xdr:cNvPr>
        <xdr:cNvSpPr txBox="1">
          <a:spLocks noChangeArrowheads="1"/>
        </xdr:cNvSpPr>
      </xdr:nvSpPr>
      <xdr:spPr bwMode="auto">
        <a:xfrm>
          <a:off x="161925" y="29775150"/>
          <a:ext cx="10925175" cy="46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>
            <a:lnSpc>
              <a:spcPts val="1800"/>
            </a:lnSpc>
            <a:buFontTx/>
            <a:buNone/>
            <a:defRPr/>
          </a:pPr>
          <a:r>
            <a:rPr lang="pt-BR" sz="1100" kern="1200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f) Também comentaram que o RH da empresa está trazendo gente mais nova de outras regiões (a empresa é sediada na capital). Isso é verdade? Justifique.</a:t>
          </a:r>
        </a:p>
      </xdr:txBody>
    </xdr:sp>
    <xdr:clientData/>
  </xdr:twoCellAnchor>
  <xdr:twoCellAnchor editAs="oneCell">
    <xdr:from>
      <xdr:col>0</xdr:col>
      <xdr:colOff>114300</xdr:colOff>
      <xdr:row>262</xdr:row>
      <xdr:rowOff>104776</xdr:rowOff>
    </xdr:from>
    <xdr:to>
      <xdr:col>8</xdr:col>
      <xdr:colOff>997323</xdr:colOff>
      <xdr:row>265</xdr:row>
      <xdr:rowOff>66675</xdr:rowOff>
    </xdr:to>
    <xdr:sp macro="" textlink="">
      <xdr:nvSpPr>
        <xdr:cNvPr id="15" name="Retângulo 14">
          <a:extLst>
            <a:ext uri="{FF2B5EF4-FFF2-40B4-BE49-F238E27FC236}">
              <a16:creationId xmlns:a16="http://schemas.microsoft.com/office/drawing/2014/main" id="{659A0B36-6240-45ED-BFEF-036C38D1A382}"/>
            </a:ext>
          </a:extLst>
        </xdr:cNvPr>
        <xdr:cNvSpPr/>
      </xdr:nvSpPr>
      <xdr:spPr>
        <a:xfrm>
          <a:off x="114300" y="34918651"/>
          <a:ext cx="11029950" cy="476249"/>
        </a:xfrm>
        <a:prstGeom prst="rect">
          <a:avLst/>
        </a:prstGeom>
        <a:gradFill>
          <a:gsLst>
            <a:gs pos="0">
              <a:srgbClr val="6ADBD9"/>
            </a:gs>
            <a:gs pos="50000">
              <a:srgbClr val="6ADBD9"/>
            </a:gs>
            <a:gs pos="100000">
              <a:srgbClr val="66CCFF"/>
            </a:gs>
          </a:gsLst>
          <a:path path="circle">
            <a:fillToRect l="100000" t="100000"/>
          </a:path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pt-BR" sz="1800" b="0" i="0" u="none" strike="noStrike" kern="1200" cap="none" spc="0" normalizeH="0" baseline="0">
            <a:ln>
              <a:noFill/>
            </a:ln>
            <a:solidFill>
              <a:prstClr val="white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161925</xdr:colOff>
      <xdr:row>262</xdr:row>
      <xdr:rowOff>104775</xdr:rowOff>
    </xdr:from>
    <xdr:to>
      <xdr:col>8</xdr:col>
      <xdr:colOff>940173</xdr:colOff>
      <xdr:row>265</xdr:row>
      <xdr:rowOff>57150</xdr:rowOff>
    </xdr:to>
    <xdr:sp macro="" textlink="">
      <xdr:nvSpPr>
        <xdr:cNvPr id="16" name="Text Box 5">
          <a:extLst>
            <a:ext uri="{FF2B5EF4-FFF2-40B4-BE49-F238E27FC236}">
              <a16:creationId xmlns:a16="http://schemas.microsoft.com/office/drawing/2014/main" id="{381A2B8A-1979-4148-8C46-8095C8F6C7CE}"/>
            </a:ext>
          </a:extLst>
        </xdr:cNvPr>
        <xdr:cNvSpPr txBox="1">
          <a:spLocks noChangeArrowheads="1"/>
        </xdr:cNvSpPr>
      </xdr:nvSpPr>
      <xdr:spPr bwMode="auto">
        <a:xfrm>
          <a:off x="161925" y="34918650"/>
          <a:ext cx="10925175" cy="46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>
            <a:lnSpc>
              <a:spcPts val="1800"/>
            </a:lnSpc>
            <a:buFontTx/>
            <a:buNone/>
            <a:defRPr/>
          </a:pPr>
          <a:r>
            <a:rPr lang="pt-BR" sz="1100" kern="1200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g) O departamento de RH afirmou que as pessoas mais velhas têm mais filhos, e isso encarece as despesas da empresa relacionadas ao plano de saúde. É possível fazer essa afirmação? Justifique.</a:t>
          </a:r>
        </a:p>
      </xdr:txBody>
    </xdr:sp>
    <xdr:clientData/>
  </xdr:twoCellAnchor>
  <xdr:twoCellAnchor editAs="oneCell">
    <xdr:from>
      <xdr:col>0</xdr:col>
      <xdr:colOff>114300</xdr:colOff>
      <xdr:row>308</xdr:row>
      <xdr:rowOff>104776</xdr:rowOff>
    </xdr:from>
    <xdr:to>
      <xdr:col>8</xdr:col>
      <xdr:colOff>997323</xdr:colOff>
      <xdr:row>311</xdr:row>
      <xdr:rowOff>66676</xdr:rowOff>
    </xdr:to>
    <xdr:sp macro="" textlink="">
      <xdr:nvSpPr>
        <xdr:cNvPr id="17" name="Retângulo 16">
          <a:extLst>
            <a:ext uri="{FF2B5EF4-FFF2-40B4-BE49-F238E27FC236}">
              <a16:creationId xmlns:a16="http://schemas.microsoft.com/office/drawing/2014/main" id="{D5CA30F4-9010-4931-B583-BD682ECB3DB1}"/>
            </a:ext>
          </a:extLst>
        </xdr:cNvPr>
        <xdr:cNvSpPr/>
      </xdr:nvSpPr>
      <xdr:spPr>
        <a:xfrm>
          <a:off x="114300" y="39547801"/>
          <a:ext cx="11029950" cy="476249"/>
        </a:xfrm>
        <a:prstGeom prst="rect">
          <a:avLst/>
        </a:prstGeom>
        <a:gradFill>
          <a:gsLst>
            <a:gs pos="0">
              <a:srgbClr val="6ADBD9"/>
            </a:gs>
            <a:gs pos="50000">
              <a:srgbClr val="6ADBD9"/>
            </a:gs>
            <a:gs pos="100000">
              <a:srgbClr val="66CCFF"/>
            </a:gs>
          </a:gsLst>
          <a:path path="circle">
            <a:fillToRect l="100000" t="100000"/>
          </a:path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pt-BR" sz="1800" b="0" i="0" u="none" strike="noStrike" kern="1200" cap="none" spc="0" normalizeH="0" baseline="0">
            <a:ln>
              <a:noFill/>
            </a:ln>
            <a:solidFill>
              <a:prstClr val="white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161925</xdr:colOff>
      <xdr:row>308</xdr:row>
      <xdr:rowOff>104775</xdr:rowOff>
    </xdr:from>
    <xdr:to>
      <xdr:col>8</xdr:col>
      <xdr:colOff>940173</xdr:colOff>
      <xdr:row>311</xdr:row>
      <xdr:rowOff>57151</xdr:rowOff>
    </xdr:to>
    <xdr:sp macro="" textlink="">
      <xdr:nvSpPr>
        <xdr:cNvPr id="18" name="Text Box 5">
          <a:extLst>
            <a:ext uri="{FF2B5EF4-FFF2-40B4-BE49-F238E27FC236}">
              <a16:creationId xmlns:a16="http://schemas.microsoft.com/office/drawing/2014/main" id="{3DAB8339-E2E7-40C5-8A3D-32DDBCF4EC53}"/>
            </a:ext>
          </a:extLst>
        </xdr:cNvPr>
        <xdr:cNvSpPr txBox="1">
          <a:spLocks noChangeArrowheads="1"/>
        </xdr:cNvSpPr>
      </xdr:nvSpPr>
      <xdr:spPr bwMode="auto">
        <a:xfrm>
          <a:off x="161925" y="39547800"/>
          <a:ext cx="10925175" cy="46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>
            <a:lnSpc>
              <a:spcPts val="1800"/>
            </a:lnSpc>
            <a:buFontTx/>
            <a:buNone/>
            <a:defRPr/>
          </a:pPr>
          <a:r>
            <a:rPr lang="pt-BR" sz="1100" b="0" kern="1200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h) Existe alguma informação pertinente da análise de base de funcionários da companhia MB que valeria citar para finalizar a análise de dados?</a:t>
          </a:r>
        </a:p>
      </xdr:txBody>
    </xdr:sp>
    <xdr:clientData/>
  </xdr:twoCellAnchor>
  <xdr:oneCellAnchor>
    <xdr:from>
      <xdr:col>0</xdr:col>
      <xdr:colOff>209550</xdr:colOff>
      <xdr:row>7</xdr:row>
      <xdr:rowOff>133351</xdr:rowOff>
    </xdr:from>
    <xdr:ext cx="1440000" cy="266699"/>
    <xdr:sp macro="" textlink="">
      <xdr:nvSpPr>
        <xdr:cNvPr id="19" name="Retângulo 18">
          <a:extLst>
            <a:ext uri="{FF2B5EF4-FFF2-40B4-BE49-F238E27FC236}">
              <a16:creationId xmlns:a16="http://schemas.microsoft.com/office/drawing/2014/main" id="{99FE063C-C734-4573-8D74-67F47F9F01A3}"/>
            </a:ext>
          </a:extLst>
        </xdr:cNvPr>
        <xdr:cNvSpPr/>
      </xdr:nvSpPr>
      <xdr:spPr>
        <a:xfrm>
          <a:off x="209550" y="1504951"/>
          <a:ext cx="1440000" cy="266699"/>
        </a:xfrm>
        <a:prstGeom prst="rect">
          <a:avLst/>
        </a:prstGeom>
        <a:solidFill>
          <a:srgbClr val="6ADBD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kern="1200">
              <a:solidFill>
                <a:schemeClr val="lt1"/>
              </a:solidFill>
              <a:effectLst/>
              <a:latin typeface="Open Sans" panose="020B0606030504020204"/>
              <a:ea typeface="+mn-ea"/>
              <a:cs typeface="+mn-cs"/>
            </a:rPr>
            <a:t>Tabelas e gráficos</a:t>
          </a:r>
          <a:endParaRPr lang="en-US" sz="1100" b="0">
            <a:effectLst/>
            <a:latin typeface="Open Sans" panose="020B0606030504020204"/>
          </a:endParaRPr>
        </a:p>
      </xdr:txBody>
    </xdr:sp>
    <xdr:clientData/>
  </xdr:oneCellAnchor>
  <xdr:oneCellAnchor>
    <xdr:from>
      <xdr:col>0</xdr:col>
      <xdr:colOff>209549</xdr:colOff>
      <xdr:row>50</xdr:row>
      <xdr:rowOff>0</xdr:rowOff>
    </xdr:from>
    <xdr:ext cx="1440000" cy="266699"/>
    <xdr:sp macro="" textlink="">
      <xdr:nvSpPr>
        <xdr:cNvPr id="20" name="Retângulo 19">
          <a:extLst>
            <a:ext uri="{FF2B5EF4-FFF2-40B4-BE49-F238E27FC236}">
              <a16:creationId xmlns:a16="http://schemas.microsoft.com/office/drawing/2014/main" id="{AA8F815B-34A6-4EB4-AD1F-D021C4E05985}"/>
            </a:ext>
          </a:extLst>
        </xdr:cNvPr>
        <xdr:cNvSpPr/>
      </xdr:nvSpPr>
      <xdr:spPr>
        <a:xfrm>
          <a:off x="209549" y="8229600"/>
          <a:ext cx="1440000" cy="266699"/>
        </a:xfrm>
        <a:prstGeom prst="rect">
          <a:avLst/>
        </a:prstGeom>
        <a:solidFill>
          <a:srgbClr val="6ADBD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kern="1200">
              <a:solidFill>
                <a:schemeClr val="lt1"/>
              </a:solidFill>
              <a:effectLst/>
              <a:latin typeface="Open Sans" panose="020B0606030504020204"/>
              <a:ea typeface="+mn-ea"/>
              <a:cs typeface="+mn-cs"/>
            </a:rPr>
            <a:t>Conclusões</a:t>
          </a:r>
          <a:endParaRPr lang="en-US" sz="1100" b="0">
            <a:effectLst/>
            <a:latin typeface="Open Sans" panose="020B0606030504020204"/>
          </a:endParaRPr>
        </a:p>
      </xdr:txBody>
    </xdr:sp>
    <xdr:clientData/>
  </xdr:oneCellAnchor>
  <xdr:oneCellAnchor>
    <xdr:from>
      <xdr:col>0</xdr:col>
      <xdr:colOff>209549</xdr:colOff>
      <xdr:row>65</xdr:row>
      <xdr:rowOff>133351</xdr:rowOff>
    </xdr:from>
    <xdr:ext cx="1440000" cy="266699"/>
    <xdr:sp macro="" textlink="">
      <xdr:nvSpPr>
        <xdr:cNvPr id="21" name="Retângulo 20">
          <a:extLst>
            <a:ext uri="{FF2B5EF4-FFF2-40B4-BE49-F238E27FC236}">
              <a16:creationId xmlns:a16="http://schemas.microsoft.com/office/drawing/2014/main" id="{1C5FBCBF-82B1-4F5B-B974-14B565CDD709}"/>
            </a:ext>
          </a:extLst>
        </xdr:cNvPr>
        <xdr:cNvSpPr/>
      </xdr:nvSpPr>
      <xdr:spPr>
        <a:xfrm>
          <a:off x="209549" y="10763251"/>
          <a:ext cx="1440000" cy="266699"/>
        </a:xfrm>
        <a:prstGeom prst="rect">
          <a:avLst/>
        </a:prstGeom>
        <a:solidFill>
          <a:srgbClr val="6ADBD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kern="1200">
              <a:solidFill>
                <a:schemeClr val="lt1"/>
              </a:solidFill>
              <a:effectLst/>
              <a:latin typeface="Open Sans" panose="020B0606030504020204"/>
              <a:ea typeface="+mn-ea"/>
              <a:cs typeface="+mn-cs"/>
            </a:rPr>
            <a:t>Tabelas e gráficos</a:t>
          </a:r>
          <a:endParaRPr lang="en-US" sz="1100" b="0">
            <a:effectLst/>
            <a:latin typeface="Open Sans" panose="020B0606030504020204"/>
          </a:endParaRPr>
        </a:p>
      </xdr:txBody>
    </xdr:sp>
    <xdr:clientData/>
  </xdr:oneCellAnchor>
  <xdr:oneCellAnchor>
    <xdr:from>
      <xdr:col>0</xdr:col>
      <xdr:colOff>209549</xdr:colOff>
      <xdr:row>105</xdr:row>
      <xdr:rowOff>133351</xdr:rowOff>
    </xdr:from>
    <xdr:ext cx="1440000" cy="266699"/>
    <xdr:sp macro="" textlink="">
      <xdr:nvSpPr>
        <xdr:cNvPr id="22" name="Retângulo 21">
          <a:extLst>
            <a:ext uri="{FF2B5EF4-FFF2-40B4-BE49-F238E27FC236}">
              <a16:creationId xmlns:a16="http://schemas.microsoft.com/office/drawing/2014/main" id="{BAD038A4-E5DD-4F2E-BFBA-0EC53D159DD9}"/>
            </a:ext>
          </a:extLst>
        </xdr:cNvPr>
        <xdr:cNvSpPr/>
      </xdr:nvSpPr>
      <xdr:spPr>
        <a:xfrm>
          <a:off x="209549" y="15735301"/>
          <a:ext cx="1440000" cy="266699"/>
        </a:xfrm>
        <a:prstGeom prst="rect">
          <a:avLst/>
        </a:prstGeom>
        <a:solidFill>
          <a:srgbClr val="6ADBD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kern="1200">
              <a:solidFill>
                <a:schemeClr val="lt1"/>
              </a:solidFill>
              <a:effectLst/>
              <a:latin typeface="Open Sans" panose="020B0606030504020204"/>
              <a:ea typeface="+mn-ea"/>
              <a:cs typeface="+mn-cs"/>
            </a:rPr>
            <a:t>Tabelas e gráficos</a:t>
          </a:r>
        </a:p>
      </xdr:txBody>
    </xdr:sp>
    <xdr:clientData/>
  </xdr:oneCellAnchor>
  <xdr:oneCellAnchor>
    <xdr:from>
      <xdr:col>0</xdr:col>
      <xdr:colOff>209549</xdr:colOff>
      <xdr:row>121</xdr:row>
      <xdr:rowOff>133351</xdr:rowOff>
    </xdr:from>
    <xdr:ext cx="1440000" cy="266699"/>
    <xdr:sp macro="" textlink="">
      <xdr:nvSpPr>
        <xdr:cNvPr id="23" name="Retângulo 22">
          <a:extLst>
            <a:ext uri="{FF2B5EF4-FFF2-40B4-BE49-F238E27FC236}">
              <a16:creationId xmlns:a16="http://schemas.microsoft.com/office/drawing/2014/main" id="{6F12C831-A29C-4040-878D-30B768D81B01}"/>
            </a:ext>
          </a:extLst>
        </xdr:cNvPr>
        <xdr:cNvSpPr/>
      </xdr:nvSpPr>
      <xdr:spPr>
        <a:xfrm>
          <a:off x="209549" y="18316576"/>
          <a:ext cx="1440000" cy="266699"/>
        </a:xfrm>
        <a:prstGeom prst="rect">
          <a:avLst/>
        </a:prstGeom>
        <a:solidFill>
          <a:srgbClr val="6ADBD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kern="1200">
              <a:solidFill>
                <a:schemeClr val="lt1"/>
              </a:solidFill>
              <a:effectLst/>
              <a:latin typeface="Open Sans" panose="020B0606030504020204"/>
              <a:ea typeface="+mn-ea"/>
              <a:cs typeface="+mn-cs"/>
            </a:rPr>
            <a:t>Conclusões</a:t>
          </a:r>
          <a:endParaRPr lang="en-US" sz="1100" b="0">
            <a:effectLst/>
            <a:latin typeface="Open Sans" panose="020B0606030504020204"/>
          </a:endParaRPr>
        </a:p>
      </xdr:txBody>
    </xdr:sp>
    <xdr:clientData/>
  </xdr:oneCellAnchor>
  <xdr:oneCellAnchor>
    <xdr:from>
      <xdr:col>0</xdr:col>
      <xdr:colOff>209549</xdr:colOff>
      <xdr:row>136</xdr:row>
      <xdr:rowOff>133351</xdr:rowOff>
    </xdr:from>
    <xdr:ext cx="1440000" cy="266699"/>
    <xdr:sp macro="" textlink="">
      <xdr:nvSpPr>
        <xdr:cNvPr id="24" name="Retângulo 23">
          <a:extLst>
            <a:ext uri="{FF2B5EF4-FFF2-40B4-BE49-F238E27FC236}">
              <a16:creationId xmlns:a16="http://schemas.microsoft.com/office/drawing/2014/main" id="{079095E5-B823-43EA-ACAF-1C17F3A5C4DF}"/>
            </a:ext>
          </a:extLst>
        </xdr:cNvPr>
        <xdr:cNvSpPr/>
      </xdr:nvSpPr>
      <xdr:spPr>
        <a:xfrm>
          <a:off x="209549" y="20373976"/>
          <a:ext cx="1440000" cy="266699"/>
        </a:xfrm>
        <a:prstGeom prst="rect">
          <a:avLst/>
        </a:prstGeom>
        <a:solidFill>
          <a:srgbClr val="6ADBD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kern="1200">
              <a:solidFill>
                <a:schemeClr val="lt1"/>
              </a:solidFill>
              <a:effectLst/>
              <a:latin typeface="Open Sans" panose="020B0606030504020204"/>
              <a:ea typeface="+mn-ea"/>
              <a:cs typeface="+mn-cs"/>
            </a:rPr>
            <a:t>Tabelas e gráficos</a:t>
          </a:r>
        </a:p>
      </xdr:txBody>
    </xdr:sp>
    <xdr:clientData/>
  </xdr:oneCellAnchor>
  <xdr:oneCellAnchor>
    <xdr:from>
      <xdr:col>0</xdr:col>
      <xdr:colOff>209549</xdr:colOff>
      <xdr:row>165</xdr:row>
      <xdr:rowOff>133351</xdr:rowOff>
    </xdr:from>
    <xdr:ext cx="1440000" cy="266699"/>
    <xdr:sp macro="" textlink="">
      <xdr:nvSpPr>
        <xdr:cNvPr id="25" name="Retângulo 24">
          <a:extLst>
            <a:ext uri="{FF2B5EF4-FFF2-40B4-BE49-F238E27FC236}">
              <a16:creationId xmlns:a16="http://schemas.microsoft.com/office/drawing/2014/main" id="{8D75661C-FBEC-46C9-8DA1-1A38A244AAE1}"/>
            </a:ext>
          </a:extLst>
        </xdr:cNvPr>
        <xdr:cNvSpPr/>
      </xdr:nvSpPr>
      <xdr:spPr>
        <a:xfrm>
          <a:off x="209549" y="23460076"/>
          <a:ext cx="1440000" cy="266699"/>
        </a:xfrm>
        <a:prstGeom prst="rect">
          <a:avLst/>
        </a:prstGeom>
        <a:solidFill>
          <a:srgbClr val="6ADBD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kern="1200">
              <a:solidFill>
                <a:schemeClr val="lt1"/>
              </a:solidFill>
              <a:effectLst/>
              <a:latin typeface="Open Sans" panose="020B0606030504020204"/>
              <a:ea typeface="+mn-ea"/>
              <a:cs typeface="+mn-cs"/>
            </a:rPr>
            <a:t>Conclusões</a:t>
          </a:r>
          <a:endParaRPr lang="en-US" sz="1100" b="0">
            <a:effectLst/>
            <a:latin typeface="Open Sans" panose="020B0606030504020204"/>
          </a:endParaRPr>
        </a:p>
      </xdr:txBody>
    </xdr:sp>
    <xdr:clientData/>
  </xdr:oneCellAnchor>
  <xdr:oneCellAnchor>
    <xdr:from>
      <xdr:col>0</xdr:col>
      <xdr:colOff>209549</xdr:colOff>
      <xdr:row>180</xdr:row>
      <xdr:rowOff>133351</xdr:rowOff>
    </xdr:from>
    <xdr:ext cx="1440000" cy="266699"/>
    <xdr:sp macro="" textlink="">
      <xdr:nvSpPr>
        <xdr:cNvPr id="26" name="Retângulo 25">
          <a:extLst>
            <a:ext uri="{FF2B5EF4-FFF2-40B4-BE49-F238E27FC236}">
              <a16:creationId xmlns:a16="http://schemas.microsoft.com/office/drawing/2014/main" id="{C53DC01D-198B-4453-8083-7A8FA46339C6}"/>
            </a:ext>
          </a:extLst>
        </xdr:cNvPr>
        <xdr:cNvSpPr/>
      </xdr:nvSpPr>
      <xdr:spPr>
        <a:xfrm>
          <a:off x="209549" y="25517476"/>
          <a:ext cx="1440000" cy="266699"/>
        </a:xfrm>
        <a:prstGeom prst="rect">
          <a:avLst/>
        </a:prstGeom>
        <a:solidFill>
          <a:srgbClr val="6ADBD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kern="1200">
              <a:solidFill>
                <a:schemeClr val="lt1"/>
              </a:solidFill>
              <a:effectLst/>
              <a:latin typeface="Open Sans" panose="020B0606030504020204"/>
              <a:ea typeface="+mn-ea"/>
              <a:cs typeface="+mn-cs"/>
            </a:rPr>
            <a:t>Tabelas e gráficos</a:t>
          </a:r>
        </a:p>
      </xdr:txBody>
    </xdr:sp>
    <xdr:clientData/>
  </xdr:oneCellAnchor>
  <xdr:oneCellAnchor>
    <xdr:from>
      <xdr:col>0</xdr:col>
      <xdr:colOff>209549</xdr:colOff>
      <xdr:row>212</xdr:row>
      <xdr:rowOff>133351</xdr:rowOff>
    </xdr:from>
    <xdr:ext cx="1440000" cy="266699"/>
    <xdr:sp macro="" textlink="">
      <xdr:nvSpPr>
        <xdr:cNvPr id="27" name="Retângulo 26">
          <a:extLst>
            <a:ext uri="{FF2B5EF4-FFF2-40B4-BE49-F238E27FC236}">
              <a16:creationId xmlns:a16="http://schemas.microsoft.com/office/drawing/2014/main" id="{FA38FB22-ABB2-4C41-9F90-08D983BDD350}"/>
            </a:ext>
          </a:extLst>
        </xdr:cNvPr>
        <xdr:cNvSpPr/>
      </xdr:nvSpPr>
      <xdr:spPr>
        <a:xfrm>
          <a:off x="209549" y="30489526"/>
          <a:ext cx="1440000" cy="266699"/>
        </a:xfrm>
        <a:prstGeom prst="rect">
          <a:avLst/>
        </a:prstGeom>
        <a:solidFill>
          <a:srgbClr val="6ADBD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kern="1200">
              <a:solidFill>
                <a:schemeClr val="lt1"/>
              </a:solidFill>
              <a:effectLst/>
              <a:latin typeface="Open Sans" panose="020B0606030504020204"/>
              <a:ea typeface="+mn-ea"/>
              <a:cs typeface="+mn-cs"/>
            </a:rPr>
            <a:t>Tabelas e gráficos</a:t>
          </a:r>
        </a:p>
      </xdr:txBody>
    </xdr:sp>
    <xdr:clientData/>
  </xdr:oneCellAnchor>
  <xdr:oneCellAnchor>
    <xdr:from>
      <xdr:col>0</xdr:col>
      <xdr:colOff>209549</xdr:colOff>
      <xdr:row>266</xdr:row>
      <xdr:rowOff>133351</xdr:rowOff>
    </xdr:from>
    <xdr:ext cx="1440000" cy="266699"/>
    <xdr:sp macro="" textlink="">
      <xdr:nvSpPr>
        <xdr:cNvPr id="28" name="Retângulo 27">
          <a:extLst>
            <a:ext uri="{FF2B5EF4-FFF2-40B4-BE49-F238E27FC236}">
              <a16:creationId xmlns:a16="http://schemas.microsoft.com/office/drawing/2014/main" id="{1C703475-865B-4235-A232-E8371123233C}"/>
            </a:ext>
          </a:extLst>
        </xdr:cNvPr>
        <xdr:cNvSpPr/>
      </xdr:nvSpPr>
      <xdr:spPr>
        <a:xfrm>
          <a:off x="209549" y="35633026"/>
          <a:ext cx="1440000" cy="266699"/>
        </a:xfrm>
        <a:prstGeom prst="rect">
          <a:avLst/>
        </a:prstGeom>
        <a:solidFill>
          <a:srgbClr val="6ADBD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kern="1200">
              <a:solidFill>
                <a:schemeClr val="lt1"/>
              </a:solidFill>
              <a:effectLst/>
              <a:latin typeface="Open Sans" panose="020B0606030504020204"/>
              <a:ea typeface="+mn-ea"/>
              <a:cs typeface="+mn-cs"/>
            </a:rPr>
            <a:t>Tabelas e gráficos</a:t>
          </a:r>
        </a:p>
      </xdr:txBody>
    </xdr:sp>
    <xdr:clientData/>
  </xdr:oneCellAnchor>
  <xdr:oneCellAnchor>
    <xdr:from>
      <xdr:col>0</xdr:col>
      <xdr:colOff>209549</xdr:colOff>
      <xdr:row>297</xdr:row>
      <xdr:rowOff>133351</xdr:rowOff>
    </xdr:from>
    <xdr:ext cx="1440000" cy="266699"/>
    <xdr:sp macro="" textlink="">
      <xdr:nvSpPr>
        <xdr:cNvPr id="29" name="Retângulo 28">
          <a:extLst>
            <a:ext uri="{FF2B5EF4-FFF2-40B4-BE49-F238E27FC236}">
              <a16:creationId xmlns:a16="http://schemas.microsoft.com/office/drawing/2014/main" id="{C8127D92-6C37-441D-9545-256FEC3207D7}"/>
            </a:ext>
          </a:extLst>
        </xdr:cNvPr>
        <xdr:cNvSpPr/>
      </xdr:nvSpPr>
      <xdr:spPr>
        <a:xfrm>
          <a:off x="209549" y="38376226"/>
          <a:ext cx="1440000" cy="266699"/>
        </a:xfrm>
        <a:prstGeom prst="rect">
          <a:avLst/>
        </a:prstGeom>
        <a:solidFill>
          <a:srgbClr val="6ADBD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kern="1200">
              <a:solidFill>
                <a:schemeClr val="lt1"/>
              </a:solidFill>
              <a:effectLst/>
              <a:latin typeface="Open Sans" panose="020B0606030504020204"/>
              <a:ea typeface="+mn-ea"/>
              <a:cs typeface="+mn-cs"/>
            </a:rPr>
            <a:t>Conclusões</a:t>
          </a:r>
          <a:endParaRPr lang="en-US" sz="1100" b="0">
            <a:effectLst/>
            <a:latin typeface="Open Sans" panose="020B0606030504020204"/>
          </a:endParaRPr>
        </a:p>
      </xdr:txBody>
    </xdr:sp>
    <xdr:clientData/>
  </xdr:oneCellAnchor>
  <xdr:oneCellAnchor>
    <xdr:from>
      <xdr:col>0</xdr:col>
      <xdr:colOff>209549</xdr:colOff>
      <xdr:row>312</xdr:row>
      <xdr:rowOff>133351</xdr:rowOff>
    </xdr:from>
    <xdr:ext cx="1440000" cy="266699"/>
    <xdr:sp macro="" textlink="">
      <xdr:nvSpPr>
        <xdr:cNvPr id="30" name="Retângulo 29">
          <a:extLst>
            <a:ext uri="{FF2B5EF4-FFF2-40B4-BE49-F238E27FC236}">
              <a16:creationId xmlns:a16="http://schemas.microsoft.com/office/drawing/2014/main" id="{4E48FCA3-8366-4B0A-98E9-398EE458C23D}"/>
            </a:ext>
          </a:extLst>
        </xdr:cNvPr>
        <xdr:cNvSpPr/>
      </xdr:nvSpPr>
      <xdr:spPr>
        <a:xfrm>
          <a:off x="209549" y="40262176"/>
          <a:ext cx="1440000" cy="266699"/>
        </a:xfrm>
        <a:prstGeom prst="rect">
          <a:avLst/>
        </a:prstGeom>
        <a:solidFill>
          <a:srgbClr val="6ADBD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kern="1200">
              <a:solidFill>
                <a:schemeClr val="lt1"/>
              </a:solidFill>
              <a:effectLst/>
              <a:latin typeface="Open Sans" panose="020B0606030504020204"/>
              <a:ea typeface="+mn-ea"/>
              <a:cs typeface="+mn-cs"/>
            </a:rPr>
            <a:t>Conclusões</a:t>
          </a:r>
        </a:p>
      </xdr:txBody>
    </xdr:sp>
    <xdr:clientData/>
  </xdr:oneCellAnchor>
  <xdr:oneCellAnchor>
    <xdr:from>
      <xdr:col>0</xdr:col>
      <xdr:colOff>209549</xdr:colOff>
      <xdr:row>197</xdr:row>
      <xdr:rowOff>123826</xdr:rowOff>
    </xdr:from>
    <xdr:ext cx="1440000" cy="266699"/>
    <xdr:sp macro="" textlink="">
      <xdr:nvSpPr>
        <xdr:cNvPr id="36" name="Retângulo 35">
          <a:extLst>
            <a:ext uri="{FF2B5EF4-FFF2-40B4-BE49-F238E27FC236}">
              <a16:creationId xmlns:a16="http://schemas.microsoft.com/office/drawing/2014/main" id="{2E0ED357-5E86-416C-9DB6-B998EEAE33E3}"/>
            </a:ext>
          </a:extLst>
        </xdr:cNvPr>
        <xdr:cNvSpPr/>
      </xdr:nvSpPr>
      <xdr:spPr>
        <a:xfrm>
          <a:off x="209549" y="28251151"/>
          <a:ext cx="1440000" cy="266699"/>
        </a:xfrm>
        <a:prstGeom prst="rect">
          <a:avLst/>
        </a:prstGeom>
        <a:solidFill>
          <a:srgbClr val="6ADBD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kern="1200">
              <a:solidFill>
                <a:schemeClr val="lt1"/>
              </a:solidFill>
              <a:effectLst/>
              <a:latin typeface="Open Sans" panose="020B0606030504020204"/>
              <a:ea typeface="+mn-ea"/>
              <a:cs typeface="+mn-cs"/>
            </a:rPr>
            <a:t>Conclusões</a:t>
          </a:r>
          <a:endParaRPr lang="en-US" sz="1100" b="0">
            <a:effectLst/>
            <a:latin typeface="Open Sans" panose="020B0606030504020204"/>
          </a:endParaRPr>
        </a:p>
      </xdr:txBody>
    </xdr:sp>
    <xdr:clientData/>
  </xdr:oneCellAnchor>
  <xdr:oneCellAnchor>
    <xdr:from>
      <xdr:col>0</xdr:col>
      <xdr:colOff>209549</xdr:colOff>
      <xdr:row>90</xdr:row>
      <xdr:rowOff>133351</xdr:rowOff>
    </xdr:from>
    <xdr:ext cx="1440000" cy="266699"/>
    <xdr:sp macro="" textlink="">
      <xdr:nvSpPr>
        <xdr:cNvPr id="43" name="Retângulo 42">
          <a:extLst>
            <a:ext uri="{FF2B5EF4-FFF2-40B4-BE49-F238E27FC236}">
              <a16:creationId xmlns:a16="http://schemas.microsoft.com/office/drawing/2014/main" id="{15A1AC67-F18E-4052-853C-417F40315D9A}"/>
            </a:ext>
          </a:extLst>
        </xdr:cNvPr>
        <xdr:cNvSpPr/>
      </xdr:nvSpPr>
      <xdr:spPr>
        <a:xfrm>
          <a:off x="209549" y="13506451"/>
          <a:ext cx="1440000" cy="266699"/>
        </a:xfrm>
        <a:prstGeom prst="rect">
          <a:avLst/>
        </a:prstGeom>
        <a:solidFill>
          <a:srgbClr val="6ADBD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kern="1200">
              <a:solidFill>
                <a:schemeClr val="lt1"/>
              </a:solidFill>
              <a:effectLst/>
              <a:latin typeface="Open Sans" panose="020B0606030504020204"/>
              <a:ea typeface="+mn-ea"/>
              <a:cs typeface="+mn-cs"/>
            </a:rPr>
            <a:t>Conclusões</a:t>
          </a:r>
          <a:endParaRPr lang="en-US" sz="1100" b="0">
            <a:effectLst/>
            <a:latin typeface="Open Sans" panose="020B0606030504020204"/>
          </a:endParaRPr>
        </a:p>
      </xdr:txBody>
    </xdr:sp>
    <xdr:clientData/>
  </xdr:oneCellAnchor>
  <xdr:oneCellAnchor>
    <xdr:from>
      <xdr:col>0</xdr:col>
      <xdr:colOff>209549</xdr:colOff>
      <xdr:row>251</xdr:row>
      <xdr:rowOff>133351</xdr:rowOff>
    </xdr:from>
    <xdr:ext cx="1440000" cy="266699"/>
    <xdr:sp macro="" textlink="">
      <xdr:nvSpPr>
        <xdr:cNvPr id="44" name="Retângulo 43">
          <a:extLst>
            <a:ext uri="{FF2B5EF4-FFF2-40B4-BE49-F238E27FC236}">
              <a16:creationId xmlns:a16="http://schemas.microsoft.com/office/drawing/2014/main" id="{6457840A-5147-453B-B435-94FFACA28E20}"/>
            </a:ext>
          </a:extLst>
        </xdr:cNvPr>
        <xdr:cNvSpPr/>
      </xdr:nvSpPr>
      <xdr:spPr>
        <a:xfrm>
          <a:off x="209549" y="33404176"/>
          <a:ext cx="1440000" cy="266699"/>
        </a:xfrm>
        <a:prstGeom prst="rect">
          <a:avLst/>
        </a:prstGeom>
        <a:solidFill>
          <a:srgbClr val="6ADBD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kern="1200">
              <a:solidFill>
                <a:schemeClr val="lt1"/>
              </a:solidFill>
              <a:effectLst/>
              <a:latin typeface="Open Sans" panose="020B0606030504020204"/>
              <a:ea typeface="+mn-ea"/>
              <a:cs typeface="+mn-cs"/>
            </a:rPr>
            <a:t>Conclusões</a:t>
          </a:r>
          <a:endParaRPr lang="en-US" sz="1100" b="0">
            <a:effectLst/>
            <a:latin typeface="Open Sans" panose="020B0606030504020204"/>
          </a:endParaRPr>
        </a:p>
      </xdr:txBody>
    </xdr:sp>
    <xdr:clientData/>
  </xdr:oneCellAnchor>
  <xdr:twoCellAnchor>
    <xdr:from>
      <xdr:col>17</xdr:col>
      <xdr:colOff>28574</xdr:colOff>
      <xdr:row>16</xdr:row>
      <xdr:rowOff>66676</xdr:rowOff>
    </xdr:from>
    <xdr:to>
      <xdr:col>19</xdr:col>
      <xdr:colOff>1162050</xdr:colOff>
      <xdr:row>33</xdr:row>
      <xdr:rowOff>57150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AE99E5E2-7F1F-4EFB-A722-CEDF77C951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9526</xdr:colOff>
      <xdr:row>33</xdr:row>
      <xdr:rowOff>142875</xdr:rowOff>
    </xdr:from>
    <xdr:to>
      <xdr:col>19</xdr:col>
      <xdr:colOff>1143000</xdr:colOff>
      <xdr:row>50</xdr:row>
      <xdr:rowOff>112059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9" name="Gráfico 38">
              <a:extLst>
                <a:ext uri="{FF2B5EF4-FFF2-40B4-BE49-F238E27FC236}">
                  <a16:creationId xmlns:a16="http://schemas.microsoft.com/office/drawing/2014/main" id="{DBF90196-190F-40D2-A6C9-C7EF078426D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83576" y="5800725"/>
              <a:ext cx="2905124" cy="273143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19</xdr:col>
      <xdr:colOff>1228725</xdr:colOff>
      <xdr:row>16</xdr:row>
      <xdr:rowOff>66675</xdr:rowOff>
    </xdr:from>
    <xdr:to>
      <xdr:col>22</xdr:col>
      <xdr:colOff>19050</xdr:colOff>
      <xdr:row>33</xdr:row>
      <xdr:rowOff>66675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10C07BB3-C89B-4078-9819-87A36C4CD7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1190627</xdr:colOff>
      <xdr:row>33</xdr:row>
      <xdr:rowOff>142875</xdr:rowOff>
    </xdr:from>
    <xdr:to>
      <xdr:col>21</xdr:col>
      <xdr:colOff>1209676</xdr:colOff>
      <xdr:row>50</xdr:row>
      <xdr:rowOff>100852</xdr:rowOff>
    </xdr:to>
    <xdr:graphicFrame macro="">
      <xdr:nvGraphicFramePr>
        <xdr:cNvPr id="46" name="Gráfico 45">
          <a:extLst>
            <a:ext uri="{FF2B5EF4-FFF2-40B4-BE49-F238E27FC236}">
              <a16:creationId xmlns:a16="http://schemas.microsoft.com/office/drawing/2014/main" id="{B4E6B1B5-A78C-42D6-BD41-E05D21B636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80962</xdr:colOff>
      <xdr:row>16</xdr:row>
      <xdr:rowOff>66675</xdr:rowOff>
    </xdr:from>
    <xdr:to>
      <xdr:col>24</xdr:col>
      <xdr:colOff>0</xdr:colOff>
      <xdr:row>33</xdr:row>
      <xdr:rowOff>85725</xdr:rowOff>
    </xdr:to>
    <xdr:graphicFrame macro="">
      <xdr:nvGraphicFramePr>
        <xdr:cNvPr id="47" name="Gráfico 46">
          <a:extLst>
            <a:ext uri="{FF2B5EF4-FFF2-40B4-BE49-F238E27FC236}">
              <a16:creationId xmlns:a16="http://schemas.microsoft.com/office/drawing/2014/main" id="{967FA39A-4555-41F1-96A4-883120E131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52387</xdr:colOff>
      <xdr:row>33</xdr:row>
      <xdr:rowOff>152400</xdr:rowOff>
    </xdr:from>
    <xdr:to>
      <xdr:col>24</xdr:col>
      <xdr:colOff>0</xdr:colOff>
      <xdr:row>50</xdr:row>
      <xdr:rowOff>100853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8" name="Gráfico 47">
              <a:extLst>
                <a:ext uri="{FF2B5EF4-FFF2-40B4-BE49-F238E27FC236}">
                  <a16:creationId xmlns:a16="http://schemas.microsoft.com/office/drawing/2014/main" id="{DAF81CDA-613A-4069-B545-882E741B107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427112" y="5810250"/>
              <a:ext cx="2366963" cy="271070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25</xdr:col>
      <xdr:colOff>397808</xdr:colOff>
      <xdr:row>23</xdr:row>
      <xdr:rowOff>101973</xdr:rowOff>
    </xdr:from>
    <xdr:to>
      <xdr:col>29</xdr:col>
      <xdr:colOff>128867</xdr:colOff>
      <xdr:row>41</xdr:row>
      <xdr:rowOff>10085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E6D3C26A-3E20-469C-B3D2-4482C3822C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481853</xdr:colOff>
      <xdr:row>66</xdr:row>
      <xdr:rowOff>1118</xdr:rowOff>
    </xdr:from>
    <xdr:to>
      <xdr:col>8</xdr:col>
      <xdr:colOff>1367118</xdr:colOff>
      <xdr:row>88</xdr:row>
      <xdr:rowOff>123264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34F8A3AB-A18D-4A92-B5F6-5ED274902A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364191</xdr:colOff>
      <xdr:row>106</xdr:row>
      <xdr:rowOff>23531</xdr:rowOff>
    </xdr:from>
    <xdr:to>
      <xdr:col>9</xdr:col>
      <xdr:colOff>28014</xdr:colOff>
      <xdr:row>121</xdr:row>
      <xdr:rowOff>21290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00A7D8D0-C482-4AB9-9DFE-8FF1E7028E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420220</xdr:colOff>
      <xdr:row>138</xdr:row>
      <xdr:rowOff>146797</xdr:rowOff>
    </xdr:from>
    <xdr:to>
      <xdr:col>8</xdr:col>
      <xdr:colOff>1703294</xdr:colOff>
      <xdr:row>150</xdr:row>
      <xdr:rowOff>123265</xdr:rowOff>
    </xdr:to>
    <xdr:graphicFrame macro="">
      <xdr:nvGraphicFramePr>
        <xdr:cNvPr id="45" name="Gráfico 44">
          <a:extLst>
            <a:ext uri="{FF2B5EF4-FFF2-40B4-BE49-F238E27FC236}">
              <a16:creationId xmlns:a16="http://schemas.microsoft.com/office/drawing/2014/main" id="{7C68BDAE-32A7-4B09-A11A-970CAEF933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425824</xdr:colOff>
      <xdr:row>151</xdr:row>
      <xdr:rowOff>112060</xdr:rowOff>
    </xdr:from>
    <xdr:to>
      <xdr:col>8</xdr:col>
      <xdr:colOff>1708898</xdr:colOff>
      <xdr:row>164</xdr:row>
      <xdr:rowOff>10086</xdr:rowOff>
    </xdr:to>
    <xdr:graphicFrame macro="">
      <xdr:nvGraphicFramePr>
        <xdr:cNvPr id="49" name="Gráfico 48">
          <a:extLst>
            <a:ext uri="{FF2B5EF4-FFF2-40B4-BE49-F238E27FC236}">
              <a16:creationId xmlns:a16="http://schemas.microsoft.com/office/drawing/2014/main" id="{7E69794E-A724-498A-935D-267BCB01D4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</xdr:col>
      <xdr:colOff>818030</xdr:colOff>
      <xdr:row>180</xdr:row>
      <xdr:rowOff>113179</xdr:rowOff>
    </xdr:from>
    <xdr:to>
      <xdr:col>8</xdr:col>
      <xdr:colOff>627530</xdr:colOff>
      <xdr:row>196</xdr:row>
      <xdr:rowOff>10085</xdr:rowOff>
    </xdr:to>
    <xdr:graphicFrame macro="">
      <xdr:nvGraphicFramePr>
        <xdr:cNvPr id="50" name="Gráfico 49">
          <a:extLst>
            <a:ext uri="{FF2B5EF4-FFF2-40B4-BE49-F238E27FC236}">
              <a16:creationId xmlns:a16="http://schemas.microsoft.com/office/drawing/2014/main" id="{8176364E-AE65-4D99-9287-55FBDC4511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</xdr:col>
      <xdr:colOff>1285875</xdr:colOff>
      <xdr:row>234</xdr:row>
      <xdr:rowOff>66675</xdr:rowOff>
    </xdr:from>
    <xdr:to>
      <xdr:col>11</xdr:col>
      <xdr:colOff>228600</xdr:colOff>
      <xdr:row>251</xdr:row>
      <xdr:rowOff>57150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F8CBE026-9850-4F51-9541-BA0627A638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252412</xdr:colOff>
      <xdr:row>269</xdr:row>
      <xdr:rowOff>133350</xdr:rowOff>
    </xdr:from>
    <xdr:to>
      <xdr:col>14</xdr:col>
      <xdr:colOff>4762</xdr:colOff>
      <xdr:row>286</xdr:row>
      <xdr:rowOff>114300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02C91CDA-C82E-464E-AAFF-3F81C305BF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195262</xdr:colOff>
      <xdr:row>315</xdr:row>
      <xdr:rowOff>152400</xdr:rowOff>
    </xdr:from>
    <xdr:to>
      <xdr:col>14</xdr:col>
      <xdr:colOff>690562</xdr:colOff>
      <xdr:row>332</xdr:row>
      <xdr:rowOff>142875</xdr:rowOff>
    </xdr:to>
    <xdr:graphicFrame macro="">
      <xdr:nvGraphicFramePr>
        <xdr:cNvPr id="51" name="Gráfico 50">
          <a:extLst>
            <a:ext uri="{FF2B5EF4-FFF2-40B4-BE49-F238E27FC236}">
              <a16:creationId xmlns:a16="http://schemas.microsoft.com/office/drawing/2014/main" id="{3D124E9F-586F-4B45-AE2D-C212DC25E3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3</xdr:row>
      <xdr:rowOff>104776</xdr:rowOff>
    </xdr:from>
    <xdr:to>
      <xdr:col>7</xdr:col>
      <xdr:colOff>295275</xdr:colOff>
      <xdr:row>6</xdr:row>
      <xdr:rowOff>66675</xdr:rowOff>
    </xdr:to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951452C3-5019-487F-9C6D-C5BB62381916}"/>
            </a:ext>
          </a:extLst>
        </xdr:cNvPr>
        <xdr:cNvSpPr/>
      </xdr:nvSpPr>
      <xdr:spPr>
        <a:xfrm>
          <a:off x="114300" y="790576"/>
          <a:ext cx="11029950" cy="476249"/>
        </a:xfrm>
        <a:prstGeom prst="rect">
          <a:avLst/>
        </a:prstGeom>
        <a:gradFill>
          <a:gsLst>
            <a:gs pos="0">
              <a:srgbClr val="6ADBD9"/>
            </a:gs>
            <a:gs pos="50000">
              <a:srgbClr val="6ADBD9"/>
            </a:gs>
            <a:gs pos="100000">
              <a:srgbClr val="66CCFF"/>
            </a:gs>
          </a:gsLst>
          <a:path path="circle">
            <a:fillToRect l="100000" t="100000"/>
          </a:path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pt-BR" sz="1800" b="0" i="0" u="none" strike="noStrike" kern="1200" cap="none" spc="0" normalizeH="0" baseline="0">
            <a:ln>
              <a:noFill/>
            </a:ln>
            <a:solidFill>
              <a:prstClr val="white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161925</xdr:colOff>
      <xdr:row>3</xdr:row>
      <xdr:rowOff>104775</xdr:rowOff>
    </xdr:from>
    <xdr:to>
      <xdr:col>7</xdr:col>
      <xdr:colOff>238125</xdr:colOff>
      <xdr:row>6</xdr:row>
      <xdr:rowOff>57150</xdr:rowOff>
    </xdr:to>
    <xdr:sp macro="" textlink="">
      <xdr:nvSpPr>
        <xdr:cNvPr id="5" name="Text Box 5">
          <a:extLst>
            <a:ext uri="{FF2B5EF4-FFF2-40B4-BE49-F238E27FC236}">
              <a16:creationId xmlns:a16="http://schemas.microsoft.com/office/drawing/2014/main" id="{9BBCBB76-EC4C-4551-8C1F-2759B773D5D2}"/>
            </a:ext>
          </a:extLst>
        </xdr:cNvPr>
        <xdr:cNvSpPr txBox="1">
          <a:spLocks noChangeArrowheads="1"/>
        </xdr:cNvSpPr>
      </xdr:nvSpPr>
      <xdr:spPr bwMode="auto">
        <a:xfrm>
          <a:off x="161925" y="790575"/>
          <a:ext cx="10925175" cy="46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>
            <a:lnSpc>
              <a:spcPts val="1800"/>
            </a:lnSpc>
            <a:buFontTx/>
            <a:buNone/>
            <a:defRPr/>
          </a:pPr>
          <a:r>
            <a:rPr lang="pt-BR" sz="1100" kern="1200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a) Qual a idade dos clientes presentes no banco de dados? Como está a distribuição da idade? Existem clientes com idades discrepantes?</a:t>
          </a:r>
        </a:p>
      </xdr:txBody>
    </xdr:sp>
    <xdr:clientData/>
  </xdr:twoCellAnchor>
  <xdr:oneCellAnchor>
    <xdr:from>
      <xdr:col>0</xdr:col>
      <xdr:colOff>114300</xdr:colOff>
      <xdr:row>72</xdr:row>
      <xdr:rowOff>104776</xdr:rowOff>
    </xdr:from>
    <xdr:ext cx="11029950" cy="476249"/>
    <xdr:sp macro="" textlink="">
      <xdr:nvSpPr>
        <xdr:cNvPr id="6" name="Retângulo 5">
          <a:extLst>
            <a:ext uri="{FF2B5EF4-FFF2-40B4-BE49-F238E27FC236}">
              <a16:creationId xmlns:a16="http://schemas.microsoft.com/office/drawing/2014/main" id="{22E0FD2D-A45D-40E2-A31C-C0C194A88A5E}"/>
            </a:ext>
          </a:extLst>
        </xdr:cNvPr>
        <xdr:cNvSpPr/>
      </xdr:nvSpPr>
      <xdr:spPr>
        <a:xfrm>
          <a:off x="114300" y="6448426"/>
          <a:ext cx="11029950" cy="476249"/>
        </a:xfrm>
        <a:prstGeom prst="rect">
          <a:avLst/>
        </a:prstGeom>
        <a:gradFill>
          <a:gsLst>
            <a:gs pos="0">
              <a:srgbClr val="6ADBD9"/>
            </a:gs>
            <a:gs pos="50000">
              <a:srgbClr val="6ADBD9"/>
            </a:gs>
            <a:gs pos="100000">
              <a:srgbClr val="66CCFF"/>
            </a:gs>
          </a:gsLst>
          <a:path path="circle">
            <a:fillToRect l="100000" t="100000"/>
          </a:path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pt-BR" sz="1800" b="0" i="0" u="none" strike="noStrike" kern="1200" cap="none" spc="0" normalizeH="0" baseline="0">
            <a:ln>
              <a:noFill/>
            </a:ln>
            <a:solidFill>
              <a:prstClr val="white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161925</xdr:colOff>
      <xdr:row>72</xdr:row>
      <xdr:rowOff>104775</xdr:rowOff>
    </xdr:from>
    <xdr:ext cx="10925175" cy="466725"/>
    <xdr:sp macro="" textlink="">
      <xdr:nvSpPr>
        <xdr:cNvPr id="7" name="Text Box 5">
          <a:extLst>
            <a:ext uri="{FF2B5EF4-FFF2-40B4-BE49-F238E27FC236}">
              <a16:creationId xmlns:a16="http://schemas.microsoft.com/office/drawing/2014/main" id="{8FAC5366-5DCB-484D-9E95-C2AF8FA6AAC6}"/>
            </a:ext>
          </a:extLst>
        </xdr:cNvPr>
        <xdr:cNvSpPr txBox="1">
          <a:spLocks noChangeArrowheads="1"/>
        </xdr:cNvSpPr>
      </xdr:nvSpPr>
      <xdr:spPr bwMode="auto">
        <a:xfrm>
          <a:off x="161925" y="6448425"/>
          <a:ext cx="10925175" cy="46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>
            <a:lnSpc>
              <a:spcPts val="1800"/>
            </a:lnSpc>
            <a:buFontTx/>
            <a:buNone/>
            <a:defRPr/>
          </a:pPr>
          <a:r>
            <a:rPr lang="pt-BR" sz="1100" kern="1200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b) *Existem clientes que possuem rendimento total e salário muito discrepantes em relação aos demais clientes? Como está a distribuição destas variáveis? Construir os box plots em um único gráfico.</a:t>
          </a:r>
        </a:p>
      </xdr:txBody>
    </xdr:sp>
    <xdr:clientData/>
  </xdr:oneCellAnchor>
  <xdr:oneCellAnchor>
    <xdr:from>
      <xdr:col>0</xdr:col>
      <xdr:colOff>114300</xdr:colOff>
      <xdr:row>143</xdr:row>
      <xdr:rowOff>104776</xdr:rowOff>
    </xdr:from>
    <xdr:ext cx="11029950" cy="476249"/>
    <xdr:sp macro="" textlink="">
      <xdr:nvSpPr>
        <xdr:cNvPr id="8" name="Retângulo 7">
          <a:extLst>
            <a:ext uri="{FF2B5EF4-FFF2-40B4-BE49-F238E27FC236}">
              <a16:creationId xmlns:a16="http://schemas.microsoft.com/office/drawing/2014/main" id="{69E8456C-DDEA-4D86-A7A0-EA95DB09A053}"/>
            </a:ext>
          </a:extLst>
        </xdr:cNvPr>
        <xdr:cNvSpPr/>
      </xdr:nvSpPr>
      <xdr:spPr>
        <a:xfrm>
          <a:off x="114300" y="11077576"/>
          <a:ext cx="11029950" cy="476249"/>
        </a:xfrm>
        <a:prstGeom prst="rect">
          <a:avLst/>
        </a:prstGeom>
        <a:gradFill>
          <a:gsLst>
            <a:gs pos="0">
              <a:srgbClr val="6ADBD9"/>
            </a:gs>
            <a:gs pos="50000">
              <a:srgbClr val="6ADBD9"/>
            </a:gs>
            <a:gs pos="100000">
              <a:srgbClr val="66CCFF"/>
            </a:gs>
          </a:gsLst>
          <a:path path="circle">
            <a:fillToRect l="100000" t="100000"/>
          </a:path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pt-BR" sz="1800" b="0" i="0" u="none" strike="noStrike" kern="1200" cap="none" spc="0" normalizeH="0" baseline="0">
            <a:ln>
              <a:noFill/>
            </a:ln>
            <a:solidFill>
              <a:prstClr val="white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161925</xdr:colOff>
      <xdr:row>143</xdr:row>
      <xdr:rowOff>104775</xdr:rowOff>
    </xdr:from>
    <xdr:ext cx="10925175" cy="466725"/>
    <xdr:sp macro="" textlink="">
      <xdr:nvSpPr>
        <xdr:cNvPr id="9" name="Text Box 5">
          <a:extLst>
            <a:ext uri="{FF2B5EF4-FFF2-40B4-BE49-F238E27FC236}">
              <a16:creationId xmlns:a16="http://schemas.microsoft.com/office/drawing/2014/main" id="{D9A895BB-E4AE-4251-841F-F5D4DBED048E}"/>
            </a:ext>
          </a:extLst>
        </xdr:cNvPr>
        <xdr:cNvSpPr txBox="1">
          <a:spLocks noChangeArrowheads="1"/>
        </xdr:cNvSpPr>
      </xdr:nvSpPr>
      <xdr:spPr bwMode="auto">
        <a:xfrm>
          <a:off x="161925" y="11077575"/>
          <a:ext cx="10925175" cy="46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>
            <a:lnSpc>
              <a:spcPts val="1800"/>
            </a:lnSpc>
            <a:buFontTx/>
            <a:buNone/>
            <a:defRPr/>
          </a:pPr>
          <a:r>
            <a:rPr lang="pt-BR" sz="1100" kern="1200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c) Existe relação entre rendimento total e salário?</a:t>
          </a:r>
        </a:p>
      </xdr:txBody>
    </xdr:sp>
    <xdr:clientData/>
  </xdr:oneCellAnchor>
  <xdr:oneCellAnchor>
    <xdr:from>
      <xdr:col>0</xdr:col>
      <xdr:colOff>114300</xdr:colOff>
      <xdr:row>208</xdr:row>
      <xdr:rowOff>104776</xdr:rowOff>
    </xdr:from>
    <xdr:ext cx="11029950" cy="476249"/>
    <xdr:sp macro="" textlink="">
      <xdr:nvSpPr>
        <xdr:cNvPr id="10" name="Retângulo 9">
          <a:extLst>
            <a:ext uri="{FF2B5EF4-FFF2-40B4-BE49-F238E27FC236}">
              <a16:creationId xmlns:a16="http://schemas.microsoft.com/office/drawing/2014/main" id="{64974B2F-9125-48B5-BFAF-F27B72EB3452}"/>
            </a:ext>
          </a:extLst>
        </xdr:cNvPr>
        <xdr:cNvSpPr/>
      </xdr:nvSpPr>
      <xdr:spPr>
        <a:xfrm>
          <a:off x="114300" y="16221076"/>
          <a:ext cx="11029950" cy="476249"/>
        </a:xfrm>
        <a:prstGeom prst="rect">
          <a:avLst/>
        </a:prstGeom>
        <a:gradFill>
          <a:gsLst>
            <a:gs pos="0">
              <a:srgbClr val="6ADBD9"/>
            </a:gs>
            <a:gs pos="50000">
              <a:srgbClr val="6ADBD9"/>
            </a:gs>
            <a:gs pos="100000">
              <a:srgbClr val="66CCFF"/>
            </a:gs>
          </a:gsLst>
          <a:path path="circle">
            <a:fillToRect l="100000" t="100000"/>
          </a:path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pt-BR" sz="1800" b="0" i="0" u="none" strike="noStrike" kern="1200" cap="none" spc="0" normalizeH="0" baseline="0">
            <a:ln>
              <a:noFill/>
            </a:ln>
            <a:solidFill>
              <a:prstClr val="white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161925</xdr:colOff>
      <xdr:row>208</xdr:row>
      <xdr:rowOff>104775</xdr:rowOff>
    </xdr:from>
    <xdr:ext cx="10925175" cy="466725"/>
    <xdr:sp macro="" textlink="">
      <xdr:nvSpPr>
        <xdr:cNvPr id="11" name="Text Box 5">
          <a:extLst>
            <a:ext uri="{FF2B5EF4-FFF2-40B4-BE49-F238E27FC236}">
              <a16:creationId xmlns:a16="http://schemas.microsoft.com/office/drawing/2014/main" id="{BD0AA618-9372-4C30-854F-FB24EBBF278D}"/>
            </a:ext>
          </a:extLst>
        </xdr:cNvPr>
        <xdr:cNvSpPr txBox="1">
          <a:spLocks noChangeArrowheads="1"/>
        </xdr:cNvSpPr>
      </xdr:nvSpPr>
      <xdr:spPr bwMode="auto">
        <a:xfrm>
          <a:off x="161925" y="16221075"/>
          <a:ext cx="10925175" cy="46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>
            <a:lnSpc>
              <a:spcPts val="1800"/>
            </a:lnSpc>
            <a:buFontTx/>
            <a:buNone/>
            <a:defRPr/>
          </a:pPr>
          <a:r>
            <a:rPr lang="pt-BR" sz="1100" kern="1200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d) *O salário dos clientes tem relação com a idade? Clientes mais novos (abaixo de 40 anos) ganham menos em relação aos clientes mais velhos (acima de 40 anos)?</a:t>
          </a:r>
        </a:p>
      </xdr:txBody>
    </xdr:sp>
    <xdr:clientData/>
  </xdr:oneCellAnchor>
  <xdr:oneCellAnchor>
    <xdr:from>
      <xdr:col>0</xdr:col>
      <xdr:colOff>114300</xdr:colOff>
      <xdr:row>274</xdr:row>
      <xdr:rowOff>104776</xdr:rowOff>
    </xdr:from>
    <xdr:ext cx="11029950" cy="476249"/>
    <xdr:sp macro="" textlink="">
      <xdr:nvSpPr>
        <xdr:cNvPr id="12" name="Retângulo 11">
          <a:extLst>
            <a:ext uri="{FF2B5EF4-FFF2-40B4-BE49-F238E27FC236}">
              <a16:creationId xmlns:a16="http://schemas.microsoft.com/office/drawing/2014/main" id="{1ACDB27F-D8D2-4CB3-A960-3D2B18526A1F}"/>
            </a:ext>
          </a:extLst>
        </xdr:cNvPr>
        <xdr:cNvSpPr/>
      </xdr:nvSpPr>
      <xdr:spPr>
        <a:xfrm>
          <a:off x="114300" y="22736176"/>
          <a:ext cx="11029950" cy="476249"/>
        </a:xfrm>
        <a:prstGeom prst="rect">
          <a:avLst/>
        </a:prstGeom>
        <a:gradFill>
          <a:gsLst>
            <a:gs pos="0">
              <a:srgbClr val="6ADBD9"/>
            </a:gs>
            <a:gs pos="50000">
              <a:srgbClr val="6ADBD9"/>
            </a:gs>
            <a:gs pos="100000">
              <a:srgbClr val="66CCFF"/>
            </a:gs>
          </a:gsLst>
          <a:path path="circle">
            <a:fillToRect l="100000" t="100000"/>
          </a:path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pt-BR" sz="1800" b="0" i="0" u="none" strike="noStrike" kern="1200" cap="none" spc="0" normalizeH="0" baseline="0">
            <a:ln>
              <a:noFill/>
            </a:ln>
            <a:solidFill>
              <a:prstClr val="white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161925</xdr:colOff>
      <xdr:row>274</xdr:row>
      <xdr:rowOff>104775</xdr:rowOff>
    </xdr:from>
    <xdr:ext cx="10925175" cy="466725"/>
    <xdr:sp macro="" textlink="">
      <xdr:nvSpPr>
        <xdr:cNvPr id="13" name="Text Box 5">
          <a:extLst>
            <a:ext uri="{FF2B5EF4-FFF2-40B4-BE49-F238E27FC236}">
              <a16:creationId xmlns:a16="http://schemas.microsoft.com/office/drawing/2014/main" id="{66315E35-1453-40E8-8668-1C5E86210151}"/>
            </a:ext>
          </a:extLst>
        </xdr:cNvPr>
        <xdr:cNvSpPr txBox="1">
          <a:spLocks noChangeArrowheads="1"/>
        </xdr:cNvSpPr>
      </xdr:nvSpPr>
      <xdr:spPr bwMode="auto">
        <a:xfrm>
          <a:off x="161925" y="22736175"/>
          <a:ext cx="10925175" cy="46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>
            <a:lnSpc>
              <a:spcPts val="1800"/>
            </a:lnSpc>
            <a:buFontTx/>
            <a:buNone/>
            <a:defRPr/>
          </a:pPr>
          <a:r>
            <a:rPr lang="pt-BR" sz="1100" kern="1200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e) O salário provavelmente foi utilizado para calcular o quanto de crédito poderia ser liberado imediatamente? </a:t>
          </a:r>
        </a:p>
      </xdr:txBody>
    </xdr:sp>
    <xdr:clientData/>
  </xdr:oneCellAnchor>
  <xdr:oneCellAnchor>
    <xdr:from>
      <xdr:col>0</xdr:col>
      <xdr:colOff>114300</xdr:colOff>
      <xdr:row>342</xdr:row>
      <xdr:rowOff>104776</xdr:rowOff>
    </xdr:from>
    <xdr:ext cx="11029950" cy="476249"/>
    <xdr:sp macro="" textlink="">
      <xdr:nvSpPr>
        <xdr:cNvPr id="14" name="Retângulo 13">
          <a:extLst>
            <a:ext uri="{FF2B5EF4-FFF2-40B4-BE49-F238E27FC236}">
              <a16:creationId xmlns:a16="http://schemas.microsoft.com/office/drawing/2014/main" id="{220E3467-A736-49DE-AC5C-71090E4B6784}"/>
            </a:ext>
          </a:extLst>
        </xdr:cNvPr>
        <xdr:cNvSpPr/>
      </xdr:nvSpPr>
      <xdr:spPr>
        <a:xfrm>
          <a:off x="114300" y="28051126"/>
          <a:ext cx="11029950" cy="476249"/>
        </a:xfrm>
        <a:prstGeom prst="rect">
          <a:avLst/>
        </a:prstGeom>
        <a:gradFill>
          <a:gsLst>
            <a:gs pos="0">
              <a:srgbClr val="6ADBD9"/>
            </a:gs>
            <a:gs pos="50000">
              <a:srgbClr val="6ADBD9"/>
            </a:gs>
            <a:gs pos="100000">
              <a:srgbClr val="66CCFF"/>
            </a:gs>
          </a:gsLst>
          <a:path path="circle">
            <a:fillToRect l="100000" t="100000"/>
          </a:path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pt-BR" sz="1800" b="0" i="0" u="none" strike="noStrike" kern="1200" cap="none" spc="0" normalizeH="0" baseline="0">
            <a:ln>
              <a:noFill/>
            </a:ln>
            <a:solidFill>
              <a:prstClr val="white"/>
            </a:solidFill>
            <a:effectLst/>
            <a:uLnTx/>
            <a:uFillTx/>
            <a:latin typeface="Calibri" panose="020F0502020204030204"/>
            <a:ea typeface="+mn-ea"/>
            <a:cs typeface="+mn-cs"/>
          </a:endParaRPr>
        </a:p>
      </xdr:txBody>
    </xdr:sp>
    <xdr:clientData/>
  </xdr:oneCellAnchor>
  <xdr:oneCellAnchor>
    <xdr:from>
      <xdr:col>0</xdr:col>
      <xdr:colOff>161925</xdr:colOff>
      <xdr:row>342</xdr:row>
      <xdr:rowOff>104775</xdr:rowOff>
    </xdr:from>
    <xdr:ext cx="10925175" cy="466725"/>
    <xdr:sp macro="" textlink="">
      <xdr:nvSpPr>
        <xdr:cNvPr id="15" name="Text Box 5">
          <a:extLst>
            <a:ext uri="{FF2B5EF4-FFF2-40B4-BE49-F238E27FC236}">
              <a16:creationId xmlns:a16="http://schemas.microsoft.com/office/drawing/2014/main" id="{041B97A5-1C23-4851-9204-76A40C29F6FF}"/>
            </a:ext>
          </a:extLst>
        </xdr:cNvPr>
        <xdr:cNvSpPr txBox="1">
          <a:spLocks noChangeArrowheads="1"/>
        </xdr:cNvSpPr>
      </xdr:nvSpPr>
      <xdr:spPr bwMode="auto">
        <a:xfrm>
          <a:off x="161925" y="28051125"/>
          <a:ext cx="10925175" cy="46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>
            <a:lnSpc>
              <a:spcPts val="1800"/>
            </a:lnSpc>
            <a:buFontTx/>
            <a:buNone/>
            <a:defRPr/>
          </a:pPr>
          <a:r>
            <a:rPr lang="pt-BR" sz="1100" kern="1200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f) O salário provavelmente foi utilizado para calcular o limite de cheque especial?</a:t>
          </a:r>
        </a:p>
      </xdr:txBody>
    </xdr:sp>
    <xdr:clientData/>
  </xdr:oneCellAnchor>
  <xdr:oneCellAnchor>
    <xdr:from>
      <xdr:col>0</xdr:col>
      <xdr:colOff>209549</xdr:colOff>
      <xdr:row>7</xdr:row>
      <xdr:rowOff>133351</xdr:rowOff>
    </xdr:from>
    <xdr:ext cx="1440000" cy="266699"/>
    <xdr:sp macro="" textlink="">
      <xdr:nvSpPr>
        <xdr:cNvPr id="16" name="Retângulo 15">
          <a:extLst>
            <a:ext uri="{FF2B5EF4-FFF2-40B4-BE49-F238E27FC236}">
              <a16:creationId xmlns:a16="http://schemas.microsoft.com/office/drawing/2014/main" id="{8A4B647D-FA94-4381-9C67-BFEC0C8A7D3A}"/>
            </a:ext>
          </a:extLst>
        </xdr:cNvPr>
        <xdr:cNvSpPr/>
      </xdr:nvSpPr>
      <xdr:spPr>
        <a:xfrm>
          <a:off x="209549" y="1504951"/>
          <a:ext cx="1440000" cy="266699"/>
        </a:xfrm>
        <a:prstGeom prst="rect">
          <a:avLst/>
        </a:prstGeom>
        <a:solidFill>
          <a:srgbClr val="6ADBD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kern="1200">
              <a:solidFill>
                <a:schemeClr val="lt1"/>
              </a:solidFill>
              <a:effectLst/>
              <a:latin typeface="Open Sans" panose="020B0606030504020204"/>
              <a:ea typeface="+mn-ea"/>
              <a:cs typeface="+mn-cs"/>
            </a:rPr>
            <a:t>Tabelas e gráficos</a:t>
          </a:r>
        </a:p>
      </xdr:txBody>
    </xdr:sp>
    <xdr:clientData/>
  </xdr:oneCellAnchor>
  <xdr:oneCellAnchor>
    <xdr:from>
      <xdr:col>0</xdr:col>
      <xdr:colOff>209549</xdr:colOff>
      <xdr:row>61</xdr:row>
      <xdr:rowOff>142875</xdr:rowOff>
    </xdr:from>
    <xdr:ext cx="1440000" cy="266699"/>
    <xdr:sp macro="" textlink="">
      <xdr:nvSpPr>
        <xdr:cNvPr id="17" name="Retângulo 16">
          <a:extLst>
            <a:ext uri="{FF2B5EF4-FFF2-40B4-BE49-F238E27FC236}">
              <a16:creationId xmlns:a16="http://schemas.microsoft.com/office/drawing/2014/main" id="{E37AEC2B-AD08-4288-9F2D-113097C505F6}"/>
            </a:ext>
          </a:extLst>
        </xdr:cNvPr>
        <xdr:cNvSpPr/>
      </xdr:nvSpPr>
      <xdr:spPr>
        <a:xfrm>
          <a:off x="209549" y="5286375"/>
          <a:ext cx="1440000" cy="266699"/>
        </a:xfrm>
        <a:prstGeom prst="rect">
          <a:avLst/>
        </a:prstGeom>
        <a:solidFill>
          <a:srgbClr val="6ADBD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kern="1200">
              <a:solidFill>
                <a:schemeClr val="lt1"/>
              </a:solidFill>
              <a:effectLst/>
              <a:latin typeface="Open Sans" panose="020B0606030504020204"/>
              <a:ea typeface="+mn-ea"/>
              <a:cs typeface="+mn-cs"/>
            </a:rPr>
            <a:t>Conclusões</a:t>
          </a:r>
          <a:endParaRPr lang="en-US" sz="1100" b="0">
            <a:effectLst/>
            <a:latin typeface="Open Sans" panose="020B0606030504020204"/>
          </a:endParaRPr>
        </a:p>
      </xdr:txBody>
    </xdr:sp>
    <xdr:clientData/>
  </xdr:oneCellAnchor>
  <xdr:oneCellAnchor>
    <xdr:from>
      <xdr:col>0</xdr:col>
      <xdr:colOff>209549</xdr:colOff>
      <xdr:row>76</xdr:row>
      <xdr:rowOff>133351</xdr:rowOff>
    </xdr:from>
    <xdr:ext cx="1440000" cy="266699"/>
    <xdr:sp macro="" textlink="">
      <xdr:nvSpPr>
        <xdr:cNvPr id="18" name="Retângulo 17">
          <a:extLst>
            <a:ext uri="{FF2B5EF4-FFF2-40B4-BE49-F238E27FC236}">
              <a16:creationId xmlns:a16="http://schemas.microsoft.com/office/drawing/2014/main" id="{90F772EF-54D1-4B67-B6CD-A0A55E943559}"/>
            </a:ext>
          </a:extLst>
        </xdr:cNvPr>
        <xdr:cNvSpPr/>
      </xdr:nvSpPr>
      <xdr:spPr>
        <a:xfrm>
          <a:off x="209549" y="7162801"/>
          <a:ext cx="1440000" cy="266699"/>
        </a:xfrm>
        <a:prstGeom prst="rect">
          <a:avLst/>
        </a:prstGeom>
        <a:solidFill>
          <a:srgbClr val="6ADBD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kern="1200">
              <a:solidFill>
                <a:schemeClr val="lt1"/>
              </a:solidFill>
              <a:effectLst/>
              <a:latin typeface="Open Sans" panose="020B0606030504020204"/>
              <a:ea typeface="+mn-ea"/>
              <a:cs typeface="+mn-cs"/>
            </a:rPr>
            <a:t>Tabelas e gráficos</a:t>
          </a:r>
          <a:endParaRPr lang="en-US" sz="1100" b="0">
            <a:effectLst/>
            <a:latin typeface="Open Sans" panose="020B0606030504020204"/>
          </a:endParaRPr>
        </a:p>
      </xdr:txBody>
    </xdr:sp>
    <xdr:clientData/>
  </xdr:oneCellAnchor>
  <xdr:oneCellAnchor>
    <xdr:from>
      <xdr:col>0</xdr:col>
      <xdr:colOff>209549</xdr:colOff>
      <xdr:row>132</xdr:row>
      <xdr:rowOff>133351</xdr:rowOff>
    </xdr:from>
    <xdr:ext cx="1440000" cy="266699"/>
    <xdr:sp macro="" textlink="">
      <xdr:nvSpPr>
        <xdr:cNvPr id="19" name="Retângulo 18">
          <a:extLst>
            <a:ext uri="{FF2B5EF4-FFF2-40B4-BE49-F238E27FC236}">
              <a16:creationId xmlns:a16="http://schemas.microsoft.com/office/drawing/2014/main" id="{CC2C21CE-9F74-493E-BD49-F4355644652C}"/>
            </a:ext>
          </a:extLst>
        </xdr:cNvPr>
        <xdr:cNvSpPr/>
      </xdr:nvSpPr>
      <xdr:spPr>
        <a:xfrm>
          <a:off x="209549" y="9563101"/>
          <a:ext cx="1440000" cy="266699"/>
        </a:xfrm>
        <a:prstGeom prst="rect">
          <a:avLst/>
        </a:prstGeom>
        <a:solidFill>
          <a:srgbClr val="6ADBD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kern="1200">
              <a:solidFill>
                <a:schemeClr val="lt1"/>
              </a:solidFill>
              <a:effectLst/>
              <a:latin typeface="Open Sans" panose="020B0606030504020204"/>
              <a:ea typeface="+mn-ea"/>
              <a:cs typeface="+mn-cs"/>
            </a:rPr>
            <a:t>Conclusões</a:t>
          </a:r>
          <a:endParaRPr lang="en-US" sz="1100" b="0">
            <a:effectLst/>
            <a:latin typeface="Open Sans" panose="020B0606030504020204"/>
          </a:endParaRPr>
        </a:p>
      </xdr:txBody>
    </xdr:sp>
    <xdr:clientData/>
  </xdr:oneCellAnchor>
  <xdr:oneCellAnchor>
    <xdr:from>
      <xdr:col>0</xdr:col>
      <xdr:colOff>209549</xdr:colOff>
      <xdr:row>147</xdr:row>
      <xdr:rowOff>133351</xdr:rowOff>
    </xdr:from>
    <xdr:ext cx="1440000" cy="266699"/>
    <xdr:sp macro="" textlink="">
      <xdr:nvSpPr>
        <xdr:cNvPr id="20" name="Retângulo 19">
          <a:extLst>
            <a:ext uri="{FF2B5EF4-FFF2-40B4-BE49-F238E27FC236}">
              <a16:creationId xmlns:a16="http://schemas.microsoft.com/office/drawing/2014/main" id="{CD418514-F320-4E69-A6C4-2B7A6A2D65F3}"/>
            </a:ext>
          </a:extLst>
        </xdr:cNvPr>
        <xdr:cNvSpPr/>
      </xdr:nvSpPr>
      <xdr:spPr>
        <a:xfrm>
          <a:off x="209549" y="11791951"/>
          <a:ext cx="1440000" cy="266699"/>
        </a:xfrm>
        <a:prstGeom prst="rect">
          <a:avLst/>
        </a:prstGeom>
        <a:solidFill>
          <a:srgbClr val="6ADBD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kern="1200">
              <a:solidFill>
                <a:schemeClr val="lt1"/>
              </a:solidFill>
              <a:effectLst/>
              <a:latin typeface="Open Sans" panose="020B0606030504020204"/>
              <a:ea typeface="+mn-ea"/>
              <a:cs typeface="+mn-cs"/>
            </a:rPr>
            <a:t>Tabelas e gráficos</a:t>
          </a:r>
          <a:endParaRPr lang="en-US" sz="1100" b="0">
            <a:effectLst/>
            <a:latin typeface="Open Sans" panose="020B0606030504020204"/>
          </a:endParaRPr>
        </a:p>
      </xdr:txBody>
    </xdr:sp>
    <xdr:clientData/>
  </xdr:oneCellAnchor>
  <xdr:oneCellAnchor>
    <xdr:from>
      <xdr:col>0</xdr:col>
      <xdr:colOff>209549</xdr:colOff>
      <xdr:row>199</xdr:row>
      <xdr:rowOff>0</xdr:rowOff>
    </xdr:from>
    <xdr:ext cx="1440000" cy="266699"/>
    <xdr:sp macro="" textlink="">
      <xdr:nvSpPr>
        <xdr:cNvPr id="21" name="Retângulo 20">
          <a:extLst>
            <a:ext uri="{FF2B5EF4-FFF2-40B4-BE49-F238E27FC236}">
              <a16:creationId xmlns:a16="http://schemas.microsoft.com/office/drawing/2014/main" id="{1B231135-4826-4481-AFAD-8A05E3351C29}"/>
            </a:ext>
          </a:extLst>
        </xdr:cNvPr>
        <xdr:cNvSpPr/>
      </xdr:nvSpPr>
      <xdr:spPr>
        <a:xfrm>
          <a:off x="209549" y="15049501"/>
          <a:ext cx="1440000" cy="266699"/>
        </a:xfrm>
        <a:prstGeom prst="rect">
          <a:avLst/>
        </a:prstGeom>
        <a:solidFill>
          <a:srgbClr val="6ADBD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kern="1200">
              <a:solidFill>
                <a:schemeClr val="lt1"/>
              </a:solidFill>
              <a:effectLst/>
              <a:latin typeface="Open Sans" panose="020B0606030504020204"/>
              <a:ea typeface="+mn-ea"/>
              <a:cs typeface="+mn-cs"/>
            </a:rPr>
            <a:t>Conclusões</a:t>
          </a:r>
          <a:endParaRPr lang="en-US" sz="1100" b="0">
            <a:effectLst/>
            <a:latin typeface="Open Sans" panose="020B0606030504020204"/>
          </a:endParaRPr>
        </a:p>
      </xdr:txBody>
    </xdr:sp>
    <xdr:clientData/>
  </xdr:oneCellAnchor>
  <xdr:oneCellAnchor>
    <xdr:from>
      <xdr:col>0</xdr:col>
      <xdr:colOff>209549</xdr:colOff>
      <xdr:row>212</xdr:row>
      <xdr:rowOff>133351</xdr:rowOff>
    </xdr:from>
    <xdr:ext cx="1440000" cy="266699"/>
    <xdr:sp macro="" textlink="">
      <xdr:nvSpPr>
        <xdr:cNvPr id="22" name="Retângulo 21">
          <a:extLst>
            <a:ext uri="{FF2B5EF4-FFF2-40B4-BE49-F238E27FC236}">
              <a16:creationId xmlns:a16="http://schemas.microsoft.com/office/drawing/2014/main" id="{B39C4A4B-C1EB-49CB-A45D-25FE0CC1D12E}"/>
            </a:ext>
          </a:extLst>
        </xdr:cNvPr>
        <xdr:cNvSpPr/>
      </xdr:nvSpPr>
      <xdr:spPr>
        <a:xfrm>
          <a:off x="209549" y="16935451"/>
          <a:ext cx="1440000" cy="266699"/>
        </a:xfrm>
        <a:prstGeom prst="rect">
          <a:avLst/>
        </a:prstGeom>
        <a:solidFill>
          <a:srgbClr val="6ADBD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kern="1200">
              <a:solidFill>
                <a:schemeClr val="lt1"/>
              </a:solidFill>
              <a:effectLst/>
              <a:latin typeface="Open Sans" panose="020B0606030504020204"/>
              <a:ea typeface="+mn-ea"/>
              <a:cs typeface="+mn-cs"/>
            </a:rPr>
            <a:t>Tabelas e gráficos</a:t>
          </a:r>
          <a:endParaRPr lang="en-US" sz="1100" b="0">
            <a:effectLst/>
            <a:latin typeface="Open Sans" panose="020B0606030504020204"/>
          </a:endParaRPr>
        </a:p>
      </xdr:txBody>
    </xdr:sp>
    <xdr:clientData/>
  </xdr:oneCellAnchor>
  <xdr:oneCellAnchor>
    <xdr:from>
      <xdr:col>0</xdr:col>
      <xdr:colOff>209549</xdr:colOff>
      <xdr:row>264</xdr:row>
      <xdr:rowOff>0</xdr:rowOff>
    </xdr:from>
    <xdr:ext cx="1440000" cy="266699"/>
    <xdr:sp macro="" textlink="">
      <xdr:nvSpPr>
        <xdr:cNvPr id="23" name="Retângulo 22">
          <a:extLst>
            <a:ext uri="{FF2B5EF4-FFF2-40B4-BE49-F238E27FC236}">
              <a16:creationId xmlns:a16="http://schemas.microsoft.com/office/drawing/2014/main" id="{736B3E24-06DF-470D-AC5E-E0A2DD26BCA4}"/>
            </a:ext>
          </a:extLst>
        </xdr:cNvPr>
        <xdr:cNvSpPr/>
      </xdr:nvSpPr>
      <xdr:spPr>
        <a:xfrm>
          <a:off x="209549" y="21221701"/>
          <a:ext cx="1440000" cy="266699"/>
        </a:xfrm>
        <a:prstGeom prst="rect">
          <a:avLst/>
        </a:prstGeom>
        <a:solidFill>
          <a:srgbClr val="6ADBD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kern="1200">
              <a:solidFill>
                <a:schemeClr val="lt1"/>
              </a:solidFill>
              <a:effectLst/>
              <a:latin typeface="Open Sans" panose="020B0606030504020204"/>
              <a:ea typeface="+mn-ea"/>
              <a:cs typeface="+mn-cs"/>
            </a:rPr>
            <a:t>Conclusões</a:t>
          </a:r>
          <a:endParaRPr lang="en-US" sz="1100" b="0">
            <a:effectLst/>
            <a:latin typeface="Open Sans" panose="020B0606030504020204"/>
          </a:endParaRPr>
        </a:p>
      </xdr:txBody>
    </xdr:sp>
    <xdr:clientData/>
  </xdr:oneCellAnchor>
  <xdr:oneCellAnchor>
    <xdr:from>
      <xdr:col>0</xdr:col>
      <xdr:colOff>209549</xdr:colOff>
      <xdr:row>278</xdr:row>
      <xdr:rowOff>133351</xdr:rowOff>
    </xdr:from>
    <xdr:ext cx="1440000" cy="266699"/>
    <xdr:sp macro="" textlink="">
      <xdr:nvSpPr>
        <xdr:cNvPr id="24" name="Retângulo 23">
          <a:extLst>
            <a:ext uri="{FF2B5EF4-FFF2-40B4-BE49-F238E27FC236}">
              <a16:creationId xmlns:a16="http://schemas.microsoft.com/office/drawing/2014/main" id="{5AF32FC3-7FAE-4DA6-92D7-FDB6B694FFB7}"/>
            </a:ext>
          </a:extLst>
        </xdr:cNvPr>
        <xdr:cNvSpPr/>
      </xdr:nvSpPr>
      <xdr:spPr>
        <a:xfrm>
          <a:off x="209549" y="23450551"/>
          <a:ext cx="1440000" cy="266699"/>
        </a:xfrm>
        <a:prstGeom prst="rect">
          <a:avLst/>
        </a:prstGeom>
        <a:solidFill>
          <a:srgbClr val="6ADBD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kern="1200">
              <a:solidFill>
                <a:schemeClr val="lt1"/>
              </a:solidFill>
              <a:effectLst/>
              <a:latin typeface="Open Sans" panose="020B0606030504020204"/>
              <a:ea typeface="+mn-ea"/>
              <a:cs typeface="+mn-cs"/>
            </a:rPr>
            <a:t>Tabelas e gráficos</a:t>
          </a:r>
          <a:endParaRPr lang="en-US" sz="1100" b="0">
            <a:effectLst/>
            <a:latin typeface="Open Sans" panose="020B0606030504020204"/>
          </a:endParaRPr>
        </a:p>
      </xdr:txBody>
    </xdr:sp>
    <xdr:clientData/>
  </xdr:oneCellAnchor>
  <xdr:oneCellAnchor>
    <xdr:from>
      <xdr:col>0</xdr:col>
      <xdr:colOff>209549</xdr:colOff>
      <xdr:row>331</xdr:row>
      <xdr:rowOff>133351</xdr:rowOff>
    </xdr:from>
    <xdr:ext cx="1440000" cy="266699"/>
    <xdr:sp macro="" textlink="">
      <xdr:nvSpPr>
        <xdr:cNvPr id="25" name="Retângulo 24">
          <a:extLst>
            <a:ext uri="{FF2B5EF4-FFF2-40B4-BE49-F238E27FC236}">
              <a16:creationId xmlns:a16="http://schemas.microsoft.com/office/drawing/2014/main" id="{6358FDD9-4517-44B6-9121-E8EFC6573249}"/>
            </a:ext>
          </a:extLst>
        </xdr:cNvPr>
        <xdr:cNvSpPr/>
      </xdr:nvSpPr>
      <xdr:spPr>
        <a:xfrm>
          <a:off x="209549" y="26879551"/>
          <a:ext cx="1440000" cy="266699"/>
        </a:xfrm>
        <a:prstGeom prst="rect">
          <a:avLst/>
        </a:prstGeom>
        <a:solidFill>
          <a:srgbClr val="6ADBD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kern="1200">
              <a:solidFill>
                <a:schemeClr val="lt1"/>
              </a:solidFill>
              <a:effectLst/>
              <a:latin typeface="Open Sans" panose="020B0606030504020204"/>
              <a:ea typeface="+mn-ea"/>
              <a:cs typeface="+mn-cs"/>
            </a:rPr>
            <a:t>Conclusões</a:t>
          </a:r>
          <a:endParaRPr lang="en-US" sz="1100" b="0">
            <a:effectLst/>
            <a:latin typeface="Open Sans" panose="020B0606030504020204"/>
          </a:endParaRPr>
        </a:p>
      </xdr:txBody>
    </xdr:sp>
    <xdr:clientData/>
  </xdr:oneCellAnchor>
  <xdr:oneCellAnchor>
    <xdr:from>
      <xdr:col>0</xdr:col>
      <xdr:colOff>209549</xdr:colOff>
      <xdr:row>346</xdr:row>
      <xdr:rowOff>133351</xdr:rowOff>
    </xdr:from>
    <xdr:ext cx="1440000" cy="266699"/>
    <xdr:sp macro="" textlink="">
      <xdr:nvSpPr>
        <xdr:cNvPr id="26" name="Retângulo 25">
          <a:extLst>
            <a:ext uri="{FF2B5EF4-FFF2-40B4-BE49-F238E27FC236}">
              <a16:creationId xmlns:a16="http://schemas.microsoft.com/office/drawing/2014/main" id="{116D04E1-BF2D-4339-A181-C84FDEBE8525}"/>
            </a:ext>
          </a:extLst>
        </xdr:cNvPr>
        <xdr:cNvSpPr/>
      </xdr:nvSpPr>
      <xdr:spPr>
        <a:xfrm>
          <a:off x="209549" y="28765501"/>
          <a:ext cx="1440000" cy="266699"/>
        </a:xfrm>
        <a:prstGeom prst="rect">
          <a:avLst/>
        </a:prstGeom>
        <a:solidFill>
          <a:srgbClr val="6ADBD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kern="1200">
              <a:solidFill>
                <a:schemeClr val="lt1"/>
              </a:solidFill>
              <a:effectLst/>
              <a:latin typeface="Open Sans" panose="020B0606030504020204"/>
              <a:ea typeface="+mn-ea"/>
              <a:cs typeface="+mn-cs"/>
            </a:rPr>
            <a:t>Tabelas e gráficos</a:t>
          </a:r>
          <a:endParaRPr lang="en-US" sz="1100" b="0">
            <a:effectLst/>
            <a:latin typeface="Open Sans" panose="020B0606030504020204"/>
          </a:endParaRPr>
        </a:p>
      </xdr:txBody>
    </xdr:sp>
    <xdr:clientData/>
  </xdr:oneCellAnchor>
  <xdr:oneCellAnchor>
    <xdr:from>
      <xdr:col>0</xdr:col>
      <xdr:colOff>57150</xdr:colOff>
      <xdr:row>401</xdr:row>
      <xdr:rowOff>104776</xdr:rowOff>
    </xdr:from>
    <xdr:ext cx="1440000" cy="266699"/>
    <xdr:sp macro="" textlink="">
      <xdr:nvSpPr>
        <xdr:cNvPr id="27" name="Retângulo 26">
          <a:extLst>
            <a:ext uri="{FF2B5EF4-FFF2-40B4-BE49-F238E27FC236}">
              <a16:creationId xmlns:a16="http://schemas.microsoft.com/office/drawing/2014/main" id="{78699F5D-5944-4C77-A805-C894E2E9E30B}"/>
            </a:ext>
          </a:extLst>
        </xdr:cNvPr>
        <xdr:cNvSpPr/>
      </xdr:nvSpPr>
      <xdr:spPr>
        <a:xfrm>
          <a:off x="57150" y="70008751"/>
          <a:ext cx="1440000" cy="266699"/>
        </a:xfrm>
        <a:prstGeom prst="rect">
          <a:avLst/>
        </a:prstGeom>
        <a:solidFill>
          <a:srgbClr val="6ADBD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0" kern="1200">
              <a:solidFill>
                <a:schemeClr val="lt1"/>
              </a:solidFill>
              <a:effectLst/>
              <a:latin typeface="Open Sans" panose="020B0606030504020204"/>
              <a:ea typeface="+mn-ea"/>
              <a:cs typeface="+mn-cs"/>
            </a:rPr>
            <a:t>Conclusões</a:t>
          </a:r>
          <a:endParaRPr lang="en-US" sz="1100" b="0">
            <a:effectLst/>
            <a:latin typeface="Open Sans" panose="020B0606030504020204"/>
          </a:endParaRPr>
        </a:p>
      </xdr:txBody>
    </xdr:sp>
    <xdr:clientData/>
  </xdr:oneCellAnchor>
  <xdr:twoCellAnchor editAs="oneCell">
    <xdr:from>
      <xdr:col>0</xdr:col>
      <xdr:colOff>285750</xdr:colOff>
      <xdr:row>0</xdr:row>
      <xdr:rowOff>114301</xdr:rowOff>
    </xdr:from>
    <xdr:to>
      <xdr:col>3</xdr:col>
      <xdr:colOff>744225</xdr:colOff>
      <xdr:row>2</xdr:row>
      <xdr:rowOff>57151</xdr:rowOff>
    </xdr:to>
    <xdr:sp macro="" textlink="">
      <xdr:nvSpPr>
        <xdr:cNvPr id="28" name="Title Placeholder 1">
          <a:extLst>
            <a:ext uri="{FF2B5EF4-FFF2-40B4-BE49-F238E27FC236}">
              <a16:creationId xmlns:a16="http://schemas.microsoft.com/office/drawing/2014/main" id="{58E5F2DC-8E45-4F9D-821C-942D339EB6F1}"/>
            </a:ext>
          </a:extLst>
        </xdr:cNvPr>
        <xdr:cNvSpPr txBox="1">
          <a:spLocks/>
        </xdr:cNvSpPr>
      </xdr:nvSpPr>
      <xdr:spPr>
        <a:xfrm>
          <a:off x="285750" y="114301"/>
          <a:ext cx="5040000" cy="285750"/>
        </a:xfrm>
        <a:prstGeom prst="rect">
          <a:avLst/>
        </a:prstGeom>
      </xdr:spPr>
      <xdr:txBody>
        <a:bodyPr vert="horz" wrap="square" lIns="91440" tIns="45720" rIns="91440" bIns="45720" rtlCol="0" anchor="ctr">
          <a:normAutofit/>
        </a:bodyPr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ts val="1900"/>
            </a:lnSpc>
          </a:pPr>
          <a:r>
            <a:rPr lang="en-US">
              <a:solidFill>
                <a:srgbClr val="434343"/>
              </a:solidFill>
              <a:latin typeface="Segoe UI" panose="020B0502040204020203" pitchFamily="34" charset="0"/>
              <a:ea typeface="Open Sans" panose="020B0604020202020204" charset="0"/>
              <a:cs typeface="Segoe UI" panose="020B0502040204020203" pitchFamily="34" charset="0"/>
            </a:rPr>
            <a:t>6.ii. Limite de Crédito</a:t>
          </a:r>
          <a:endParaRPr lang="en-US" baseline="0">
            <a:solidFill>
              <a:srgbClr val="434343"/>
            </a:solidFill>
            <a:latin typeface="Segoe UI" panose="020B0502040204020203" pitchFamily="34" charset="0"/>
            <a:ea typeface="Open Sans" panose="020B060402020202020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6</xdr:col>
      <xdr:colOff>438150</xdr:colOff>
      <xdr:row>14</xdr:row>
      <xdr:rowOff>66674</xdr:rowOff>
    </xdr:from>
    <xdr:to>
      <xdr:col>10</xdr:col>
      <xdr:colOff>323850</xdr:colOff>
      <xdr:row>36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19CFBB6B-5AAD-494D-99B3-5E3D129DC9F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77525" y="2505074"/>
              <a:ext cx="4238625" cy="39433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11</xdr:col>
      <xdr:colOff>200025</xdr:colOff>
      <xdr:row>14</xdr:row>
      <xdr:rowOff>47625</xdr:rowOff>
    </xdr:from>
    <xdr:to>
      <xdr:col>18</xdr:col>
      <xdr:colOff>504825</xdr:colOff>
      <xdr:row>29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CF6A2E77-030C-47AB-996C-EEADCC07D25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544800" y="2486025"/>
              <a:ext cx="64389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3</xdr:col>
      <xdr:colOff>581025</xdr:colOff>
      <xdr:row>79</xdr:row>
      <xdr:rowOff>171449</xdr:rowOff>
    </xdr:from>
    <xdr:to>
      <xdr:col>7</xdr:col>
      <xdr:colOff>476250</xdr:colOff>
      <xdr:row>129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1" name="Gráfico 30">
              <a:extLst>
                <a:ext uri="{FF2B5EF4-FFF2-40B4-BE49-F238E27FC236}">
                  <a16:creationId xmlns:a16="http://schemas.microsoft.com/office/drawing/2014/main" id="{B75D46E8-DB3B-44C0-99C5-670159CB39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62550" y="14373224"/>
              <a:ext cx="6162675" cy="89154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3</xdr:col>
      <xdr:colOff>561975</xdr:colOff>
      <xdr:row>150</xdr:row>
      <xdr:rowOff>57149</xdr:rowOff>
    </xdr:from>
    <xdr:to>
      <xdr:col>8</xdr:col>
      <xdr:colOff>1057275</xdr:colOff>
      <xdr:row>166</xdr:row>
      <xdr:rowOff>85724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01B2FC9A-A139-4529-8892-3328DACCE1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171450</xdr:colOff>
      <xdr:row>83</xdr:row>
      <xdr:rowOff>0</xdr:rowOff>
    </xdr:from>
    <xdr:to>
      <xdr:col>23</xdr:col>
      <xdr:colOff>285750</xdr:colOff>
      <xdr:row>98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3" name="Gráfico 32">
              <a:extLst>
                <a:ext uri="{FF2B5EF4-FFF2-40B4-BE49-F238E27FC236}">
                  <a16:creationId xmlns:a16="http://schemas.microsoft.com/office/drawing/2014/main" id="{EBECB6DC-452B-48F8-B618-1D4EFAF1532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602325" y="14925675"/>
              <a:ext cx="62103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13</xdr:col>
      <xdr:colOff>185736</xdr:colOff>
      <xdr:row>98</xdr:row>
      <xdr:rowOff>142875</xdr:rowOff>
    </xdr:from>
    <xdr:to>
      <xdr:col>23</xdr:col>
      <xdr:colOff>285749</xdr:colOff>
      <xdr:row>113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4" name="Gráfico 33">
              <a:extLst>
                <a:ext uri="{FF2B5EF4-FFF2-40B4-BE49-F238E27FC236}">
                  <a16:creationId xmlns:a16="http://schemas.microsoft.com/office/drawing/2014/main" id="{B831A16B-4E84-4F5C-A917-74A7FD4BACA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616611" y="17792700"/>
              <a:ext cx="6196013" cy="2733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2</xdr:col>
      <xdr:colOff>671512</xdr:colOff>
      <xdr:row>216</xdr:row>
      <xdr:rowOff>19050</xdr:rowOff>
    </xdr:from>
    <xdr:to>
      <xdr:col>5</xdr:col>
      <xdr:colOff>1366837</xdr:colOff>
      <xdr:row>232</xdr:row>
      <xdr:rowOff>19050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9724517E-5D54-4A38-8579-F780892A8F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4762</xdr:colOff>
      <xdr:row>216</xdr:row>
      <xdr:rowOff>19049</xdr:rowOff>
    </xdr:from>
    <xdr:to>
      <xdr:col>9</xdr:col>
      <xdr:colOff>28575</xdr:colOff>
      <xdr:row>240</xdr:row>
      <xdr:rowOff>85724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7" name="Gráfico 36">
              <a:extLst>
                <a:ext uri="{FF2B5EF4-FFF2-40B4-BE49-F238E27FC236}">
                  <a16:creationId xmlns:a16="http://schemas.microsoft.com/office/drawing/2014/main" id="{6AB1E066-C5EA-4753-A9CB-A094D0EF387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244137" y="38204774"/>
              <a:ext cx="3148013" cy="4181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2</xdr:col>
      <xdr:colOff>661986</xdr:colOff>
      <xdr:row>282</xdr:row>
      <xdr:rowOff>19050</xdr:rowOff>
    </xdr:from>
    <xdr:to>
      <xdr:col>8</xdr:col>
      <xdr:colOff>85725</xdr:colOff>
      <xdr:row>298</xdr:row>
      <xdr:rowOff>19050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DF73E41B-FA5A-4D36-8CF9-0318919746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481012</xdr:colOff>
      <xdr:row>349</xdr:row>
      <xdr:rowOff>47625</xdr:rowOff>
    </xdr:from>
    <xdr:to>
      <xdr:col>5</xdr:col>
      <xdr:colOff>1271587</xdr:colOff>
      <xdr:row>365</xdr:row>
      <xdr:rowOff>47625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A459E5BE-A6E4-4A1D-B24E-E6B4CBA4CB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481012</xdr:colOff>
      <xdr:row>367</xdr:row>
      <xdr:rowOff>47625</xdr:rowOff>
    </xdr:from>
    <xdr:to>
      <xdr:col>5</xdr:col>
      <xdr:colOff>1271587</xdr:colOff>
      <xdr:row>395</xdr:row>
      <xdr:rowOff>142875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1" name="Gráfico 40">
              <a:extLst>
                <a:ext uri="{FF2B5EF4-FFF2-40B4-BE49-F238E27FC236}">
                  <a16:creationId xmlns:a16="http://schemas.microsoft.com/office/drawing/2014/main" id="{87472F85-6288-4133-A8A7-88928F3938A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62537" y="64122300"/>
              <a:ext cx="4572000" cy="4895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579751</xdr:colOff>
      <xdr:row>25</xdr:row>
      <xdr:rowOff>30452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3241A322-3D91-435A-A243-CA04482C1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85351" cy="407857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0</xdr:row>
      <xdr:rowOff>114301</xdr:rowOff>
    </xdr:from>
    <xdr:to>
      <xdr:col>8</xdr:col>
      <xdr:colOff>448950</xdr:colOff>
      <xdr:row>2</xdr:row>
      <xdr:rowOff>57151</xdr:rowOff>
    </xdr:to>
    <xdr:sp macro="" textlink="">
      <xdr:nvSpPr>
        <xdr:cNvPr id="2" name="Title Placeholder 1">
          <a:extLst>
            <a:ext uri="{FF2B5EF4-FFF2-40B4-BE49-F238E27FC236}">
              <a16:creationId xmlns:a16="http://schemas.microsoft.com/office/drawing/2014/main" id="{5213BBE6-3F5B-41A7-9304-4FDD75EF337D}"/>
            </a:ext>
          </a:extLst>
        </xdr:cNvPr>
        <xdr:cNvSpPr txBox="1">
          <a:spLocks/>
        </xdr:cNvSpPr>
      </xdr:nvSpPr>
      <xdr:spPr>
        <a:xfrm>
          <a:off x="285750" y="114301"/>
          <a:ext cx="5040000" cy="285750"/>
        </a:xfrm>
        <a:prstGeom prst="rect">
          <a:avLst/>
        </a:prstGeom>
      </xdr:spPr>
      <xdr:txBody>
        <a:bodyPr vert="horz" wrap="square" lIns="91440" tIns="45720" rIns="91440" bIns="45720" rtlCol="0" anchor="ctr">
          <a:normAutofit/>
        </a:bodyPr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ts val="1900"/>
            </a:lnSpc>
          </a:pPr>
          <a:r>
            <a:rPr lang="en-US">
              <a:solidFill>
                <a:srgbClr val="434343"/>
              </a:solidFill>
              <a:latin typeface="Segoe UI" panose="020B0502040204020203" pitchFamily="34" charset="0"/>
              <a:ea typeface="Open Sans" panose="020B0604020202020204" charset="0"/>
              <a:cs typeface="Segoe UI" panose="020B0502040204020203" pitchFamily="34" charset="0"/>
            </a:rPr>
            <a:t>6.i. People</a:t>
          </a:r>
          <a:r>
            <a:rPr lang="en-US" baseline="0">
              <a:solidFill>
                <a:srgbClr val="434343"/>
              </a:solidFill>
              <a:latin typeface="Segoe UI" panose="020B0502040204020203" pitchFamily="34" charset="0"/>
              <a:ea typeface="Open Sans" panose="020B0604020202020204" charset="0"/>
              <a:cs typeface="Segoe UI" panose="020B0502040204020203" pitchFamily="34" charset="0"/>
            </a:rPr>
            <a:t> Analytics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0</xdr:row>
      <xdr:rowOff>114301</xdr:rowOff>
    </xdr:from>
    <xdr:to>
      <xdr:col>8</xdr:col>
      <xdr:colOff>448950</xdr:colOff>
      <xdr:row>2</xdr:row>
      <xdr:rowOff>57151</xdr:rowOff>
    </xdr:to>
    <xdr:sp macro="" textlink="">
      <xdr:nvSpPr>
        <xdr:cNvPr id="26" name="Title Placeholder 1">
          <a:extLst>
            <a:ext uri="{FF2B5EF4-FFF2-40B4-BE49-F238E27FC236}">
              <a16:creationId xmlns:a16="http://schemas.microsoft.com/office/drawing/2014/main" id="{3DA63EC2-364F-4345-A63C-C4C04A4DE56A}"/>
            </a:ext>
          </a:extLst>
        </xdr:cNvPr>
        <xdr:cNvSpPr txBox="1">
          <a:spLocks/>
        </xdr:cNvSpPr>
      </xdr:nvSpPr>
      <xdr:spPr>
        <a:xfrm>
          <a:off x="285750" y="114301"/>
          <a:ext cx="5040000" cy="285750"/>
        </a:xfrm>
        <a:prstGeom prst="rect">
          <a:avLst/>
        </a:prstGeom>
      </xdr:spPr>
      <xdr:txBody>
        <a:bodyPr vert="horz" wrap="square" lIns="91440" tIns="45720" rIns="91440" bIns="45720" rtlCol="0" anchor="ctr">
          <a:normAutofit/>
        </a:bodyPr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ts val="1900"/>
            </a:lnSpc>
          </a:pPr>
          <a:r>
            <a:rPr lang="en-US">
              <a:solidFill>
                <a:srgbClr val="434343"/>
              </a:solidFill>
              <a:latin typeface="Segoe UI" panose="020B0502040204020203" pitchFamily="34" charset="0"/>
              <a:ea typeface="Open Sans" panose="020B0604020202020204" charset="0"/>
              <a:cs typeface="Segoe UI" panose="020B0502040204020203" pitchFamily="34" charset="0"/>
            </a:rPr>
            <a:t>6.ii. Limite de Crédito</a:t>
          </a:r>
          <a:endParaRPr lang="en-US" baseline="0">
            <a:solidFill>
              <a:srgbClr val="434343"/>
            </a:solidFill>
            <a:latin typeface="Segoe UI" panose="020B0502040204020203" pitchFamily="34" charset="0"/>
            <a:ea typeface="Open Sans" panose="020B0604020202020204" charset="0"/>
            <a:cs typeface="Segoe UI" panose="020B0502040204020203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ber Linhares" refreshedDate="44065.836644791663" createdVersion="6" refreshedVersion="6" minRefreshableVersion="3" recordCount="36" xr:uid="{2735C0A2-4292-4199-B70B-61B0FC8FF75F}">
  <cacheSource type="worksheet">
    <worksheetSource name="Tabela1"/>
  </cacheSource>
  <cacheFields count="7">
    <cacheField name="N" numFmtId="0">
      <sharedItems containsSemiMixedTypes="0" containsString="0" containsNumber="1" containsInteger="1" minValue="1" maxValue="36"/>
    </cacheField>
    <cacheField name="estado_civil" numFmtId="0">
      <sharedItems/>
    </cacheField>
    <cacheField name="grau_instrucao" numFmtId="0">
      <sharedItems count="3">
        <s v="1-ensino fundamental"/>
        <s v="2-ensino medio"/>
        <s v="3-superior"/>
      </sharedItems>
    </cacheField>
    <cacheField name="n_filhos" numFmtId="0">
      <sharedItems containsString="0" containsBlank="1" containsNumber="1" containsInteger="1" minValue="0" maxValue="5"/>
    </cacheField>
    <cacheField name="salario" numFmtId="0">
      <sharedItems containsSemiMixedTypes="0" containsString="0" containsNumber="1" minValue="4" maxValue="23.3"/>
    </cacheField>
    <cacheField name="idade_anos" numFmtId="0">
      <sharedItems containsSemiMixedTypes="0" containsString="0" containsNumber="1" containsInteger="1" minValue="20" maxValue="48" count="24">
        <n v="26"/>
        <n v="32"/>
        <n v="36"/>
        <n v="20"/>
        <n v="40"/>
        <n v="28"/>
        <n v="41"/>
        <n v="43"/>
        <n v="34"/>
        <n v="23"/>
        <n v="33"/>
        <n v="27"/>
        <n v="37"/>
        <n v="44"/>
        <n v="30"/>
        <n v="38"/>
        <n v="31"/>
        <n v="39"/>
        <n v="25"/>
        <n v="35"/>
        <n v="46"/>
        <n v="29"/>
        <n v="48"/>
        <n v="42"/>
      </sharedItems>
    </cacheField>
    <cacheField name="reg_procedencia" numFmtId="0">
      <sharedItems count="3">
        <s v="interior"/>
        <s v="capital"/>
        <s v="outr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ber Linhares" refreshedDate="44065.874521412035" createdVersion="6" refreshedVersion="6" minRefreshableVersion="3" recordCount="36" xr:uid="{FCBE7841-0608-4225-B713-A8AE713575AE}">
  <cacheSource type="worksheet">
    <worksheetSource ref="A1:G37" sheet="6.i. Companhia_MB"/>
  </cacheSource>
  <cacheFields count="7">
    <cacheField name="N" numFmtId="0">
      <sharedItems containsSemiMixedTypes="0" containsString="0" containsNumber="1" containsInteger="1" minValue="1" maxValue="36"/>
    </cacheField>
    <cacheField name="estado_civil" numFmtId="1">
      <sharedItems count="2">
        <s v="solteiro"/>
        <s v="casado"/>
      </sharedItems>
    </cacheField>
    <cacheField name="grau_instrucao" numFmtId="1">
      <sharedItems count="3">
        <s v="1-ensino fundamental"/>
        <s v="2-ensino medio"/>
        <s v="3-superior"/>
      </sharedItems>
    </cacheField>
    <cacheField name="n_filhos" numFmtId="0">
      <sharedItems containsString="0" containsBlank="1" containsNumber="1" containsInteger="1" minValue="0" maxValue="5"/>
    </cacheField>
    <cacheField name="salario" numFmtId="0">
      <sharedItems containsSemiMixedTypes="0" containsString="0" containsNumber="1" minValue="4" maxValue="23.3"/>
    </cacheField>
    <cacheField name="idade_anos" numFmtId="0">
      <sharedItems containsSemiMixedTypes="0" containsString="0" containsNumber="1" containsInteger="1" minValue="20" maxValue="48" count="24">
        <n v="26"/>
        <n v="32"/>
        <n v="36"/>
        <n v="20"/>
        <n v="40"/>
        <n v="28"/>
        <n v="41"/>
        <n v="43"/>
        <n v="34"/>
        <n v="23"/>
        <n v="33"/>
        <n v="27"/>
        <n v="37"/>
        <n v="44"/>
        <n v="30"/>
        <n v="38"/>
        <n v="31"/>
        <n v="39"/>
        <n v="25"/>
        <n v="35"/>
        <n v="46"/>
        <n v="29"/>
        <n v="48"/>
        <n v="42"/>
      </sharedItems>
    </cacheField>
    <cacheField name="reg_procedencia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ber Linhares" refreshedDate="44066.436968402777" createdVersion="6" refreshedVersion="6" minRefreshableVersion="3" recordCount="34" xr:uid="{B0315FFF-5848-4950-B897-14B4103C07FE}">
  <cacheSource type="worksheet">
    <worksheetSource name="Tabela4"/>
  </cacheSource>
  <cacheFields count="4">
    <cacheField name="Procedência" numFmtId="0">
      <sharedItems count="3">
        <s v="outra"/>
        <s v="interior"/>
        <s v="capital"/>
      </sharedItems>
    </cacheField>
    <cacheField name="Quartil" numFmtId="0">
      <sharedItems count="4">
        <s v="Q1"/>
        <s v="Q2"/>
        <s v="Q3"/>
        <s v="Q4"/>
      </sharedItems>
    </cacheField>
    <cacheField name="Cont Proced." numFmtId="0">
      <sharedItems containsSemiMixedTypes="0" containsString="0" containsNumber="1" containsInteger="1" minValue="1" maxValue="2"/>
    </cacheField>
    <cacheField name="Idades" numFmtId="0">
      <sharedItems containsSemiMixedTypes="0" containsString="0" containsNumber="1" containsInteger="1" minValue="20" maxValue="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">
  <r>
    <n v="1"/>
    <s v="solteiro"/>
    <x v="0"/>
    <m/>
    <n v="4"/>
    <x v="0"/>
    <x v="0"/>
  </r>
  <r>
    <n v="2"/>
    <s v="casado"/>
    <x v="0"/>
    <n v="1"/>
    <n v="4.5599999999999996"/>
    <x v="1"/>
    <x v="1"/>
  </r>
  <r>
    <n v="3"/>
    <s v="casado"/>
    <x v="0"/>
    <n v="2"/>
    <n v="5.25"/>
    <x v="2"/>
    <x v="1"/>
  </r>
  <r>
    <n v="4"/>
    <s v="solteiro"/>
    <x v="1"/>
    <m/>
    <n v="5.73"/>
    <x v="3"/>
    <x v="2"/>
  </r>
  <r>
    <n v="5"/>
    <s v="solteiro"/>
    <x v="0"/>
    <m/>
    <n v="6.26"/>
    <x v="4"/>
    <x v="2"/>
  </r>
  <r>
    <n v="6"/>
    <s v="casado"/>
    <x v="0"/>
    <n v="0"/>
    <n v="6.66"/>
    <x v="5"/>
    <x v="0"/>
  </r>
  <r>
    <n v="7"/>
    <s v="solteiro"/>
    <x v="0"/>
    <m/>
    <n v="6.86"/>
    <x v="6"/>
    <x v="0"/>
  </r>
  <r>
    <n v="8"/>
    <s v="solteiro"/>
    <x v="0"/>
    <m/>
    <n v="7.39"/>
    <x v="7"/>
    <x v="1"/>
  </r>
  <r>
    <n v="9"/>
    <s v="casado"/>
    <x v="1"/>
    <n v="1"/>
    <n v="7.59"/>
    <x v="8"/>
    <x v="1"/>
  </r>
  <r>
    <n v="10"/>
    <s v="solteiro"/>
    <x v="1"/>
    <m/>
    <n v="7.44"/>
    <x v="9"/>
    <x v="2"/>
  </r>
  <r>
    <n v="11"/>
    <s v="casado"/>
    <x v="1"/>
    <n v="2"/>
    <n v="8.1199999999999992"/>
    <x v="10"/>
    <x v="0"/>
  </r>
  <r>
    <n v="12"/>
    <s v="solteiro"/>
    <x v="0"/>
    <m/>
    <n v="8.4600000000000009"/>
    <x v="11"/>
    <x v="1"/>
  </r>
  <r>
    <n v="13"/>
    <s v="solteiro"/>
    <x v="1"/>
    <m/>
    <n v="8.74"/>
    <x v="12"/>
    <x v="2"/>
  </r>
  <r>
    <n v="14"/>
    <s v="casado"/>
    <x v="0"/>
    <n v="3"/>
    <n v="8.9499999999999993"/>
    <x v="13"/>
    <x v="2"/>
  </r>
  <r>
    <n v="15"/>
    <s v="casado"/>
    <x v="1"/>
    <n v="0"/>
    <n v="9.1300000000000008"/>
    <x v="14"/>
    <x v="0"/>
  </r>
  <r>
    <n v="16"/>
    <s v="solteiro"/>
    <x v="1"/>
    <m/>
    <n v="9.35"/>
    <x v="15"/>
    <x v="2"/>
  </r>
  <r>
    <n v="17"/>
    <s v="casado"/>
    <x v="1"/>
    <n v="1"/>
    <n v="9.77"/>
    <x v="16"/>
    <x v="1"/>
  </r>
  <r>
    <n v="18"/>
    <s v="casado"/>
    <x v="0"/>
    <n v="2"/>
    <n v="9.8000000000000007"/>
    <x v="17"/>
    <x v="2"/>
  </r>
  <r>
    <n v="19"/>
    <s v="solteiro"/>
    <x v="2"/>
    <m/>
    <n v="10.53"/>
    <x v="18"/>
    <x v="0"/>
  </r>
  <r>
    <n v="20"/>
    <s v="solteiro"/>
    <x v="1"/>
    <m/>
    <n v="10.76"/>
    <x v="12"/>
    <x v="0"/>
  </r>
  <r>
    <n v="21"/>
    <s v="casado"/>
    <x v="1"/>
    <n v="1"/>
    <n v="11.06"/>
    <x v="14"/>
    <x v="2"/>
  </r>
  <r>
    <n v="22"/>
    <s v="solteiro"/>
    <x v="1"/>
    <m/>
    <n v="11.59"/>
    <x v="8"/>
    <x v="1"/>
  </r>
  <r>
    <n v="23"/>
    <s v="solteiro"/>
    <x v="0"/>
    <m/>
    <n v="12"/>
    <x v="6"/>
    <x v="2"/>
  </r>
  <r>
    <n v="24"/>
    <s v="casado"/>
    <x v="2"/>
    <n v="0"/>
    <n v="12.79"/>
    <x v="0"/>
    <x v="2"/>
  </r>
  <r>
    <n v="25"/>
    <s v="casado"/>
    <x v="1"/>
    <n v="2"/>
    <n v="13.23"/>
    <x v="1"/>
    <x v="0"/>
  </r>
  <r>
    <n v="26"/>
    <s v="casado"/>
    <x v="1"/>
    <n v="2"/>
    <n v="13.6"/>
    <x v="19"/>
    <x v="2"/>
  </r>
  <r>
    <n v="27"/>
    <s v="solteiro"/>
    <x v="0"/>
    <m/>
    <n v="13.85"/>
    <x v="20"/>
    <x v="2"/>
  </r>
  <r>
    <n v="28"/>
    <s v="casado"/>
    <x v="1"/>
    <n v="0"/>
    <n v="14.69"/>
    <x v="21"/>
    <x v="0"/>
  </r>
  <r>
    <n v="29"/>
    <s v="casado"/>
    <x v="1"/>
    <n v="5"/>
    <n v="14.71"/>
    <x v="4"/>
    <x v="0"/>
  </r>
  <r>
    <n v="30"/>
    <s v="casado"/>
    <x v="1"/>
    <n v="2"/>
    <n v="15.99"/>
    <x v="19"/>
    <x v="1"/>
  </r>
  <r>
    <n v="31"/>
    <s v="solteiro"/>
    <x v="2"/>
    <m/>
    <n v="16.22"/>
    <x v="16"/>
    <x v="2"/>
  </r>
  <r>
    <n v="32"/>
    <s v="casado"/>
    <x v="1"/>
    <n v="1"/>
    <n v="16.61"/>
    <x v="2"/>
    <x v="0"/>
  </r>
  <r>
    <n v="33"/>
    <s v="casado"/>
    <x v="2"/>
    <n v="3"/>
    <n v="17.260000000000002"/>
    <x v="7"/>
    <x v="1"/>
  </r>
  <r>
    <n v="34"/>
    <s v="solteiro"/>
    <x v="2"/>
    <m/>
    <n v="18.75"/>
    <x v="10"/>
    <x v="1"/>
  </r>
  <r>
    <n v="35"/>
    <s v="casado"/>
    <x v="1"/>
    <n v="2"/>
    <n v="19.399999999999999"/>
    <x v="22"/>
    <x v="1"/>
  </r>
  <r>
    <n v="36"/>
    <s v="casado"/>
    <x v="2"/>
    <n v="3"/>
    <n v="23.3"/>
    <x v="23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">
  <r>
    <n v="1"/>
    <x v="0"/>
    <x v="0"/>
    <m/>
    <n v="4"/>
    <x v="0"/>
    <s v="interior"/>
  </r>
  <r>
    <n v="2"/>
    <x v="1"/>
    <x v="0"/>
    <n v="1"/>
    <n v="4.5599999999999996"/>
    <x v="1"/>
    <s v="capital"/>
  </r>
  <r>
    <n v="3"/>
    <x v="1"/>
    <x v="0"/>
    <n v="2"/>
    <n v="5.25"/>
    <x v="2"/>
    <s v="capital"/>
  </r>
  <r>
    <n v="4"/>
    <x v="0"/>
    <x v="1"/>
    <m/>
    <n v="5.73"/>
    <x v="3"/>
    <s v="outra"/>
  </r>
  <r>
    <n v="5"/>
    <x v="0"/>
    <x v="0"/>
    <m/>
    <n v="6.26"/>
    <x v="4"/>
    <s v="outra"/>
  </r>
  <r>
    <n v="6"/>
    <x v="1"/>
    <x v="0"/>
    <n v="0"/>
    <n v="6.66"/>
    <x v="5"/>
    <s v="interior"/>
  </r>
  <r>
    <n v="7"/>
    <x v="0"/>
    <x v="0"/>
    <m/>
    <n v="6.86"/>
    <x v="6"/>
    <s v="interior"/>
  </r>
  <r>
    <n v="8"/>
    <x v="0"/>
    <x v="0"/>
    <m/>
    <n v="7.39"/>
    <x v="7"/>
    <s v="capital"/>
  </r>
  <r>
    <n v="9"/>
    <x v="1"/>
    <x v="1"/>
    <n v="1"/>
    <n v="7.59"/>
    <x v="8"/>
    <s v="capital"/>
  </r>
  <r>
    <n v="10"/>
    <x v="0"/>
    <x v="1"/>
    <m/>
    <n v="7.44"/>
    <x v="9"/>
    <s v="outra"/>
  </r>
  <r>
    <n v="11"/>
    <x v="1"/>
    <x v="1"/>
    <n v="2"/>
    <n v="8.1199999999999992"/>
    <x v="10"/>
    <s v="interior"/>
  </r>
  <r>
    <n v="12"/>
    <x v="0"/>
    <x v="0"/>
    <m/>
    <n v="8.4600000000000009"/>
    <x v="11"/>
    <s v="capital"/>
  </r>
  <r>
    <n v="13"/>
    <x v="0"/>
    <x v="1"/>
    <m/>
    <n v="8.74"/>
    <x v="12"/>
    <s v="outra"/>
  </r>
  <r>
    <n v="14"/>
    <x v="1"/>
    <x v="0"/>
    <n v="3"/>
    <n v="8.9499999999999993"/>
    <x v="13"/>
    <s v="outra"/>
  </r>
  <r>
    <n v="15"/>
    <x v="1"/>
    <x v="1"/>
    <n v="0"/>
    <n v="9.1300000000000008"/>
    <x v="14"/>
    <s v="interior"/>
  </r>
  <r>
    <n v="16"/>
    <x v="0"/>
    <x v="1"/>
    <m/>
    <n v="9.35"/>
    <x v="15"/>
    <s v="outra"/>
  </r>
  <r>
    <n v="17"/>
    <x v="1"/>
    <x v="1"/>
    <n v="1"/>
    <n v="9.77"/>
    <x v="16"/>
    <s v="capital"/>
  </r>
  <r>
    <n v="18"/>
    <x v="1"/>
    <x v="0"/>
    <n v="2"/>
    <n v="9.8000000000000007"/>
    <x v="17"/>
    <s v="outra"/>
  </r>
  <r>
    <n v="19"/>
    <x v="0"/>
    <x v="2"/>
    <m/>
    <n v="10.53"/>
    <x v="18"/>
    <s v="interior"/>
  </r>
  <r>
    <n v="20"/>
    <x v="0"/>
    <x v="1"/>
    <m/>
    <n v="10.76"/>
    <x v="12"/>
    <s v="interior"/>
  </r>
  <r>
    <n v="21"/>
    <x v="1"/>
    <x v="1"/>
    <n v="1"/>
    <n v="11.06"/>
    <x v="14"/>
    <s v="outra"/>
  </r>
  <r>
    <n v="22"/>
    <x v="0"/>
    <x v="1"/>
    <m/>
    <n v="11.59"/>
    <x v="8"/>
    <s v="capital"/>
  </r>
  <r>
    <n v="23"/>
    <x v="0"/>
    <x v="0"/>
    <m/>
    <n v="12"/>
    <x v="6"/>
    <s v="outra"/>
  </r>
  <r>
    <n v="24"/>
    <x v="1"/>
    <x v="2"/>
    <n v="0"/>
    <n v="12.79"/>
    <x v="0"/>
    <s v="outra"/>
  </r>
  <r>
    <n v="25"/>
    <x v="1"/>
    <x v="1"/>
    <n v="2"/>
    <n v="13.23"/>
    <x v="1"/>
    <s v="interior"/>
  </r>
  <r>
    <n v="26"/>
    <x v="1"/>
    <x v="1"/>
    <n v="2"/>
    <n v="13.6"/>
    <x v="19"/>
    <s v="outra"/>
  </r>
  <r>
    <n v="27"/>
    <x v="0"/>
    <x v="0"/>
    <m/>
    <n v="13.85"/>
    <x v="20"/>
    <s v="outra"/>
  </r>
  <r>
    <n v="28"/>
    <x v="1"/>
    <x v="1"/>
    <n v="0"/>
    <n v="14.69"/>
    <x v="21"/>
    <s v="interior"/>
  </r>
  <r>
    <n v="29"/>
    <x v="1"/>
    <x v="1"/>
    <n v="5"/>
    <n v="14.71"/>
    <x v="4"/>
    <s v="interior"/>
  </r>
  <r>
    <n v="30"/>
    <x v="1"/>
    <x v="1"/>
    <n v="2"/>
    <n v="15.99"/>
    <x v="19"/>
    <s v="capital"/>
  </r>
  <r>
    <n v="31"/>
    <x v="0"/>
    <x v="2"/>
    <m/>
    <n v="16.22"/>
    <x v="16"/>
    <s v="outra"/>
  </r>
  <r>
    <n v="32"/>
    <x v="1"/>
    <x v="1"/>
    <n v="1"/>
    <n v="16.61"/>
    <x v="2"/>
    <s v="interior"/>
  </r>
  <r>
    <n v="33"/>
    <x v="1"/>
    <x v="2"/>
    <n v="3"/>
    <n v="17.260000000000002"/>
    <x v="7"/>
    <s v="capital"/>
  </r>
  <r>
    <n v="34"/>
    <x v="0"/>
    <x v="2"/>
    <m/>
    <n v="18.75"/>
    <x v="10"/>
    <s v="capital"/>
  </r>
  <r>
    <n v="35"/>
    <x v="1"/>
    <x v="1"/>
    <n v="2"/>
    <n v="19.399999999999999"/>
    <x v="22"/>
    <s v="capital"/>
  </r>
  <r>
    <n v="36"/>
    <x v="1"/>
    <x v="2"/>
    <n v="3"/>
    <n v="23.3"/>
    <x v="23"/>
    <s v="interior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">
  <r>
    <x v="0"/>
    <x v="0"/>
    <n v="1"/>
    <n v="20"/>
  </r>
  <r>
    <x v="0"/>
    <x v="0"/>
    <n v="1"/>
    <n v="23"/>
  </r>
  <r>
    <x v="1"/>
    <x v="0"/>
    <n v="1"/>
    <n v="25"/>
  </r>
  <r>
    <x v="1"/>
    <x v="0"/>
    <n v="1"/>
    <n v="26"/>
  </r>
  <r>
    <x v="0"/>
    <x v="0"/>
    <n v="1"/>
    <n v="26"/>
  </r>
  <r>
    <x v="2"/>
    <x v="0"/>
    <n v="1"/>
    <n v="27"/>
  </r>
  <r>
    <x v="1"/>
    <x v="0"/>
    <n v="1"/>
    <n v="28"/>
  </r>
  <r>
    <x v="1"/>
    <x v="0"/>
    <n v="1"/>
    <n v="29"/>
  </r>
  <r>
    <x v="1"/>
    <x v="0"/>
    <n v="1"/>
    <n v="30"/>
  </r>
  <r>
    <x v="0"/>
    <x v="0"/>
    <n v="1"/>
    <n v="30"/>
  </r>
  <r>
    <x v="2"/>
    <x v="1"/>
    <n v="1"/>
    <n v="31"/>
  </r>
  <r>
    <x v="0"/>
    <x v="1"/>
    <n v="1"/>
    <n v="31"/>
  </r>
  <r>
    <x v="2"/>
    <x v="1"/>
    <n v="1"/>
    <n v="32"/>
  </r>
  <r>
    <x v="1"/>
    <x v="1"/>
    <n v="1"/>
    <n v="32"/>
  </r>
  <r>
    <x v="2"/>
    <x v="1"/>
    <n v="1"/>
    <n v="33"/>
  </r>
  <r>
    <x v="1"/>
    <x v="1"/>
    <n v="1"/>
    <n v="33"/>
  </r>
  <r>
    <x v="2"/>
    <x v="1"/>
    <n v="2"/>
    <n v="34"/>
  </r>
  <r>
    <x v="2"/>
    <x v="2"/>
    <n v="1"/>
    <n v="35"/>
  </r>
  <r>
    <x v="0"/>
    <x v="2"/>
    <n v="1"/>
    <n v="35"/>
  </r>
  <r>
    <x v="2"/>
    <x v="2"/>
    <n v="1"/>
    <n v="36"/>
  </r>
  <r>
    <x v="1"/>
    <x v="2"/>
    <n v="1"/>
    <n v="36"/>
  </r>
  <r>
    <x v="1"/>
    <x v="2"/>
    <n v="1"/>
    <n v="37"/>
  </r>
  <r>
    <x v="0"/>
    <x v="2"/>
    <n v="1"/>
    <n v="37"/>
  </r>
  <r>
    <x v="0"/>
    <x v="2"/>
    <n v="1"/>
    <n v="38"/>
  </r>
  <r>
    <x v="0"/>
    <x v="2"/>
    <n v="1"/>
    <n v="39"/>
  </r>
  <r>
    <x v="1"/>
    <x v="2"/>
    <n v="1"/>
    <n v="40"/>
  </r>
  <r>
    <x v="0"/>
    <x v="2"/>
    <n v="1"/>
    <n v="40"/>
  </r>
  <r>
    <x v="1"/>
    <x v="3"/>
    <n v="1"/>
    <n v="41"/>
  </r>
  <r>
    <x v="0"/>
    <x v="3"/>
    <n v="1"/>
    <n v="41"/>
  </r>
  <r>
    <x v="1"/>
    <x v="3"/>
    <n v="1"/>
    <n v="42"/>
  </r>
  <r>
    <x v="2"/>
    <x v="3"/>
    <n v="2"/>
    <n v="43"/>
  </r>
  <r>
    <x v="0"/>
    <x v="3"/>
    <n v="1"/>
    <n v="44"/>
  </r>
  <r>
    <x v="0"/>
    <x v="3"/>
    <n v="1"/>
    <n v="46"/>
  </r>
  <r>
    <x v="2"/>
    <x v="3"/>
    <n v="1"/>
    <n v="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CEA0EB-D445-46EE-8527-40A1FB21C82D}" name="Tabela dinâmica30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140:B165" firstHeaderRow="1" firstDataRow="1" firstDataCol="1"/>
  <pivotFields count="7">
    <pivotField showAll="0"/>
    <pivotField showAll="0"/>
    <pivotField showAll="0"/>
    <pivotField showAll="0"/>
    <pivotField dataField="1" showAll="0"/>
    <pivotField axis="axisRow" showAll="0" sortType="ascending">
      <items count="25">
        <item x="3"/>
        <item x="9"/>
        <item x="18"/>
        <item x="0"/>
        <item x="11"/>
        <item x="5"/>
        <item x="21"/>
        <item x="14"/>
        <item x="16"/>
        <item x="1"/>
        <item x="10"/>
        <item x="8"/>
        <item x="19"/>
        <item x="2"/>
        <item x="12"/>
        <item x="15"/>
        <item x="17"/>
        <item x="4"/>
        <item x="6"/>
        <item x="23"/>
        <item x="7"/>
        <item x="13"/>
        <item x="20"/>
        <item x="22"/>
        <item t="default"/>
      </items>
    </pivotField>
    <pivotField showAll="0"/>
  </pivotFields>
  <rowFields count="1">
    <field x="5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Média de salario" fld="4" subtotal="average" baseField="5" baseItem="0" numFmtId="43"/>
  </dataFields>
  <formats count="1">
    <format dxfId="9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64B707-0887-494B-AF72-4E2CA59E982C}" name="Tabela dinâmica4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16:E342" firstHeaderRow="1" firstDataRow="2" firstDataCol="1"/>
  <pivotFields count="7">
    <pivotField showAll="0"/>
    <pivotField showAll="0"/>
    <pivotField axis="axisCol" dataField="1" showAll="0">
      <items count="4">
        <item x="0"/>
        <item x="1"/>
        <item x="2"/>
        <item t="default"/>
      </items>
    </pivotField>
    <pivotField showAll="0"/>
    <pivotField showAll="0"/>
    <pivotField axis="axisRow" showAll="0">
      <items count="25">
        <item x="3"/>
        <item x="9"/>
        <item x="18"/>
        <item x="0"/>
        <item x="11"/>
        <item x="5"/>
        <item x="21"/>
        <item x="14"/>
        <item x="16"/>
        <item x="1"/>
        <item x="10"/>
        <item x="8"/>
        <item x="19"/>
        <item x="2"/>
        <item x="12"/>
        <item x="15"/>
        <item x="17"/>
        <item x="4"/>
        <item x="6"/>
        <item x="23"/>
        <item x="7"/>
        <item x="13"/>
        <item x="20"/>
        <item x="22"/>
        <item t="default"/>
      </items>
    </pivotField>
    <pivotField showAll="0"/>
  </pivotFields>
  <rowFields count="1">
    <field x="5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Contagem de grau_instrucao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E36C58-4FA7-46FA-9103-D686C09C42D1}" name="Tabela dinâmica27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109:E113" firstHeaderRow="1" firstDataRow="2" firstDataCol="1"/>
  <pivotFields count="7">
    <pivotField showAll="0"/>
    <pivotField axis="axisRow" showAll="0">
      <items count="3">
        <item x="1"/>
        <item x="0"/>
        <item t="default"/>
      </items>
    </pivotField>
    <pivotField axis="axisCol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Contagem de grau_instrucao" fld="2" subtotal="count" baseField="0" baseItem="0"/>
  </dataFields>
  <formats count="24">
    <format dxfId="122">
      <pivotArea type="all" dataOnly="0" outline="0" fieldPosition="0"/>
    </format>
    <format dxfId="121">
      <pivotArea outline="0" collapsedLevelsAreSubtotals="1" fieldPosition="0"/>
    </format>
    <format dxfId="120">
      <pivotArea type="origin" dataOnly="0" labelOnly="1" outline="0" fieldPosition="0"/>
    </format>
    <format dxfId="119">
      <pivotArea field="2" type="button" dataOnly="0" labelOnly="1" outline="0" axis="axisCol" fieldPosition="0"/>
    </format>
    <format dxfId="118">
      <pivotArea type="topRight" dataOnly="0" labelOnly="1" outline="0" fieldPosition="0"/>
    </format>
    <format dxfId="117">
      <pivotArea field="1" type="button" dataOnly="0" labelOnly="1" outline="0" axis="axisRow" fieldPosition="0"/>
    </format>
    <format dxfId="116">
      <pivotArea dataOnly="0" labelOnly="1" fieldPosition="0">
        <references count="1">
          <reference field="1" count="0"/>
        </references>
      </pivotArea>
    </format>
    <format dxfId="115">
      <pivotArea dataOnly="0" labelOnly="1" grandRow="1" outline="0" fieldPosition="0"/>
    </format>
    <format dxfId="114">
      <pivotArea dataOnly="0" labelOnly="1" fieldPosition="0">
        <references count="1">
          <reference field="2" count="0"/>
        </references>
      </pivotArea>
    </format>
    <format dxfId="113">
      <pivotArea dataOnly="0" labelOnly="1" grandCol="1" outline="0" fieldPosition="0"/>
    </format>
    <format dxfId="112">
      <pivotArea type="origin" dataOnly="0" labelOnly="1" outline="0" fieldPosition="0"/>
    </format>
    <format dxfId="111">
      <pivotArea field="2" type="button" dataOnly="0" labelOnly="1" outline="0" axis="axisCol" fieldPosition="0"/>
    </format>
    <format dxfId="110">
      <pivotArea type="topRight" dataOnly="0" labelOnly="1" outline="0" fieldPosition="0"/>
    </format>
    <format dxfId="109">
      <pivotArea field="1" type="button" dataOnly="0" labelOnly="1" outline="0" axis="axisRow" fieldPosition="0"/>
    </format>
    <format dxfId="108">
      <pivotArea dataOnly="0" labelOnly="1" fieldPosition="0">
        <references count="1">
          <reference field="2" count="0"/>
        </references>
      </pivotArea>
    </format>
    <format dxfId="107">
      <pivotArea dataOnly="0" labelOnly="1" grandCol="1" outline="0" fieldPosition="0"/>
    </format>
    <format dxfId="106">
      <pivotArea field="2" type="button" dataOnly="0" labelOnly="1" outline="0" axis="axisCol" fieldPosition="0"/>
    </format>
    <format dxfId="105">
      <pivotArea type="topRight" dataOnly="0" labelOnly="1" outline="0" fieldPosition="0"/>
    </format>
    <format dxfId="104">
      <pivotArea dataOnly="0" labelOnly="1" fieldPosition="0">
        <references count="1">
          <reference field="2" count="0"/>
        </references>
      </pivotArea>
    </format>
    <format dxfId="103">
      <pivotArea dataOnly="0" labelOnly="1" grandCol="1" outline="0" fieldPosition="0"/>
    </format>
    <format dxfId="102">
      <pivotArea field="2" type="button" dataOnly="0" labelOnly="1" outline="0" axis="axisCol" fieldPosition="0"/>
    </format>
    <format dxfId="101">
      <pivotArea type="topRight" dataOnly="0" labelOnly="1" outline="0" fieldPosition="0"/>
    </format>
    <format dxfId="100">
      <pivotArea dataOnly="0" labelOnly="1" fieldPosition="0">
        <references count="1">
          <reference field="2" count="0"/>
        </references>
      </pivotArea>
    </format>
    <format dxfId="99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635D71-1DEF-4072-AF48-D54CAB0B9455}" name="Tabela dinâmica23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F217:K222" firstHeaderRow="1" firstDataRow="2" firstDataCol="1"/>
  <pivotFields count="4">
    <pivotField axis="axisRow" showAll="0">
      <items count="4">
        <item x="2"/>
        <item x="1"/>
        <item x="0"/>
        <item t="default"/>
      </items>
    </pivotField>
    <pivotField axis="axisCol" multipleItemSelectionAllowed="1" showAll="0">
      <items count="5">
        <item x="0"/>
        <item x="1"/>
        <item x="2"/>
        <item x="3"/>
        <item t="default"/>
      </items>
    </pivotField>
    <pivotField dataField="1" showAll="0"/>
    <pivotField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Soma de Cont Proced.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B534BF-7F15-4876-AD61-7ED4952A7C73}" name="Tabela dinâmica24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69:B73" firstHeaderRow="1" firstDataRow="1" firstDataCol="1"/>
  <pivotFields count="7"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dataField="1"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Média de salario" fld="4" subtotal="average" baseField="2" baseItem="0" numFmtId="43"/>
  </dataFields>
  <formats count="7">
    <format dxfId="129">
      <pivotArea outline="0" collapsedLevelsAreSubtotals="1" fieldPosition="0"/>
    </format>
    <format dxfId="128">
      <pivotArea type="all" dataOnly="0" outline="0" fieldPosition="0"/>
    </format>
    <format dxfId="127">
      <pivotArea outline="0" collapsedLevelsAreSubtotals="1" fieldPosition="0"/>
    </format>
    <format dxfId="126">
      <pivotArea field="2" type="button" dataOnly="0" labelOnly="1" outline="0" axis="axisRow" fieldPosition="0"/>
    </format>
    <format dxfId="125">
      <pivotArea dataOnly="0" labelOnly="1" fieldPosition="0">
        <references count="1">
          <reference field="2" count="0"/>
        </references>
      </pivotArea>
    </format>
    <format dxfId="124">
      <pivotArea dataOnly="0" labelOnly="1" grandRow="1" outline="0" fieldPosition="0"/>
    </format>
    <format dxfId="12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308BF5-2B9D-4EA3-BF2F-53A5B6153ACF}" name="Tabela dinâmica16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A11:AE16" firstHeaderRow="1" firstDataRow="2" firstDataCol="1"/>
  <pivotFields count="7">
    <pivotField showAll="0"/>
    <pivotField showAll="0"/>
    <pivotField axis="axisCol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Contagem de grau_instrucao" fld="2" subtotal="count" baseField="0" baseItem="0"/>
  </dataFields>
  <formats count="10">
    <format dxfId="139">
      <pivotArea type="all" dataOnly="0" outline="0" fieldPosition="0"/>
    </format>
    <format dxfId="138">
      <pivotArea outline="0" collapsedLevelsAreSubtotals="1" fieldPosition="0"/>
    </format>
    <format dxfId="137">
      <pivotArea type="origin" dataOnly="0" labelOnly="1" outline="0" fieldPosition="0"/>
    </format>
    <format dxfId="136">
      <pivotArea field="2" type="button" dataOnly="0" labelOnly="1" outline="0" axis="axisCol" fieldPosition="0"/>
    </format>
    <format dxfId="135">
      <pivotArea type="topRight" dataOnly="0" labelOnly="1" outline="0" fieldPosition="0"/>
    </format>
    <format dxfId="134">
      <pivotArea field="6" type="button" dataOnly="0" labelOnly="1" outline="0" axis="axisRow" fieldPosition="0"/>
    </format>
    <format dxfId="133">
      <pivotArea dataOnly="0" labelOnly="1" fieldPosition="0">
        <references count="1">
          <reference field="6" count="0"/>
        </references>
      </pivotArea>
    </format>
    <format dxfId="132">
      <pivotArea dataOnly="0" labelOnly="1" grandRow="1" outline="0" fieldPosition="0"/>
    </format>
    <format dxfId="131">
      <pivotArea dataOnly="0" labelOnly="1" fieldPosition="0">
        <references count="1">
          <reference field="2" count="0"/>
        </references>
      </pivotArea>
    </format>
    <format dxfId="13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467041-BD84-485D-826F-A49497863372}" name="Tabela dinâmica29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270:B295" firstHeaderRow="1" firstDataRow="1" firstDataCol="1"/>
  <pivotFields count="7">
    <pivotField showAll="0"/>
    <pivotField showAll="0"/>
    <pivotField showAll="0"/>
    <pivotField dataField="1" showAll="0"/>
    <pivotField showAll="0"/>
    <pivotField axis="axisRow" showAll="0">
      <items count="25">
        <item x="3"/>
        <item x="9"/>
        <item x="18"/>
        <item x="0"/>
        <item x="11"/>
        <item x="5"/>
        <item x="21"/>
        <item x="14"/>
        <item x="16"/>
        <item x="1"/>
        <item x="10"/>
        <item x="8"/>
        <item x="19"/>
        <item x="2"/>
        <item x="12"/>
        <item x="15"/>
        <item x="17"/>
        <item x="4"/>
        <item x="6"/>
        <item x="23"/>
        <item x="7"/>
        <item x="13"/>
        <item x="20"/>
        <item x="22"/>
        <item t="default"/>
      </items>
    </pivotField>
    <pivotField showAll="0"/>
  </pivotFields>
  <rowFields count="1">
    <field x="5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Soma de n_filho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3204075-1C2F-401E-A92D-8A99F6DF2AA7}" name="Tabela9" displayName="Tabela9" ref="A1:F49" totalsRowShown="0" headerRowDxfId="150" dataDxfId="148" headerRowBorderDxfId="149" tableBorderDxfId="147" totalsRowBorderDxfId="146" dataCellStyle="Moeda 2">
  <autoFilter ref="A1:F49" xr:uid="{129524CB-9D5B-4DA6-BEBD-1D3F59E742FC}"/>
  <sortState xmlns:xlrd2="http://schemas.microsoft.com/office/spreadsheetml/2017/richdata2" ref="A2:F49">
    <sortCondition ref="A1:A49"/>
  </sortState>
  <tableColumns count="6">
    <tableColumn id="1" xr3:uid="{1B7DAB48-1DB8-4AC5-A5A6-7B53BCE6E653}" name="Código do Cliente" dataDxfId="145"/>
    <tableColumn id="2" xr3:uid="{BADD3641-E71E-490F-8AEA-AE3446C8AD8F}" name="Idade" dataDxfId="144"/>
    <tableColumn id="3" xr3:uid="{1FA19DBA-621B-4E5F-96D9-34B9D65E2276}" name="Rendimento Total" dataDxfId="143" dataCellStyle="Moeda 2"/>
    <tableColumn id="4" xr3:uid="{61A85C14-64EE-4B83-9528-D4ECBE3829C0}" name="Salário" dataDxfId="142" dataCellStyle="Moeda 2"/>
    <tableColumn id="5" xr3:uid="{8095C4A6-EF6D-42BC-B316-E09B2A4015A2}" name="Limite de Crédito Imediato" dataDxfId="141" dataCellStyle="Moeda 2"/>
    <tableColumn id="6" xr3:uid="{8C4C3425-B895-4C08-8AA6-0E142BA62998}" name="Limite do Cheque Especial" dataDxfId="140" dataCellStyle="Moeda 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923798F-0AF8-49BE-8490-C7F83C54434B}" name="Tabela1" displayName="Tabela1" ref="A11:G48" totalsRowCount="1" headerRowDxfId="97" dataDxfId="96" totalsRowDxfId="95">
  <autoFilter ref="A11:G47" xr:uid="{A5176105-0D80-400A-92E5-A1A306351840}"/>
  <sortState xmlns:xlrd2="http://schemas.microsoft.com/office/spreadsheetml/2017/richdata2" ref="A12:G47">
    <sortCondition ref="A11:A47"/>
  </sortState>
  <tableColumns count="7">
    <tableColumn id="1" xr3:uid="{4CED487B-56FC-41DD-9792-D1EE9EFC3777}" name="N" dataDxfId="94" totalsRowDxfId="93"/>
    <tableColumn id="2" xr3:uid="{1508E4EA-8E77-43E3-9B4E-F175F4F39FDE}" name="estado_civil" dataDxfId="92" totalsRowDxfId="91"/>
    <tableColumn id="3" xr3:uid="{58EE0C0E-9FB2-4777-90FC-C1991CBF74C6}" name="grau_instrucao" totalsRowFunction="custom" dataDxfId="90" totalsRowDxfId="89">
      <totalsRowFormula>COUNTIF(Tabela1[grau_instrucao],"1-ensino fundamental")</totalsRowFormula>
    </tableColumn>
    <tableColumn id="4" xr3:uid="{B60E16E4-5CCA-4B96-A8BB-890E035E2C36}" name="n_filhos" dataDxfId="88" totalsRowDxfId="87"/>
    <tableColumn id="5" xr3:uid="{91FA7DCD-7EF7-4D7F-A276-C2FE923DA4D8}" name="salario" dataDxfId="86" totalsRowDxfId="85"/>
    <tableColumn id="6" xr3:uid="{493DFC7C-063C-4B31-837A-949B61DB6390}" name="idade_anos" dataDxfId="84" totalsRowDxfId="83"/>
    <tableColumn id="7" xr3:uid="{5E6F85B3-55DD-4D42-9ECD-4C530C03D5A6}" name="reg_procedencia" dataDxfId="82" totalsRowDxfId="8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011B419-9889-4977-8196-D0D10538A667}" name="Tabela2" displayName="Tabela2" ref="AA19:AD22" totalsRowShown="0" headerRowDxfId="80" dataDxfId="79">
  <autoFilter ref="AA19:AD22" xr:uid="{CC09FB23-C89F-45A5-8D02-C41B6002D66A}"/>
  <tableColumns count="4">
    <tableColumn id="1" xr3:uid="{79598CEE-1252-43F2-AB6C-723FAF7BE9D1}" name="Região" dataDxfId="78"/>
    <tableColumn id="2" xr3:uid="{E31E0EE9-397A-4590-AA69-001ACEA1EEE7}" name="% EnsinoFund" dataDxfId="77" dataCellStyle="Porcentagem"/>
    <tableColumn id="3" xr3:uid="{9E184FA5-D662-44C2-9918-20EE0A309691}" name="% Ensino Méd" dataDxfId="76" dataCellStyle="Porcentagem"/>
    <tableColumn id="4" xr3:uid="{A93C945B-DBB1-4D11-91D6-4466DEF2126D}" name="% Super." dataDxfId="75" dataCellStyle="Porcentagem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8F93EAE-0CCF-46F9-BE14-194C1AEC43A9}" name="Tabela3" displayName="Tabela3" ref="A75:C78" totalsRowShown="0" headerRowDxfId="74" dataDxfId="73">
  <autoFilter ref="A75:C78" xr:uid="{951A60B1-586B-4161-9B8A-9945CB1A81E9}"/>
  <tableColumns count="3">
    <tableColumn id="1" xr3:uid="{602BF235-2E8A-49AC-A141-5922A92A5A72}" name="Grau Instr." dataDxfId="72"/>
    <tableColumn id="2" xr3:uid="{684350A5-CE42-4E0F-B246-DFED3F3F0977}" name="Média Salarial " dataDxfId="71" dataCellStyle="Vírgula">
      <calculatedColumnFormula>AVERAGEIF(Tabela1[grau_instrucao],A76,Tabela1[salario])</calculatedColumnFormula>
    </tableColumn>
    <tableColumn id="3" xr3:uid="{5C63F78A-31FE-4317-A7E6-09F08ABCA0AE}" name="Mediana Salárial " dataDxfId="70" dataCellStyle="Vírgula">
      <calculatedColumnFormula array="1">MEDIAN(IF(Tabela1[grau_instrucao]=A76,Tabela1[salario]))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53867B4-C0E4-45FD-AC75-81F74495C987}" name="Tabela5" displayName="Tabela5" ref="A116:C119" totalsRowShown="0" headerRowDxfId="69" dataDxfId="68">
  <autoFilter ref="A116:C119" xr:uid="{EE8AF7B0-B5B4-4B45-8207-DCD7A2C5C78B}"/>
  <tableColumns count="3">
    <tableColumn id="1" xr3:uid="{C6A2515C-2398-4132-894E-F1698A4B821A}" name="Rótulos de Linha" dataDxfId="67"/>
    <tableColumn id="2" xr3:uid="{012CD54C-A54A-4D64-B717-92CE0150340C}" name="casado" dataDxfId="66"/>
    <tableColumn id="3" xr3:uid="{E41CAC4A-2B3E-4AEE-A006-4859BF253726}" name="solteiro" dataDxfId="65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08A1F86-5BC5-4676-B799-EF70F23BA5EF}" name="Tabela6" displayName="Tabela6" ref="D140:E164" totalsRowShown="0" headerRowDxfId="64" dataDxfId="63">
  <autoFilter ref="D140:E164" xr:uid="{7A2ADCB9-82F9-480A-B706-CC7CE51D55AA}"/>
  <tableColumns count="2">
    <tableColumn id="1" xr3:uid="{FA05EF0B-FF67-447D-B9DE-2C20450D4C05}" name="Idade" dataDxfId="62"/>
    <tableColumn id="2" xr3:uid="{BBA163C5-6BB1-4198-883E-1956FDF9C0DD}" name="Média de salario" dataDxfId="61" dataCellStyle="Vírgula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5CCCBD8-CA02-4CA5-8C72-E22447798088}" name="Tabela4" displayName="Tabela4" ref="A217:D251" totalsRowShown="0" headerRowDxfId="60" dataDxfId="59">
  <autoFilter ref="A217:D251" xr:uid="{FB28F502-9FE4-46E1-8023-1B42AE5EC8C8}"/>
  <sortState xmlns:xlrd2="http://schemas.microsoft.com/office/spreadsheetml/2017/richdata2" ref="A218:D251">
    <sortCondition ref="B217:B251"/>
  </sortState>
  <tableColumns count="4">
    <tableColumn id="1" xr3:uid="{1CA0B970-1F4E-4FA1-8327-08A0019C5A2A}" name="Procedência" dataDxfId="58"/>
    <tableColumn id="2" xr3:uid="{438B4AF6-6D8F-437A-B08E-BE3DF02887FA}" name="Quartil" dataDxfId="57"/>
    <tableColumn id="5" xr3:uid="{4EC9E962-980A-4953-9509-27FB310B741F}" name="Cont Proced." dataDxfId="56"/>
    <tableColumn id="3" xr3:uid="{1BD93E11-F71D-4F05-815F-D60D6F9BF27E}" name="Idades" dataDxfId="55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7900D3D-676F-4473-B787-0D3C29B78CAF}" name="Tabela7" displayName="Tabela7" ref="D270:F286" totalsRowShown="0" headerRowDxfId="54" dataDxfId="53">
  <autoFilter ref="D270:F286" xr:uid="{FBF07D8C-C407-458E-94C5-EAF9CB156A06}"/>
  <sortState xmlns:xlrd2="http://schemas.microsoft.com/office/spreadsheetml/2017/richdata2" ref="D271:F286">
    <sortCondition ref="D270:D286"/>
  </sortState>
  <tableColumns count="3">
    <tableColumn id="1" xr3:uid="{8F6BEC4F-C88D-466E-97B2-08078E73257E}" name="Idade" dataDxfId="52"/>
    <tableColumn id="2" xr3:uid="{40B116AB-5A8B-4A1F-A2B4-EEC16169FFB7}" name="Quartís" dataDxfId="51"/>
    <tableColumn id="3" xr3:uid="{2A2C0597-45CB-4823-8766-B32F1A243BA9}" name="Soma de n_filhos" dataDxfId="50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9FE1A23-5B26-4658-8034-81B2C1798F7A}" name="Tabela8" displayName="Tabela8" ref="D288:F291" totalsRowShown="0" headerRowDxfId="49">
  <autoFilter ref="D288:F291" xr:uid="{EC508E96-77BE-421E-947C-77E8E0D29A31}"/>
  <tableColumns count="3">
    <tableColumn id="1" xr3:uid="{66335F4B-31ED-4952-A741-76FAE7D1030F}" name="Quartís" dataDxfId="48"/>
    <tableColumn id="2" xr3:uid="{6392AC52-DD83-49D0-B525-07A8B9276242}" name="Nro Filhos" dataDxfId="47"/>
    <tableColumn id="3" xr3:uid="{66011F7B-3A40-439F-A20C-7C5738B9C0F9}" name="% Nro Filhos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37DC599-6376-444D-9BD9-07948CD7B75A}" name="Tabela10" displayName="Tabela10" ref="G317:K341" totalsRowShown="0" headerRowDxfId="46" dataDxfId="45">
  <autoFilter ref="G317:K341" xr:uid="{572D7DC6-E4B4-41F2-9A77-CC8C084640FD}"/>
  <sortState xmlns:xlrd2="http://schemas.microsoft.com/office/spreadsheetml/2017/richdata2" ref="G318:K341">
    <sortCondition ref="G317:G341"/>
  </sortState>
  <tableColumns count="5">
    <tableColumn id="1" xr3:uid="{4B6281E7-9DFC-4D66-9DE5-8B5EF7E7C8D4}" name="Rótulos de Linha" dataDxfId="44"/>
    <tableColumn id="6" xr3:uid="{89E6E059-987B-4806-BD3C-23C42AE1F5DA}" name="Quartís" dataDxfId="43"/>
    <tableColumn id="2" xr3:uid="{E0A982F2-3A14-4504-9368-478A324E6410}" name="1-ensino fundamental" dataDxfId="42"/>
    <tableColumn id="3" xr3:uid="{C425D9FF-41E5-4F02-A379-AB1E95D05504}" name="2-ensino medio" dataDxfId="41"/>
    <tableColumn id="4" xr3:uid="{EA340A68-D952-459A-A290-B963A3CF314A}" name="3-superior" dataDxfId="40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B0C0566-E2BB-4C97-AF19-FEA57AD6165F}" name="Tabela11" displayName="Tabela11" ref="H343:K345" totalsRowShown="0" headerRowDxfId="39" dataDxfId="38">
  <autoFilter ref="H343:K345" xr:uid="{B5EA278B-C28E-441C-B338-60E5653980F0}"/>
  <tableColumns count="4">
    <tableColumn id="1" xr3:uid="{86C6B8E8-A9CD-4D82-AE92-A1F78066FF75}" name="Coluna1" dataDxfId="37"/>
    <tableColumn id="2" xr3:uid="{B703ED5E-446B-4B90-BFF6-913C9FD2CBC2}" name="1-ensino fundamental" dataDxfId="36">
      <calculatedColumnFormula>SUM(I329:I340)</calculatedColumnFormula>
    </tableColumn>
    <tableColumn id="3" xr3:uid="{6C17428D-2DCF-4FED-B60B-9468AB31B371}" name="2-ensino medio" dataDxfId="35">
      <calculatedColumnFormula>SUM(J329:J340)</calculatedColumnFormula>
    </tableColumn>
    <tableColumn id="4" xr3:uid="{D98AB378-DCF5-49EB-B8CE-DE8959843A89}" name="3-superior" dataDxfId="34">
      <calculatedColumnFormula>SUM(K329:K340)</calculatedColumnFormula>
    </tableColumn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C63F19D-7F97-4894-A7E7-986FBB1E778C}" name="Tabela12" displayName="Tabela12" ref="A11:F59" totalsRowShown="0">
  <autoFilter ref="A11:F59" xr:uid="{E9BC520F-83EA-4317-889C-583D662D3F4D}"/>
  <sortState xmlns:xlrd2="http://schemas.microsoft.com/office/spreadsheetml/2017/richdata2" ref="A12:F59">
    <sortCondition ref="D11:D59"/>
  </sortState>
  <tableColumns count="6">
    <tableColumn id="1" xr3:uid="{CCDAC99D-A6C1-44CE-859F-7AD6247303A4}" name="Código do Cliente"/>
    <tableColumn id="2" xr3:uid="{26880A4E-4FE5-4D25-BE6C-9112541F207D}" name="Idade"/>
    <tableColumn id="3" xr3:uid="{0775F9BF-E3E0-4444-A756-B5852E882DE4}" name="Rendimento Total" dataCellStyle="Vírgula"/>
    <tableColumn id="4" xr3:uid="{35F04422-A063-4184-8DEF-DB0D3C47098A}" name="Salário" dataCellStyle="Vírgula"/>
    <tableColumn id="5" xr3:uid="{E21F9A2D-9654-4034-A8AE-DC3ABA64E54A}" name="Limite de Crédito Imediato" dataCellStyle="Vírgula"/>
    <tableColumn id="6" xr3:uid="{1FCE46BD-E188-40DE-B500-DE619F093859}" name="Limite do Cheque Especial" dataCellStyle="Vírgula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74862E2-5B42-458A-B50C-3B0C6D4B3D0B}" name="Tabela13" displayName="Tabela13" ref="A81:C129" totalsRowShown="0" headerRowDxfId="33" dataDxfId="32">
  <autoFilter ref="A81:C129" xr:uid="{08B6FCE2-559D-4D0F-98FC-6BD98451104C}"/>
  <sortState xmlns:xlrd2="http://schemas.microsoft.com/office/spreadsheetml/2017/richdata2" ref="A82:C129">
    <sortCondition ref="B81:B129"/>
  </sortState>
  <tableColumns count="3">
    <tableColumn id="1" xr3:uid="{6B2D2164-147D-497E-9FCC-93505574AA71}" name="Idade" dataDxfId="31"/>
    <tableColumn id="2" xr3:uid="{A743BD8F-1300-4EA4-9249-5D37014DA264}" name="Rendimento Total" dataDxfId="30" dataCellStyle="Vírgula"/>
    <tableColumn id="3" xr3:uid="{6835321F-DF91-4720-A0E7-7992755F7F54}" name="Salário" dataDxfId="29" dataCellStyle="Vírgula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464AA9E-C529-4864-BF5F-2DD4F2B8FE88}" name="Tabela14" displayName="Tabela14" ref="I80:K82" totalsRowShown="0" headerRowDxfId="28" dataDxfId="27" dataCellStyle="Vírgula">
  <autoFilter ref="I80:K82" xr:uid="{DD8FF983-C7BE-4C00-BF1B-A3B82C9E3D3C}"/>
  <tableColumns count="3">
    <tableColumn id="1" xr3:uid="{6A98A3D8-F594-4704-B06D-D117F9457D2F}" name="Coluna1" dataDxfId="26" dataCellStyle="Vírgula"/>
    <tableColumn id="2" xr3:uid="{7E41E9B1-4424-46B1-AE2D-3401D9FC0669}" name="Média" dataDxfId="25" dataCellStyle="Vírgula">
      <calculatedColumnFormula>AVERAGE(Tabela13[Salário])</calculatedColumnFormula>
    </tableColumn>
    <tableColumn id="3" xr3:uid="{C273CD49-A24F-43A5-9B24-972E57B76FA8}" name="Moda" dataDxfId="24" dataCellStyle="Vírgula">
      <calculatedColumnFormula>_xlfn.MODE.SNGL(Tabela13[Salário])</calculatedColumnFormula>
    </tableColumn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63718F62-87E9-4D06-BA1E-C0B64955C7C3}" name="Tabela1316" displayName="Tabela1316" ref="A151:C199" totalsRowShown="0" headerRowDxfId="23" dataDxfId="22">
  <autoFilter ref="A151:C199" xr:uid="{237CA992-B353-4BDC-92AC-1B6F1BEB63E2}"/>
  <sortState xmlns:xlrd2="http://schemas.microsoft.com/office/spreadsheetml/2017/richdata2" ref="A152:C199">
    <sortCondition ref="B151:B199"/>
  </sortState>
  <tableColumns count="3">
    <tableColumn id="1" xr3:uid="{ED887740-87CA-44EE-8077-FB154B9D240D}" name="Idade" dataDxfId="21"/>
    <tableColumn id="2" xr3:uid="{A905206C-4AA1-46EA-BDE4-D78276CB1DFA}" name="Rendimento Total" dataDxfId="20" dataCellStyle="Vírgula"/>
    <tableColumn id="3" xr3:uid="{DAF00312-0387-42FC-8F81-1E740B215607}" name="Salário" dataDxfId="19" dataCellStyle="Vírgula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CEAC4BA1-A381-446E-ADD5-1853D0C29D66}" name="Tabela131617" displayName="Tabela131617" ref="A217:B265" totalsRowShown="0" headerRowDxfId="18" dataDxfId="17">
  <autoFilter ref="A217:B265" xr:uid="{03283DCB-0D2C-45CA-9720-FD0D46F3D7A1}"/>
  <sortState xmlns:xlrd2="http://schemas.microsoft.com/office/spreadsheetml/2017/richdata2" ref="A218:B265">
    <sortCondition ref="B217:B265"/>
  </sortState>
  <tableColumns count="2">
    <tableColumn id="1" xr3:uid="{86A11C7A-A045-41DE-9CF5-6946E7EFCB5E}" name="Idade" dataDxfId="16"/>
    <tableColumn id="3" xr3:uid="{C00529AA-241D-4636-A588-33D5F876DDF5}" name="Salário" dataDxfId="15" dataCellStyle="Vírgula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4AF20DCE-4A3D-481B-BAA7-007CD3176839}" name="Tabela17" displayName="Tabela17" ref="A283:B331" totalsRowShown="0" headerRowDxfId="14" dataDxfId="12" headerRowBorderDxfId="13" tableBorderDxfId="11" totalsRowBorderDxfId="10">
  <autoFilter ref="A283:B331" xr:uid="{9FB82FE0-8A2C-4B74-BAC4-65EF81922FCE}"/>
  <sortState xmlns:xlrd2="http://schemas.microsoft.com/office/spreadsheetml/2017/richdata2" ref="A284:B331">
    <sortCondition ref="A283:A331"/>
  </sortState>
  <tableColumns count="2">
    <tableColumn id="1" xr3:uid="{AD4B35CF-C981-45AA-9557-FCE634DFB24C}" name="Salário" dataDxfId="9" dataCellStyle="Moeda 2"/>
    <tableColumn id="2" xr3:uid="{42881A38-7B0D-4694-89BF-6F0D5FCAB9B0}" name="Limite de Crédito Imediato" dataDxfId="8" dataCellStyle="Moeda 2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CE14AE3-70C3-4EE7-9083-A7880F51A8C9}" name="Tabela18" displayName="Tabela18" ref="A350:C398" totalsRowShown="0" headerRowDxfId="7" dataDxfId="5" headerRowBorderDxfId="6" tableBorderDxfId="4" totalsRowBorderDxfId="3">
  <autoFilter ref="A350:C398" xr:uid="{B8F90D60-E13E-44C2-ACFE-90D6C5A7D555}"/>
  <sortState xmlns:xlrd2="http://schemas.microsoft.com/office/spreadsheetml/2017/richdata2" ref="A351:C398">
    <sortCondition ref="B350:B398"/>
  </sortState>
  <tableColumns count="3">
    <tableColumn id="1" xr3:uid="{F6DE3871-8E46-48E7-BB60-3205E06102B2}" name="Salário" dataDxfId="2" dataCellStyle="Moeda 2"/>
    <tableColumn id="2" xr3:uid="{384439B0-458B-4DC5-89AC-CFEF7235362F}" name="Limite do Cheque Especial" dataDxfId="1" dataCellStyle="Moeda 2"/>
    <tableColumn id="3" xr3:uid="{9717A971-A1B6-410D-A4D3-881D0846E553}" name="Coluna1" dataDxfId="0" dataCellStyle="Porcentagem">
      <calculatedColumnFormula>Tabela18[[#This Row],[Limite do Cheque Especial]]/Tabela18[[#This Row],[Salário]]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4.bin"/><Relationship Id="rId13" Type="http://schemas.openxmlformats.org/officeDocument/2006/relationships/table" Target="../tables/table5.xml"/><Relationship Id="rId18" Type="http://schemas.openxmlformats.org/officeDocument/2006/relationships/table" Target="../tables/table10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table" Target="../tables/table4.xml"/><Relationship Id="rId17" Type="http://schemas.openxmlformats.org/officeDocument/2006/relationships/table" Target="../tables/table9.xml"/><Relationship Id="rId2" Type="http://schemas.openxmlformats.org/officeDocument/2006/relationships/pivotTable" Target="../pivotTables/pivotTable2.xml"/><Relationship Id="rId16" Type="http://schemas.openxmlformats.org/officeDocument/2006/relationships/table" Target="../tables/table8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table" Target="../tables/table3.xml"/><Relationship Id="rId5" Type="http://schemas.openxmlformats.org/officeDocument/2006/relationships/pivotTable" Target="../pivotTables/pivotTable5.xml"/><Relationship Id="rId15" Type="http://schemas.openxmlformats.org/officeDocument/2006/relationships/table" Target="../tables/table7.xml"/><Relationship Id="rId10" Type="http://schemas.openxmlformats.org/officeDocument/2006/relationships/table" Target="../tables/table2.xml"/><Relationship Id="rId19" Type="http://schemas.openxmlformats.org/officeDocument/2006/relationships/table" Target="../tables/table11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6.xml"/><Relationship Id="rId14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7.xml"/><Relationship Id="rId3" Type="http://schemas.openxmlformats.org/officeDocument/2006/relationships/table" Target="../tables/table12.xml"/><Relationship Id="rId7" Type="http://schemas.openxmlformats.org/officeDocument/2006/relationships/table" Target="../tables/table16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Relationship Id="rId6" Type="http://schemas.openxmlformats.org/officeDocument/2006/relationships/table" Target="../tables/table15.xml"/><Relationship Id="rId5" Type="http://schemas.openxmlformats.org/officeDocument/2006/relationships/table" Target="../tables/table14.xml"/><Relationship Id="rId4" Type="http://schemas.openxmlformats.org/officeDocument/2006/relationships/table" Target="../tables/table13.xml"/><Relationship Id="rId9" Type="http://schemas.openxmlformats.org/officeDocument/2006/relationships/table" Target="../tables/table1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7D09E-DE1D-4F3B-B128-3A7B214452C1}">
  <sheetPr>
    <tabColor rgb="FFC7F1F0"/>
  </sheetPr>
  <dimension ref="A1"/>
  <sheetViews>
    <sheetView showGridLines="0" tabSelected="1" zoomScale="115" zoomScaleNormal="115" workbookViewId="0">
      <selection activeCell="O16" sqref="O16"/>
    </sheetView>
  </sheetViews>
  <sheetFormatPr defaultRowHeight="12.75" x14ac:dyDescent="0.2"/>
  <sheetData/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C7149-E2F1-466F-BC3C-40EB5AB67894}">
  <sheetPr>
    <tabColor rgb="FFC7F1F0"/>
  </sheetPr>
  <dimension ref="A1:A4"/>
  <sheetViews>
    <sheetView showGridLines="0" showRowColHeaders="0" zoomScaleNormal="100" workbookViewId="0">
      <selection activeCell="M4" sqref="M4"/>
    </sheetView>
  </sheetViews>
  <sheetFormatPr defaultRowHeight="12.75" x14ac:dyDescent="0.2"/>
  <sheetData>
    <row r="1" s="1" customFormat="1" ht="13.5" customHeight="1" x14ac:dyDescent="0.2"/>
    <row r="2" s="1" customFormat="1" ht="13.5" customHeight="1" x14ac:dyDescent="0.2"/>
    <row r="3" s="1" customFormat="1" ht="13.5" customHeight="1" x14ac:dyDescent="0.2"/>
    <row r="4" s="1" customFormat="1" ht="13.5" customHeight="1" x14ac:dyDescent="0.2"/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7C402-80F7-4CD2-8CE6-A292399C349D}">
  <sheetPr>
    <tabColor rgb="FFC7F1F0"/>
  </sheetPr>
  <dimension ref="A1:A4"/>
  <sheetViews>
    <sheetView showGridLines="0" showRowColHeaders="0" zoomScaleNormal="100" workbookViewId="0">
      <selection activeCell="J4" sqref="J4"/>
    </sheetView>
  </sheetViews>
  <sheetFormatPr defaultRowHeight="12.75" x14ac:dyDescent="0.2"/>
  <sheetData>
    <row r="1" s="2" customFormat="1" ht="13.5" customHeight="1" x14ac:dyDescent="0.2"/>
    <row r="2" s="2" customFormat="1" ht="13.5" customHeight="1" x14ac:dyDescent="0.2"/>
    <row r="3" s="2" customFormat="1" ht="13.5" customHeight="1" x14ac:dyDescent="0.2"/>
    <row r="4" s="2" customFormat="1" ht="13.5" customHeight="1" x14ac:dyDescent="0.2"/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32AC1-735B-4A7C-B7B2-6B4BDF92AF39}">
  <sheetPr>
    <tabColor rgb="FF79DDDB"/>
  </sheetPr>
  <dimension ref="A1"/>
  <sheetViews>
    <sheetView showGridLines="0" showRowColHeaders="0" workbookViewId="0">
      <selection activeCell="N15" sqref="N15"/>
    </sheetView>
  </sheetViews>
  <sheetFormatPr defaultRowHeight="12.75" x14ac:dyDescent="0.2"/>
  <sheetData/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A9717-EB0E-4F10-8F72-6CA68C560746}">
  <sheetPr>
    <tabColor rgb="FFC7F1F0"/>
  </sheetPr>
  <dimension ref="A1:L161"/>
  <sheetViews>
    <sheetView showGridLines="0" showRowColHeaders="0" zoomScaleNormal="100" workbookViewId="0">
      <pane ySplit="1" topLeftCell="A2" activePane="bottomLeft" state="frozen"/>
      <selection pane="bottomLeft" activeCell="I24" sqref="I24"/>
    </sheetView>
  </sheetViews>
  <sheetFormatPr defaultColWidth="8.85546875" defaultRowHeight="15" x14ac:dyDescent="0.3"/>
  <cols>
    <col min="1" max="1" width="3" style="14" bestFit="1" customWidth="1"/>
    <col min="2" max="2" width="11.7109375" style="14" bestFit="1" customWidth="1"/>
    <col min="3" max="3" width="18.85546875" style="14" bestFit="1" customWidth="1"/>
    <col min="4" max="4" width="8" style="14" bestFit="1" customWidth="1"/>
    <col min="5" max="5" width="7.140625" style="14" bestFit="1" customWidth="1"/>
    <col min="6" max="6" width="11.42578125" style="14" bestFit="1" customWidth="1"/>
    <col min="7" max="7" width="16.42578125" style="14" bestFit="1" customWidth="1"/>
    <col min="8" max="8" width="13.28515625" style="14" bestFit="1" customWidth="1"/>
    <col min="9" max="9" width="18.7109375" style="14" bestFit="1" customWidth="1"/>
    <col min="10" max="12" width="11" style="14" customWidth="1"/>
    <col min="13" max="16384" width="8.85546875" style="14"/>
  </cols>
  <sheetData>
    <row r="1" spans="1:12" s="7" customForma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/>
      <c r="I1" s="4"/>
      <c r="J1" s="5"/>
      <c r="K1" s="6"/>
      <c r="L1" s="6"/>
    </row>
    <row r="2" spans="1:12" x14ac:dyDescent="0.3">
      <c r="A2" s="8">
        <v>1</v>
      </c>
      <c r="B2" s="9" t="s">
        <v>7</v>
      </c>
      <c r="C2" s="9" t="s">
        <v>8</v>
      </c>
      <c r="D2" s="8"/>
      <c r="E2" s="8">
        <v>4</v>
      </c>
      <c r="F2" s="8">
        <v>26</v>
      </c>
      <c r="G2" s="8" t="s">
        <v>9</v>
      </c>
      <c r="H2" s="10"/>
      <c r="I2" s="11"/>
      <c r="J2" s="12"/>
      <c r="K2" s="13"/>
      <c r="L2" s="13"/>
    </row>
    <row r="3" spans="1:12" x14ac:dyDescent="0.3">
      <c r="A3" s="8">
        <v>2</v>
      </c>
      <c r="B3" s="9" t="s">
        <v>10</v>
      </c>
      <c r="C3" s="9" t="s">
        <v>8</v>
      </c>
      <c r="D3" s="8">
        <v>1</v>
      </c>
      <c r="E3" s="8">
        <v>4.5599999999999996</v>
      </c>
      <c r="F3" s="8">
        <v>32</v>
      </c>
      <c r="G3" s="8" t="s">
        <v>11</v>
      </c>
      <c r="H3" s="10"/>
      <c r="I3" s="11"/>
      <c r="J3" s="12"/>
      <c r="K3" s="13"/>
      <c r="L3" s="13"/>
    </row>
    <row r="4" spans="1:12" x14ac:dyDescent="0.3">
      <c r="A4" s="8">
        <v>3</v>
      </c>
      <c r="B4" s="9" t="s">
        <v>10</v>
      </c>
      <c r="C4" s="9" t="s">
        <v>8</v>
      </c>
      <c r="D4" s="8">
        <v>2</v>
      </c>
      <c r="E4" s="8">
        <v>5.25</v>
      </c>
      <c r="F4" s="8">
        <v>36</v>
      </c>
      <c r="G4" s="8" t="s">
        <v>11</v>
      </c>
      <c r="H4" s="10"/>
      <c r="I4" s="11"/>
      <c r="J4" s="12"/>
      <c r="K4" s="13"/>
      <c r="L4" s="13"/>
    </row>
    <row r="5" spans="1:12" x14ac:dyDescent="0.3">
      <c r="A5" s="8">
        <v>4</v>
      </c>
      <c r="B5" s="9" t="s">
        <v>7</v>
      </c>
      <c r="C5" s="9" t="s">
        <v>12</v>
      </c>
      <c r="D5" s="8"/>
      <c r="E5" s="8">
        <v>5.73</v>
      </c>
      <c r="F5" s="8">
        <v>20</v>
      </c>
      <c r="G5" s="8" t="s">
        <v>13</v>
      </c>
      <c r="H5" s="10"/>
      <c r="I5" s="11"/>
      <c r="J5" s="12"/>
      <c r="K5" s="13"/>
      <c r="L5" s="13"/>
    </row>
    <row r="6" spans="1:12" x14ac:dyDescent="0.3">
      <c r="A6" s="8">
        <v>5</v>
      </c>
      <c r="B6" s="9" t="s">
        <v>7</v>
      </c>
      <c r="C6" s="9" t="s">
        <v>8</v>
      </c>
      <c r="D6" s="8"/>
      <c r="E6" s="8">
        <v>6.26</v>
      </c>
      <c r="F6" s="8">
        <v>40</v>
      </c>
      <c r="G6" s="8" t="s">
        <v>13</v>
      </c>
      <c r="H6" s="10"/>
      <c r="I6" s="11"/>
      <c r="J6" s="12"/>
      <c r="K6" s="13"/>
      <c r="L6" s="13"/>
    </row>
    <row r="7" spans="1:12" x14ac:dyDescent="0.3">
      <c r="A7" s="8">
        <v>6</v>
      </c>
      <c r="B7" s="9" t="s">
        <v>10</v>
      </c>
      <c r="C7" s="9" t="s">
        <v>8</v>
      </c>
      <c r="D7" s="8">
        <v>0</v>
      </c>
      <c r="E7" s="8">
        <v>6.66</v>
      </c>
      <c r="F7" s="8">
        <v>28</v>
      </c>
      <c r="G7" s="8" t="s">
        <v>9</v>
      </c>
      <c r="H7" s="10"/>
      <c r="I7" s="11"/>
      <c r="J7" s="12"/>
      <c r="K7" s="13"/>
      <c r="L7" s="13"/>
    </row>
    <row r="8" spans="1:12" x14ac:dyDescent="0.3">
      <c r="A8" s="8">
        <v>7</v>
      </c>
      <c r="B8" s="9" t="s">
        <v>7</v>
      </c>
      <c r="C8" s="9" t="s">
        <v>8</v>
      </c>
      <c r="D8" s="8"/>
      <c r="E8" s="8">
        <v>6.86</v>
      </c>
      <c r="F8" s="8">
        <v>41</v>
      </c>
      <c r="G8" s="8" t="s">
        <v>9</v>
      </c>
      <c r="H8" s="10"/>
      <c r="I8" s="11"/>
      <c r="J8" s="12"/>
      <c r="K8" s="13"/>
      <c r="L8" s="13"/>
    </row>
    <row r="9" spans="1:12" x14ac:dyDescent="0.3">
      <c r="A9" s="8">
        <v>8</v>
      </c>
      <c r="B9" s="9" t="s">
        <v>7</v>
      </c>
      <c r="C9" s="9" t="s">
        <v>8</v>
      </c>
      <c r="D9" s="8"/>
      <c r="E9" s="8">
        <v>7.39</v>
      </c>
      <c r="F9" s="8">
        <v>43</v>
      </c>
      <c r="G9" s="8" t="s">
        <v>11</v>
      </c>
      <c r="H9" s="10"/>
      <c r="I9" s="11"/>
      <c r="J9" s="12"/>
      <c r="K9" s="13"/>
      <c r="L9" s="13"/>
    </row>
    <row r="10" spans="1:12" x14ac:dyDescent="0.3">
      <c r="A10" s="8">
        <v>9</v>
      </c>
      <c r="B10" s="9" t="s">
        <v>10</v>
      </c>
      <c r="C10" s="9" t="s">
        <v>12</v>
      </c>
      <c r="D10" s="8">
        <v>1</v>
      </c>
      <c r="E10" s="8">
        <v>7.59</v>
      </c>
      <c r="F10" s="8">
        <v>34</v>
      </c>
      <c r="G10" s="8" t="s">
        <v>11</v>
      </c>
      <c r="H10" s="10"/>
      <c r="I10" s="11"/>
      <c r="J10" s="12"/>
      <c r="K10" s="13"/>
      <c r="L10" s="13"/>
    </row>
    <row r="11" spans="1:12" x14ac:dyDescent="0.3">
      <c r="A11" s="8">
        <v>10</v>
      </c>
      <c r="B11" s="9" t="s">
        <v>7</v>
      </c>
      <c r="C11" s="9" t="s">
        <v>12</v>
      </c>
      <c r="D11" s="8"/>
      <c r="E11" s="8">
        <v>7.44</v>
      </c>
      <c r="F11" s="8">
        <v>23</v>
      </c>
      <c r="G11" s="8" t="s">
        <v>13</v>
      </c>
      <c r="H11" s="10"/>
      <c r="I11" s="11"/>
      <c r="J11" s="12"/>
      <c r="K11" s="13"/>
      <c r="L11" s="13"/>
    </row>
    <row r="12" spans="1:12" x14ac:dyDescent="0.3">
      <c r="A12" s="8">
        <v>11</v>
      </c>
      <c r="B12" s="9" t="s">
        <v>10</v>
      </c>
      <c r="C12" s="9" t="s">
        <v>12</v>
      </c>
      <c r="D12" s="8">
        <v>2</v>
      </c>
      <c r="E12" s="8">
        <v>8.1199999999999992</v>
      </c>
      <c r="F12" s="8">
        <v>33</v>
      </c>
      <c r="G12" s="8" t="s">
        <v>9</v>
      </c>
      <c r="H12" s="10"/>
      <c r="I12" s="11"/>
      <c r="J12" s="12"/>
      <c r="K12" s="13"/>
      <c r="L12" s="13"/>
    </row>
    <row r="13" spans="1:12" x14ac:dyDescent="0.3">
      <c r="A13" s="8">
        <v>12</v>
      </c>
      <c r="B13" s="9" t="s">
        <v>7</v>
      </c>
      <c r="C13" s="9" t="s">
        <v>8</v>
      </c>
      <c r="D13" s="8"/>
      <c r="E13" s="8">
        <v>8.4600000000000009</v>
      </c>
      <c r="F13" s="8">
        <v>27</v>
      </c>
      <c r="G13" s="8" t="s">
        <v>11</v>
      </c>
      <c r="H13" s="10"/>
      <c r="I13" s="11"/>
      <c r="J13" s="12"/>
      <c r="K13" s="13"/>
      <c r="L13" s="13"/>
    </row>
    <row r="14" spans="1:12" x14ac:dyDescent="0.3">
      <c r="A14" s="8">
        <v>13</v>
      </c>
      <c r="B14" s="9" t="s">
        <v>7</v>
      </c>
      <c r="C14" s="9" t="s">
        <v>12</v>
      </c>
      <c r="D14" s="8"/>
      <c r="E14" s="8">
        <v>8.74</v>
      </c>
      <c r="F14" s="8">
        <v>37</v>
      </c>
      <c r="G14" s="8" t="s">
        <v>13</v>
      </c>
      <c r="H14" s="10"/>
      <c r="I14" s="11"/>
      <c r="J14" s="12"/>
      <c r="K14" s="13"/>
      <c r="L14" s="13"/>
    </row>
    <row r="15" spans="1:12" x14ac:dyDescent="0.3">
      <c r="A15" s="8">
        <v>14</v>
      </c>
      <c r="B15" s="9" t="s">
        <v>10</v>
      </c>
      <c r="C15" s="9" t="s">
        <v>8</v>
      </c>
      <c r="D15" s="8">
        <v>3</v>
      </c>
      <c r="E15" s="8">
        <v>8.9499999999999993</v>
      </c>
      <c r="F15" s="8">
        <v>44</v>
      </c>
      <c r="G15" s="8" t="s">
        <v>13</v>
      </c>
      <c r="H15" s="10"/>
      <c r="I15" s="11"/>
      <c r="J15" s="12"/>
      <c r="K15" s="13"/>
      <c r="L15" s="13"/>
    </row>
    <row r="16" spans="1:12" x14ac:dyDescent="0.3">
      <c r="A16" s="8">
        <v>15</v>
      </c>
      <c r="B16" s="9" t="s">
        <v>10</v>
      </c>
      <c r="C16" s="9" t="s">
        <v>12</v>
      </c>
      <c r="D16" s="8">
        <v>0</v>
      </c>
      <c r="E16" s="8">
        <v>9.1300000000000008</v>
      </c>
      <c r="F16" s="8">
        <v>30</v>
      </c>
      <c r="G16" s="8" t="s">
        <v>9</v>
      </c>
      <c r="H16" s="10"/>
      <c r="I16" s="11"/>
      <c r="J16" s="12"/>
      <c r="K16" s="13"/>
      <c r="L16" s="13"/>
    </row>
    <row r="17" spans="1:12" x14ac:dyDescent="0.3">
      <c r="A17" s="8">
        <v>16</v>
      </c>
      <c r="B17" s="9" t="s">
        <v>7</v>
      </c>
      <c r="C17" s="9" t="s">
        <v>12</v>
      </c>
      <c r="D17" s="8"/>
      <c r="E17" s="8">
        <v>9.35</v>
      </c>
      <c r="F17" s="8">
        <v>38</v>
      </c>
      <c r="G17" s="8" t="s">
        <v>13</v>
      </c>
      <c r="H17" s="10"/>
      <c r="I17" s="11"/>
      <c r="J17" s="12"/>
      <c r="K17" s="13"/>
      <c r="L17" s="13"/>
    </row>
    <row r="18" spans="1:12" x14ac:dyDescent="0.3">
      <c r="A18" s="8">
        <v>17</v>
      </c>
      <c r="B18" s="9" t="s">
        <v>10</v>
      </c>
      <c r="C18" s="9" t="s">
        <v>12</v>
      </c>
      <c r="D18" s="8">
        <v>1</v>
      </c>
      <c r="E18" s="8">
        <v>9.77</v>
      </c>
      <c r="F18" s="8">
        <v>31</v>
      </c>
      <c r="G18" s="8" t="s">
        <v>11</v>
      </c>
      <c r="H18" s="10"/>
      <c r="I18" s="11"/>
      <c r="J18" s="12"/>
      <c r="K18" s="13"/>
      <c r="L18" s="13"/>
    </row>
    <row r="19" spans="1:12" x14ac:dyDescent="0.3">
      <c r="A19" s="8">
        <v>18</v>
      </c>
      <c r="B19" s="9" t="s">
        <v>10</v>
      </c>
      <c r="C19" s="9" t="s">
        <v>8</v>
      </c>
      <c r="D19" s="8">
        <v>2</v>
      </c>
      <c r="E19" s="8">
        <v>9.8000000000000007</v>
      </c>
      <c r="F19" s="8">
        <v>39</v>
      </c>
      <c r="G19" s="8" t="s">
        <v>13</v>
      </c>
      <c r="H19" s="10"/>
      <c r="I19" s="11"/>
      <c r="J19" s="12"/>
      <c r="K19" s="13"/>
      <c r="L19" s="13"/>
    </row>
    <row r="20" spans="1:12" x14ac:dyDescent="0.3">
      <c r="A20" s="8">
        <v>19</v>
      </c>
      <c r="B20" s="9" t="s">
        <v>7</v>
      </c>
      <c r="C20" s="9" t="s">
        <v>14</v>
      </c>
      <c r="D20" s="8"/>
      <c r="E20" s="8">
        <v>10.53</v>
      </c>
      <c r="F20" s="8">
        <v>25</v>
      </c>
      <c r="G20" s="8" t="s">
        <v>9</v>
      </c>
      <c r="H20" s="10"/>
      <c r="I20" s="11"/>
      <c r="J20" s="12"/>
      <c r="K20" s="13"/>
      <c r="L20" s="13"/>
    </row>
    <row r="21" spans="1:12" x14ac:dyDescent="0.3">
      <c r="A21" s="8">
        <v>20</v>
      </c>
      <c r="B21" s="9" t="s">
        <v>7</v>
      </c>
      <c r="C21" s="9" t="s">
        <v>12</v>
      </c>
      <c r="D21" s="8"/>
      <c r="E21" s="8">
        <v>10.76</v>
      </c>
      <c r="F21" s="8">
        <v>37</v>
      </c>
      <c r="G21" s="8" t="s">
        <v>9</v>
      </c>
      <c r="H21" s="10"/>
      <c r="I21" s="11"/>
      <c r="J21" s="12"/>
      <c r="K21" s="13"/>
      <c r="L21" s="13"/>
    </row>
    <row r="22" spans="1:12" x14ac:dyDescent="0.3">
      <c r="A22" s="8">
        <v>21</v>
      </c>
      <c r="B22" s="9" t="s">
        <v>10</v>
      </c>
      <c r="C22" s="9" t="s">
        <v>12</v>
      </c>
      <c r="D22" s="8">
        <v>1</v>
      </c>
      <c r="E22" s="8">
        <v>11.06</v>
      </c>
      <c r="F22" s="8">
        <v>30</v>
      </c>
      <c r="G22" s="8" t="s">
        <v>13</v>
      </c>
      <c r="H22" s="10"/>
      <c r="I22" s="11"/>
      <c r="J22" s="12"/>
      <c r="K22" s="13"/>
      <c r="L22" s="13"/>
    </row>
    <row r="23" spans="1:12" x14ac:dyDescent="0.3">
      <c r="A23" s="8">
        <v>22</v>
      </c>
      <c r="B23" s="9" t="s">
        <v>7</v>
      </c>
      <c r="C23" s="9" t="s">
        <v>12</v>
      </c>
      <c r="D23" s="8"/>
      <c r="E23" s="8">
        <v>11.59</v>
      </c>
      <c r="F23" s="8">
        <v>34</v>
      </c>
      <c r="G23" s="8" t="s">
        <v>11</v>
      </c>
      <c r="H23" s="10"/>
      <c r="I23" s="11"/>
      <c r="J23" s="12"/>
      <c r="K23" s="13"/>
      <c r="L23" s="13"/>
    </row>
    <row r="24" spans="1:12" x14ac:dyDescent="0.3">
      <c r="A24" s="8">
        <v>23</v>
      </c>
      <c r="B24" s="9" t="s">
        <v>7</v>
      </c>
      <c r="C24" s="9" t="s">
        <v>8</v>
      </c>
      <c r="D24" s="8"/>
      <c r="E24" s="8">
        <v>12</v>
      </c>
      <c r="F24" s="8">
        <v>41</v>
      </c>
      <c r="G24" s="8" t="s">
        <v>13</v>
      </c>
      <c r="H24" s="10"/>
      <c r="I24" s="11"/>
      <c r="J24" s="12"/>
      <c r="K24" s="13"/>
      <c r="L24" s="13"/>
    </row>
    <row r="25" spans="1:12" x14ac:dyDescent="0.3">
      <c r="A25" s="8">
        <v>24</v>
      </c>
      <c r="B25" s="9" t="s">
        <v>10</v>
      </c>
      <c r="C25" s="9" t="s">
        <v>14</v>
      </c>
      <c r="D25" s="8">
        <v>0</v>
      </c>
      <c r="E25" s="8">
        <v>12.79</v>
      </c>
      <c r="F25" s="8">
        <v>26</v>
      </c>
      <c r="G25" s="8" t="s">
        <v>13</v>
      </c>
      <c r="H25" s="10"/>
      <c r="I25" s="11"/>
      <c r="J25" s="12"/>
      <c r="K25" s="13"/>
      <c r="L25" s="13"/>
    </row>
    <row r="26" spans="1:12" x14ac:dyDescent="0.3">
      <c r="A26" s="8">
        <v>25</v>
      </c>
      <c r="B26" s="9" t="s">
        <v>10</v>
      </c>
      <c r="C26" s="9" t="s">
        <v>12</v>
      </c>
      <c r="D26" s="8">
        <v>2</v>
      </c>
      <c r="E26" s="8">
        <v>13.23</v>
      </c>
      <c r="F26" s="8">
        <v>32</v>
      </c>
      <c r="G26" s="8" t="s">
        <v>9</v>
      </c>
      <c r="H26" s="10"/>
      <c r="I26" s="11"/>
      <c r="J26" s="12"/>
      <c r="K26" s="13"/>
      <c r="L26" s="13"/>
    </row>
    <row r="27" spans="1:12" x14ac:dyDescent="0.3">
      <c r="A27" s="8">
        <v>26</v>
      </c>
      <c r="B27" s="9" t="s">
        <v>10</v>
      </c>
      <c r="C27" s="9" t="s">
        <v>12</v>
      </c>
      <c r="D27" s="8">
        <v>2</v>
      </c>
      <c r="E27" s="8">
        <v>13.6</v>
      </c>
      <c r="F27" s="8">
        <v>35</v>
      </c>
      <c r="G27" s="8" t="s">
        <v>13</v>
      </c>
      <c r="H27" s="10"/>
      <c r="I27" s="11"/>
      <c r="J27" s="12"/>
      <c r="K27" s="13"/>
      <c r="L27" s="13"/>
    </row>
    <row r="28" spans="1:12" x14ac:dyDescent="0.3">
      <c r="A28" s="8">
        <v>27</v>
      </c>
      <c r="B28" s="9" t="s">
        <v>7</v>
      </c>
      <c r="C28" s="9" t="s">
        <v>8</v>
      </c>
      <c r="D28" s="8"/>
      <c r="E28" s="8">
        <v>13.85</v>
      </c>
      <c r="F28" s="8">
        <v>46</v>
      </c>
      <c r="G28" s="8" t="s">
        <v>13</v>
      </c>
      <c r="H28" s="10"/>
      <c r="I28" s="11"/>
      <c r="J28" s="12"/>
      <c r="K28" s="13"/>
      <c r="L28" s="13"/>
    </row>
    <row r="29" spans="1:12" x14ac:dyDescent="0.3">
      <c r="A29" s="8">
        <v>28</v>
      </c>
      <c r="B29" s="9" t="s">
        <v>10</v>
      </c>
      <c r="C29" s="9" t="s">
        <v>12</v>
      </c>
      <c r="D29" s="8">
        <v>0</v>
      </c>
      <c r="E29" s="8">
        <v>14.69</v>
      </c>
      <c r="F29" s="8">
        <v>29</v>
      </c>
      <c r="G29" s="8" t="s">
        <v>9</v>
      </c>
      <c r="H29" s="10"/>
      <c r="I29" s="11"/>
      <c r="J29" s="12"/>
      <c r="K29" s="13"/>
      <c r="L29" s="13"/>
    </row>
    <row r="30" spans="1:12" x14ac:dyDescent="0.3">
      <c r="A30" s="8">
        <v>29</v>
      </c>
      <c r="B30" s="9" t="s">
        <v>10</v>
      </c>
      <c r="C30" s="9" t="s">
        <v>12</v>
      </c>
      <c r="D30" s="8">
        <v>5</v>
      </c>
      <c r="E30" s="8">
        <v>14.71</v>
      </c>
      <c r="F30" s="8">
        <v>40</v>
      </c>
      <c r="G30" s="8" t="s">
        <v>9</v>
      </c>
      <c r="H30" s="10"/>
      <c r="I30" s="11"/>
      <c r="J30" s="12"/>
      <c r="K30" s="13"/>
      <c r="L30" s="13"/>
    </row>
    <row r="31" spans="1:12" x14ac:dyDescent="0.3">
      <c r="A31" s="8">
        <v>30</v>
      </c>
      <c r="B31" s="9" t="s">
        <v>10</v>
      </c>
      <c r="C31" s="9" t="s">
        <v>12</v>
      </c>
      <c r="D31" s="8">
        <v>2</v>
      </c>
      <c r="E31" s="8">
        <v>15.99</v>
      </c>
      <c r="F31" s="8">
        <v>35</v>
      </c>
      <c r="G31" s="8" t="s">
        <v>11</v>
      </c>
      <c r="H31" s="10"/>
      <c r="I31" s="11"/>
      <c r="J31" s="12"/>
      <c r="K31" s="13"/>
      <c r="L31" s="13"/>
    </row>
    <row r="32" spans="1:12" x14ac:dyDescent="0.3">
      <c r="A32" s="8">
        <v>31</v>
      </c>
      <c r="B32" s="9" t="s">
        <v>7</v>
      </c>
      <c r="C32" s="9" t="s">
        <v>14</v>
      </c>
      <c r="D32" s="8"/>
      <c r="E32" s="8">
        <v>16.22</v>
      </c>
      <c r="F32" s="8">
        <v>31</v>
      </c>
      <c r="G32" s="8" t="s">
        <v>13</v>
      </c>
      <c r="H32" s="10"/>
      <c r="I32" s="11"/>
      <c r="J32" s="12"/>
      <c r="K32" s="13"/>
      <c r="L32" s="13"/>
    </row>
    <row r="33" spans="1:12" x14ac:dyDescent="0.3">
      <c r="A33" s="8">
        <v>32</v>
      </c>
      <c r="B33" s="9" t="s">
        <v>10</v>
      </c>
      <c r="C33" s="9" t="s">
        <v>12</v>
      </c>
      <c r="D33" s="8">
        <v>1</v>
      </c>
      <c r="E33" s="8">
        <v>16.61</v>
      </c>
      <c r="F33" s="8">
        <v>36</v>
      </c>
      <c r="G33" s="8" t="s">
        <v>9</v>
      </c>
      <c r="H33" s="10"/>
      <c r="I33" s="11"/>
      <c r="J33" s="12"/>
      <c r="K33" s="13"/>
      <c r="L33" s="13"/>
    </row>
    <row r="34" spans="1:12" x14ac:dyDescent="0.3">
      <c r="A34" s="8">
        <v>33</v>
      </c>
      <c r="B34" s="9" t="s">
        <v>10</v>
      </c>
      <c r="C34" s="9" t="s">
        <v>14</v>
      </c>
      <c r="D34" s="8">
        <v>3</v>
      </c>
      <c r="E34" s="8">
        <v>17.260000000000002</v>
      </c>
      <c r="F34" s="8">
        <v>43</v>
      </c>
      <c r="G34" s="8" t="s">
        <v>11</v>
      </c>
      <c r="H34" s="10"/>
      <c r="I34" s="11"/>
      <c r="J34" s="12"/>
      <c r="K34" s="13"/>
      <c r="L34" s="13"/>
    </row>
    <row r="35" spans="1:12" x14ac:dyDescent="0.3">
      <c r="A35" s="8">
        <v>34</v>
      </c>
      <c r="B35" s="9" t="s">
        <v>7</v>
      </c>
      <c r="C35" s="9" t="s">
        <v>14</v>
      </c>
      <c r="D35" s="8"/>
      <c r="E35" s="8">
        <v>18.75</v>
      </c>
      <c r="F35" s="8">
        <v>33</v>
      </c>
      <c r="G35" s="8" t="s">
        <v>11</v>
      </c>
      <c r="H35" s="10"/>
      <c r="I35" s="11"/>
      <c r="J35" s="12"/>
      <c r="K35" s="13"/>
      <c r="L35" s="13"/>
    </row>
    <row r="36" spans="1:12" x14ac:dyDescent="0.3">
      <c r="A36" s="8">
        <v>35</v>
      </c>
      <c r="B36" s="9" t="s">
        <v>10</v>
      </c>
      <c r="C36" s="9" t="s">
        <v>12</v>
      </c>
      <c r="D36" s="8">
        <v>2</v>
      </c>
      <c r="E36" s="8">
        <v>19.399999999999999</v>
      </c>
      <c r="F36" s="8">
        <v>48</v>
      </c>
      <c r="G36" s="8" t="s">
        <v>11</v>
      </c>
      <c r="H36" s="10"/>
      <c r="I36" s="11"/>
      <c r="J36" s="12"/>
      <c r="K36" s="13"/>
      <c r="L36" s="13"/>
    </row>
    <row r="37" spans="1:12" x14ac:dyDescent="0.3">
      <c r="A37" s="8">
        <v>36</v>
      </c>
      <c r="B37" s="9" t="s">
        <v>10</v>
      </c>
      <c r="C37" s="9" t="s">
        <v>14</v>
      </c>
      <c r="D37" s="8">
        <v>3</v>
      </c>
      <c r="E37" s="8">
        <v>23.3</v>
      </c>
      <c r="F37" s="8">
        <v>42</v>
      </c>
      <c r="G37" s="8" t="s">
        <v>9</v>
      </c>
      <c r="H37" s="10"/>
      <c r="I37" s="11"/>
      <c r="J37" s="12"/>
      <c r="K37" s="13"/>
      <c r="L37" s="13"/>
    </row>
    <row r="38" spans="1:12" x14ac:dyDescent="0.3">
      <c r="A38" s="12"/>
      <c r="B38" s="12"/>
      <c r="C38" s="15"/>
      <c r="D38" s="11"/>
      <c r="E38" s="15"/>
      <c r="F38" s="10"/>
      <c r="G38" s="11"/>
      <c r="H38" s="10"/>
      <c r="I38" s="11"/>
      <c r="J38" s="12"/>
      <c r="K38" s="13"/>
      <c r="L38" s="13"/>
    </row>
    <row r="39" spans="1:12" x14ac:dyDescent="0.3">
      <c r="A39" s="12"/>
      <c r="B39" s="12"/>
      <c r="C39" s="15"/>
      <c r="D39" s="11"/>
      <c r="E39" s="15"/>
      <c r="F39" s="10"/>
      <c r="G39" s="11"/>
      <c r="H39" s="10"/>
      <c r="I39" s="11"/>
      <c r="J39" s="12"/>
      <c r="K39" s="13"/>
      <c r="L39" s="13"/>
    </row>
    <row r="40" spans="1:12" x14ac:dyDescent="0.3">
      <c r="A40" s="12"/>
      <c r="B40" s="12"/>
      <c r="C40" s="15"/>
      <c r="D40" s="11"/>
      <c r="E40" s="15"/>
      <c r="F40" s="10"/>
      <c r="G40" s="11"/>
      <c r="H40" s="10"/>
      <c r="I40" s="11"/>
      <c r="J40" s="12"/>
      <c r="K40" s="13"/>
      <c r="L40" s="13"/>
    </row>
    <row r="41" spans="1:12" x14ac:dyDescent="0.3">
      <c r="A41" s="12"/>
      <c r="B41" s="12"/>
      <c r="C41" s="15"/>
      <c r="D41" s="11"/>
      <c r="E41" s="15"/>
      <c r="F41" s="10"/>
      <c r="G41" s="11"/>
      <c r="H41" s="10"/>
      <c r="I41" s="11"/>
      <c r="J41" s="12"/>
      <c r="K41" s="13"/>
      <c r="L41" s="13"/>
    </row>
    <row r="42" spans="1:12" x14ac:dyDescent="0.3">
      <c r="A42" s="12"/>
      <c r="B42" s="12"/>
      <c r="C42" s="15"/>
      <c r="D42" s="11"/>
      <c r="E42" s="15"/>
      <c r="F42" s="10"/>
      <c r="G42" s="11"/>
      <c r="H42" s="10"/>
      <c r="I42" s="11"/>
      <c r="J42" s="12"/>
      <c r="K42" s="13"/>
      <c r="L42" s="13"/>
    </row>
    <row r="43" spans="1:12" x14ac:dyDescent="0.3">
      <c r="A43" s="12"/>
      <c r="B43" s="12"/>
      <c r="C43" s="15"/>
      <c r="D43" s="11"/>
      <c r="E43" s="15"/>
      <c r="F43" s="10"/>
      <c r="G43" s="11"/>
      <c r="H43" s="10"/>
      <c r="I43" s="11"/>
      <c r="J43" s="12"/>
      <c r="K43" s="13"/>
      <c r="L43" s="13"/>
    </row>
    <row r="44" spans="1:12" x14ac:dyDescent="0.3">
      <c r="A44" s="12"/>
      <c r="B44" s="12"/>
      <c r="C44" s="15"/>
      <c r="D44" s="11"/>
      <c r="E44" s="15"/>
      <c r="F44" s="10"/>
      <c r="G44" s="11"/>
      <c r="H44" s="10"/>
      <c r="I44" s="11"/>
      <c r="J44" s="12"/>
      <c r="K44" s="13"/>
      <c r="L44" s="13"/>
    </row>
    <row r="45" spans="1:12" x14ac:dyDescent="0.3">
      <c r="A45" s="12"/>
      <c r="B45" s="12"/>
      <c r="C45" s="15"/>
      <c r="D45" s="11"/>
      <c r="E45" s="15"/>
      <c r="F45" s="10"/>
      <c r="G45" s="11"/>
      <c r="H45" s="10"/>
      <c r="I45" s="11"/>
      <c r="J45" s="12"/>
      <c r="K45" s="13"/>
      <c r="L45" s="13"/>
    </row>
    <row r="46" spans="1:12" x14ac:dyDescent="0.3">
      <c r="A46" s="12"/>
      <c r="B46" s="12"/>
      <c r="C46" s="15"/>
      <c r="D46" s="11"/>
      <c r="E46" s="15"/>
      <c r="F46" s="10"/>
      <c r="G46" s="11"/>
      <c r="H46" s="10"/>
      <c r="I46" s="11"/>
      <c r="J46" s="12"/>
      <c r="K46" s="13"/>
      <c r="L46" s="13"/>
    </row>
    <row r="47" spans="1:12" x14ac:dyDescent="0.3">
      <c r="A47" s="12"/>
      <c r="B47" s="12"/>
      <c r="C47" s="15"/>
      <c r="D47" s="11"/>
      <c r="E47" s="15"/>
      <c r="F47" s="10"/>
      <c r="G47" s="11"/>
      <c r="H47" s="10"/>
      <c r="I47" s="11"/>
      <c r="J47" s="12"/>
      <c r="K47" s="13"/>
      <c r="L47" s="13"/>
    </row>
    <row r="48" spans="1:12" x14ac:dyDescent="0.3">
      <c r="A48" s="12"/>
      <c r="B48" s="12"/>
      <c r="C48" s="15"/>
      <c r="D48" s="11"/>
      <c r="E48" s="15"/>
      <c r="F48" s="10"/>
      <c r="G48" s="11"/>
      <c r="H48" s="10"/>
      <c r="I48" s="11"/>
      <c r="J48" s="12"/>
      <c r="K48" s="13"/>
      <c r="L48" s="13"/>
    </row>
    <row r="49" spans="1:12" x14ac:dyDescent="0.3">
      <c r="A49" s="12"/>
      <c r="B49" s="12"/>
      <c r="C49" s="15"/>
      <c r="D49" s="11"/>
      <c r="E49" s="15"/>
      <c r="F49" s="10"/>
      <c r="G49" s="11"/>
      <c r="H49" s="10"/>
      <c r="I49" s="11"/>
      <c r="J49" s="12"/>
      <c r="K49" s="13"/>
      <c r="L49" s="13"/>
    </row>
    <row r="50" spans="1:12" x14ac:dyDescent="0.3">
      <c r="A50" s="12"/>
      <c r="B50" s="12"/>
      <c r="C50" s="15"/>
      <c r="D50" s="11"/>
      <c r="E50" s="15"/>
      <c r="F50" s="10"/>
      <c r="G50" s="11"/>
      <c r="H50" s="10"/>
      <c r="I50" s="11"/>
      <c r="J50" s="12"/>
      <c r="K50" s="13"/>
      <c r="L50" s="13"/>
    </row>
    <row r="51" spans="1:12" x14ac:dyDescent="0.3">
      <c r="A51" s="12"/>
      <c r="B51" s="12"/>
      <c r="C51" s="15"/>
      <c r="D51" s="11"/>
      <c r="E51" s="15"/>
      <c r="F51" s="10"/>
      <c r="G51" s="11"/>
      <c r="H51" s="10"/>
      <c r="I51" s="11"/>
      <c r="J51" s="12"/>
      <c r="K51" s="13"/>
      <c r="L51" s="13"/>
    </row>
    <row r="52" spans="1:12" x14ac:dyDescent="0.3">
      <c r="A52" s="12"/>
      <c r="B52" s="12"/>
      <c r="C52" s="15"/>
      <c r="D52" s="11"/>
      <c r="E52" s="15"/>
      <c r="F52" s="10"/>
      <c r="G52" s="11"/>
      <c r="H52" s="10"/>
      <c r="I52" s="11"/>
      <c r="J52" s="12"/>
      <c r="K52" s="13"/>
      <c r="L52" s="13"/>
    </row>
    <row r="53" spans="1:12" x14ac:dyDescent="0.3">
      <c r="A53" s="12"/>
      <c r="B53" s="12"/>
      <c r="C53" s="15"/>
      <c r="D53" s="11"/>
      <c r="E53" s="15"/>
      <c r="F53" s="10"/>
      <c r="G53" s="11"/>
      <c r="H53" s="10"/>
      <c r="I53" s="11"/>
      <c r="J53" s="12"/>
      <c r="K53" s="13"/>
      <c r="L53" s="13"/>
    </row>
    <row r="54" spans="1:12" x14ac:dyDescent="0.3">
      <c r="A54" s="12"/>
      <c r="B54" s="12"/>
      <c r="C54" s="15"/>
      <c r="D54" s="11"/>
      <c r="E54" s="15"/>
      <c r="F54" s="10"/>
      <c r="G54" s="11"/>
      <c r="H54" s="10"/>
      <c r="I54" s="11"/>
      <c r="J54" s="12"/>
      <c r="K54" s="13"/>
      <c r="L54" s="13"/>
    </row>
    <row r="55" spans="1:12" x14ac:dyDescent="0.3">
      <c r="A55" s="12"/>
      <c r="B55" s="12"/>
      <c r="C55" s="15"/>
      <c r="D55" s="11"/>
      <c r="E55" s="15"/>
      <c r="F55" s="10"/>
      <c r="G55" s="11"/>
      <c r="H55" s="10"/>
      <c r="I55" s="11"/>
      <c r="J55" s="12"/>
      <c r="K55" s="13"/>
      <c r="L55" s="13"/>
    </row>
    <row r="56" spans="1:12" x14ac:dyDescent="0.3">
      <c r="A56" s="12"/>
      <c r="B56" s="12"/>
      <c r="C56" s="15"/>
      <c r="D56" s="11"/>
      <c r="E56" s="15"/>
      <c r="F56" s="10"/>
      <c r="G56" s="11"/>
      <c r="H56" s="10"/>
      <c r="I56" s="11"/>
      <c r="J56" s="12"/>
      <c r="K56" s="13"/>
      <c r="L56" s="13"/>
    </row>
    <row r="57" spans="1:12" x14ac:dyDescent="0.3">
      <c r="A57" s="12"/>
      <c r="B57" s="12"/>
      <c r="C57" s="15"/>
      <c r="D57" s="11"/>
      <c r="E57" s="15"/>
      <c r="F57" s="10"/>
      <c r="G57" s="11"/>
      <c r="H57" s="10"/>
      <c r="I57" s="11"/>
      <c r="J57" s="12"/>
      <c r="K57" s="13"/>
      <c r="L57" s="13"/>
    </row>
    <row r="58" spans="1:12" x14ac:dyDescent="0.3">
      <c r="A58" s="12"/>
      <c r="B58" s="12"/>
      <c r="C58" s="15"/>
      <c r="D58" s="11"/>
      <c r="E58" s="15"/>
      <c r="F58" s="10"/>
      <c r="G58" s="11"/>
      <c r="H58" s="10"/>
      <c r="I58" s="11"/>
      <c r="J58" s="12"/>
      <c r="K58" s="13"/>
      <c r="L58" s="13"/>
    </row>
    <row r="59" spans="1:12" x14ac:dyDescent="0.3">
      <c r="A59" s="12"/>
      <c r="B59" s="12"/>
      <c r="C59" s="15"/>
      <c r="D59" s="11"/>
      <c r="E59" s="15"/>
      <c r="F59" s="10"/>
      <c r="G59" s="11"/>
      <c r="H59" s="10"/>
      <c r="I59" s="11"/>
      <c r="J59" s="12"/>
      <c r="K59" s="13"/>
      <c r="L59" s="13"/>
    </row>
    <row r="60" spans="1:12" x14ac:dyDescent="0.3">
      <c r="A60" s="12"/>
      <c r="B60" s="12"/>
      <c r="C60" s="15"/>
      <c r="D60" s="11"/>
      <c r="E60" s="15"/>
      <c r="F60" s="10"/>
      <c r="G60" s="11"/>
      <c r="H60" s="10"/>
      <c r="I60" s="11"/>
      <c r="J60" s="12"/>
      <c r="K60" s="13"/>
      <c r="L60" s="13"/>
    </row>
    <row r="61" spans="1:12" x14ac:dyDescent="0.3">
      <c r="A61" s="12"/>
      <c r="B61" s="12"/>
      <c r="C61" s="15"/>
      <c r="D61" s="11"/>
      <c r="E61" s="15"/>
      <c r="F61" s="10"/>
      <c r="G61" s="11"/>
      <c r="H61" s="10"/>
      <c r="I61" s="11"/>
      <c r="J61" s="12"/>
      <c r="K61" s="13"/>
      <c r="L61" s="13"/>
    </row>
    <row r="62" spans="1:12" x14ac:dyDescent="0.3">
      <c r="A62" s="12"/>
      <c r="B62" s="12"/>
      <c r="C62" s="15"/>
      <c r="D62" s="11"/>
      <c r="E62" s="15"/>
      <c r="F62" s="10"/>
      <c r="G62" s="11"/>
      <c r="H62" s="10"/>
      <c r="I62" s="11"/>
      <c r="J62" s="12"/>
      <c r="K62" s="13"/>
      <c r="L62" s="13"/>
    </row>
    <row r="63" spans="1:12" x14ac:dyDescent="0.3">
      <c r="A63" s="12"/>
      <c r="B63" s="12"/>
      <c r="C63" s="15"/>
      <c r="D63" s="11"/>
      <c r="E63" s="15"/>
      <c r="F63" s="10"/>
      <c r="G63" s="11"/>
      <c r="H63" s="10"/>
      <c r="I63" s="11"/>
      <c r="J63" s="12"/>
      <c r="K63" s="13"/>
      <c r="L63" s="13"/>
    </row>
    <row r="64" spans="1:12" x14ac:dyDescent="0.3">
      <c r="A64" s="12"/>
      <c r="B64" s="12"/>
      <c r="C64" s="15"/>
      <c r="D64" s="11"/>
      <c r="E64" s="15"/>
      <c r="F64" s="10"/>
      <c r="G64" s="11"/>
      <c r="H64" s="10"/>
      <c r="I64" s="11"/>
      <c r="J64" s="12"/>
      <c r="K64" s="13"/>
      <c r="L64" s="13"/>
    </row>
    <row r="65" spans="1:12" x14ac:dyDescent="0.3">
      <c r="A65" s="12"/>
      <c r="B65" s="12"/>
      <c r="C65" s="15"/>
      <c r="D65" s="11"/>
      <c r="E65" s="15"/>
      <c r="F65" s="10"/>
      <c r="G65" s="11"/>
      <c r="H65" s="10"/>
      <c r="I65" s="11"/>
      <c r="J65" s="12"/>
      <c r="K65" s="13"/>
      <c r="L65" s="13"/>
    </row>
    <row r="66" spans="1:12" x14ac:dyDescent="0.3">
      <c r="A66" s="12"/>
      <c r="B66" s="12"/>
      <c r="C66" s="15"/>
      <c r="D66" s="11"/>
      <c r="E66" s="15"/>
      <c r="F66" s="10"/>
      <c r="G66" s="11"/>
      <c r="H66" s="10"/>
      <c r="I66" s="11"/>
      <c r="J66" s="12"/>
      <c r="K66" s="13"/>
      <c r="L66" s="13"/>
    </row>
    <row r="67" spans="1:12" x14ac:dyDescent="0.3">
      <c r="A67" s="12"/>
      <c r="B67" s="12"/>
      <c r="C67" s="15"/>
      <c r="D67" s="11"/>
      <c r="E67" s="15"/>
      <c r="F67" s="10"/>
      <c r="G67" s="11"/>
      <c r="H67" s="10"/>
      <c r="I67" s="11"/>
      <c r="J67" s="12"/>
      <c r="K67" s="13"/>
      <c r="L67" s="13"/>
    </row>
    <row r="68" spans="1:12" x14ac:dyDescent="0.3">
      <c r="A68" s="12"/>
      <c r="B68" s="12"/>
      <c r="C68" s="15"/>
      <c r="D68" s="11"/>
      <c r="E68" s="15"/>
      <c r="F68" s="10"/>
      <c r="G68" s="11"/>
      <c r="H68" s="10"/>
      <c r="I68" s="11"/>
      <c r="J68" s="12"/>
      <c r="K68" s="13"/>
      <c r="L68" s="13"/>
    </row>
    <row r="69" spans="1:12" x14ac:dyDescent="0.3">
      <c r="A69" s="12"/>
      <c r="B69" s="12"/>
      <c r="C69" s="15"/>
      <c r="D69" s="11"/>
      <c r="E69" s="15"/>
      <c r="F69" s="10"/>
      <c r="G69" s="11"/>
      <c r="H69" s="10"/>
      <c r="I69" s="11"/>
      <c r="J69" s="12"/>
      <c r="K69" s="13"/>
      <c r="L69" s="13"/>
    </row>
    <row r="70" spans="1:12" x14ac:dyDescent="0.3">
      <c r="A70" s="12"/>
      <c r="B70" s="12"/>
      <c r="C70" s="15"/>
      <c r="D70" s="11"/>
      <c r="E70" s="15"/>
      <c r="F70" s="10"/>
      <c r="G70" s="11"/>
      <c r="H70" s="10"/>
      <c r="I70" s="11"/>
      <c r="J70" s="12"/>
      <c r="K70" s="13"/>
      <c r="L70" s="13"/>
    </row>
    <row r="71" spans="1:12" x14ac:dyDescent="0.3">
      <c r="A71" s="12"/>
      <c r="B71" s="12"/>
      <c r="C71" s="15"/>
      <c r="D71" s="11"/>
      <c r="E71" s="15"/>
      <c r="F71" s="10"/>
      <c r="G71" s="11"/>
      <c r="H71" s="10"/>
      <c r="I71" s="11"/>
      <c r="J71" s="12"/>
      <c r="K71" s="13"/>
      <c r="L71" s="13"/>
    </row>
    <row r="72" spans="1:12" x14ac:dyDescent="0.3">
      <c r="A72" s="12"/>
      <c r="B72" s="12"/>
      <c r="C72" s="15"/>
      <c r="D72" s="11"/>
      <c r="E72" s="15"/>
      <c r="F72" s="10"/>
      <c r="G72" s="11"/>
      <c r="H72" s="10"/>
      <c r="I72" s="11"/>
      <c r="J72" s="12"/>
      <c r="K72" s="13"/>
      <c r="L72" s="13"/>
    </row>
    <row r="73" spans="1:12" x14ac:dyDescent="0.3">
      <c r="A73" s="12"/>
      <c r="B73" s="12"/>
      <c r="C73" s="15"/>
      <c r="D73" s="11"/>
      <c r="E73" s="15"/>
      <c r="F73" s="10"/>
      <c r="G73" s="11"/>
      <c r="H73" s="10"/>
      <c r="I73" s="11"/>
      <c r="J73" s="12"/>
      <c r="K73" s="13"/>
      <c r="L73" s="13"/>
    </row>
    <row r="74" spans="1:12" x14ac:dyDescent="0.3">
      <c r="A74" s="12"/>
      <c r="B74" s="12"/>
      <c r="C74" s="15"/>
      <c r="D74" s="11"/>
      <c r="E74" s="15"/>
      <c r="F74" s="10"/>
      <c r="G74" s="11"/>
      <c r="H74" s="10"/>
      <c r="I74" s="11"/>
      <c r="J74" s="12"/>
      <c r="K74" s="13"/>
      <c r="L74" s="13"/>
    </row>
    <row r="75" spans="1:12" x14ac:dyDescent="0.3">
      <c r="A75" s="12"/>
      <c r="B75" s="12"/>
      <c r="C75" s="15"/>
      <c r="D75" s="11"/>
      <c r="E75" s="15"/>
      <c r="F75" s="10"/>
      <c r="G75" s="11"/>
      <c r="H75" s="10"/>
      <c r="I75" s="11"/>
      <c r="J75" s="12"/>
      <c r="K75" s="13"/>
      <c r="L75" s="13"/>
    </row>
    <row r="76" spans="1:12" x14ac:dyDescent="0.3">
      <c r="A76" s="12"/>
      <c r="B76" s="12"/>
      <c r="C76" s="15"/>
      <c r="D76" s="11"/>
      <c r="E76" s="15"/>
      <c r="F76" s="10"/>
      <c r="G76" s="11"/>
      <c r="H76" s="10"/>
      <c r="I76" s="11"/>
      <c r="J76" s="12"/>
      <c r="K76" s="13"/>
      <c r="L76" s="13"/>
    </row>
    <row r="77" spans="1:12" x14ac:dyDescent="0.3">
      <c r="A77" s="12"/>
      <c r="B77" s="12"/>
      <c r="C77" s="15"/>
      <c r="D77" s="11"/>
      <c r="E77" s="15"/>
      <c r="F77" s="10"/>
      <c r="G77" s="11"/>
      <c r="H77" s="10"/>
      <c r="I77" s="11"/>
      <c r="J77" s="12"/>
      <c r="K77" s="13"/>
      <c r="L77" s="13"/>
    </row>
    <row r="78" spans="1:12" x14ac:dyDescent="0.3">
      <c r="A78" s="12"/>
      <c r="B78" s="12"/>
      <c r="C78" s="15"/>
      <c r="D78" s="11"/>
      <c r="E78" s="15"/>
      <c r="F78" s="10"/>
      <c r="G78" s="11"/>
      <c r="H78" s="10"/>
      <c r="I78" s="11"/>
      <c r="J78" s="12"/>
      <c r="K78" s="13"/>
      <c r="L78" s="13"/>
    </row>
    <row r="79" spans="1:12" x14ac:dyDescent="0.3">
      <c r="A79" s="12"/>
      <c r="B79" s="12"/>
      <c r="C79" s="15"/>
      <c r="D79" s="11"/>
      <c r="E79" s="15"/>
      <c r="F79" s="10"/>
      <c r="G79" s="11"/>
      <c r="H79" s="10"/>
      <c r="I79" s="11"/>
      <c r="J79" s="12"/>
      <c r="K79" s="13"/>
      <c r="L79" s="13"/>
    </row>
    <row r="80" spans="1:12" x14ac:dyDescent="0.3">
      <c r="A80" s="12"/>
      <c r="B80" s="12"/>
      <c r="C80" s="15"/>
      <c r="D80" s="11"/>
      <c r="E80" s="15"/>
      <c r="F80" s="10"/>
      <c r="G80" s="11"/>
      <c r="H80" s="10"/>
      <c r="I80" s="11"/>
      <c r="J80" s="12"/>
      <c r="K80" s="13"/>
      <c r="L80" s="13"/>
    </row>
    <row r="81" spans="1:12" x14ac:dyDescent="0.3">
      <c r="A81" s="12"/>
      <c r="B81" s="12"/>
      <c r="C81" s="15"/>
      <c r="D81" s="11"/>
      <c r="E81" s="15"/>
      <c r="F81" s="10"/>
      <c r="G81" s="11"/>
      <c r="H81" s="10"/>
      <c r="I81" s="11"/>
      <c r="J81" s="12"/>
      <c r="K81" s="13"/>
      <c r="L81" s="13"/>
    </row>
    <row r="82" spans="1:12" x14ac:dyDescent="0.3">
      <c r="A82" s="12"/>
      <c r="B82" s="12"/>
      <c r="C82" s="15"/>
      <c r="D82" s="11"/>
      <c r="E82" s="15"/>
      <c r="F82" s="10"/>
      <c r="G82" s="11"/>
      <c r="H82" s="10"/>
      <c r="I82" s="11"/>
      <c r="J82" s="12"/>
      <c r="K82" s="13"/>
      <c r="L82" s="13"/>
    </row>
    <row r="83" spans="1:12" x14ac:dyDescent="0.3">
      <c r="A83" s="12"/>
      <c r="B83" s="12"/>
      <c r="C83" s="15"/>
      <c r="D83" s="11"/>
      <c r="E83" s="15"/>
      <c r="F83" s="10"/>
      <c r="G83" s="11"/>
      <c r="H83" s="10"/>
      <c r="I83" s="11"/>
      <c r="J83" s="12"/>
      <c r="K83" s="13"/>
      <c r="L83" s="13"/>
    </row>
    <row r="84" spans="1:12" x14ac:dyDescent="0.3">
      <c r="A84" s="12"/>
      <c r="B84" s="12"/>
      <c r="C84" s="15"/>
      <c r="D84" s="11"/>
      <c r="E84" s="15"/>
      <c r="F84" s="10"/>
      <c r="G84" s="11"/>
      <c r="H84" s="10"/>
      <c r="I84" s="11"/>
      <c r="J84" s="12"/>
      <c r="K84" s="13"/>
      <c r="L84" s="13"/>
    </row>
    <row r="85" spans="1:12" x14ac:dyDescent="0.3">
      <c r="A85" s="12"/>
      <c r="B85" s="12"/>
      <c r="C85" s="15"/>
      <c r="D85" s="11"/>
      <c r="E85" s="15"/>
      <c r="F85" s="10"/>
      <c r="G85" s="11"/>
      <c r="H85" s="10"/>
      <c r="I85" s="11"/>
      <c r="J85" s="12"/>
      <c r="K85" s="13"/>
      <c r="L85" s="13"/>
    </row>
    <row r="86" spans="1:12" x14ac:dyDescent="0.3">
      <c r="A86" s="12"/>
      <c r="B86" s="12"/>
      <c r="C86" s="15"/>
      <c r="D86" s="11"/>
      <c r="E86" s="15"/>
      <c r="F86" s="10"/>
      <c r="G86" s="11"/>
      <c r="H86" s="10"/>
      <c r="I86" s="11"/>
      <c r="J86" s="12"/>
      <c r="K86" s="13"/>
      <c r="L86" s="13"/>
    </row>
    <row r="87" spans="1:12" x14ac:dyDescent="0.3">
      <c r="A87" s="12"/>
      <c r="B87" s="12"/>
      <c r="C87" s="15"/>
      <c r="D87" s="11"/>
      <c r="E87" s="15"/>
      <c r="F87" s="10"/>
      <c r="G87" s="11"/>
      <c r="H87" s="10"/>
      <c r="I87" s="11"/>
      <c r="J87" s="12"/>
      <c r="K87" s="13"/>
      <c r="L87" s="13"/>
    </row>
    <row r="88" spans="1:12" x14ac:dyDescent="0.3">
      <c r="A88" s="12"/>
      <c r="B88" s="12"/>
      <c r="C88" s="15"/>
      <c r="D88" s="11"/>
      <c r="E88" s="15"/>
      <c r="F88" s="10"/>
      <c r="G88" s="11"/>
      <c r="H88" s="10"/>
      <c r="I88" s="11"/>
      <c r="J88" s="12"/>
      <c r="K88" s="13"/>
      <c r="L88" s="13"/>
    </row>
    <row r="89" spans="1:12" x14ac:dyDescent="0.3">
      <c r="A89" s="12"/>
      <c r="B89" s="12"/>
      <c r="C89" s="15"/>
      <c r="D89" s="11"/>
      <c r="E89" s="15"/>
      <c r="F89" s="10"/>
      <c r="G89" s="11"/>
      <c r="H89" s="10"/>
      <c r="I89" s="11"/>
      <c r="J89" s="12"/>
      <c r="K89" s="13"/>
      <c r="L89" s="13"/>
    </row>
    <row r="90" spans="1:12" x14ac:dyDescent="0.3">
      <c r="A90" s="12"/>
      <c r="B90" s="12"/>
      <c r="C90" s="15"/>
      <c r="D90" s="11"/>
      <c r="E90" s="15"/>
      <c r="F90" s="10"/>
      <c r="G90" s="11"/>
      <c r="H90" s="10"/>
      <c r="I90" s="11"/>
      <c r="J90" s="12"/>
      <c r="K90" s="13"/>
      <c r="L90" s="13"/>
    </row>
    <row r="91" spans="1:12" x14ac:dyDescent="0.3">
      <c r="A91" s="12"/>
      <c r="B91" s="12"/>
      <c r="C91" s="15"/>
      <c r="D91" s="11"/>
      <c r="E91" s="15"/>
      <c r="F91" s="10"/>
      <c r="G91" s="11"/>
      <c r="H91" s="10"/>
      <c r="I91" s="11"/>
      <c r="J91" s="12"/>
      <c r="K91" s="13"/>
      <c r="L91" s="13"/>
    </row>
    <row r="92" spans="1:12" x14ac:dyDescent="0.3">
      <c r="A92" s="12"/>
      <c r="B92" s="12"/>
      <c r="C92" s="15"/>
      <c r="D92" s="11"/>
      <c r="E92" s="15"/>
      <c r="F92" s="10"/>
      <c r="G92" s="11"/>
      <c r="H92" s="10"/>
      <c r="I92" s="11"/>
      <c r="J92" s="12"/>
      <c r="K92" s="13"/>
      <c r="L92" s="13"/>
    </row>
    <row r="93" spans="1:12" x14ac:dyDescent="0.3">
      <c r="A93" s="12"/>
      <c r="B93" s="12"/>
      <c r="C93" s="15"/>
      <c r="D93" s="11"/>
      <c r="E93" s="15"/>
      <c r="F93" s="10"/>
      <c r="G93" s="11"/>
      <c r="H93" s="10"/>
      <c r="I93" s="11"/>
      <c r="J93" s="12"/>
      <c r="K93" s="13"/>
      <c r="L93" s="13"/>
    </row>
    <row r="94" spans="1:12" x14ac:dyDescent="0.3">
      <c r="A94" s="12"/>
      <c r="B94" s="12"/>
      <c r="C94" s="15"/>
      <c r="D94" s="11"/>
      <c r="E94" s="15"/>
      <c r="F94" s="10"/>
      <c r="G94" s="11"/>
      <c r="H94" s="10"/>
      <c r="I94" s="11"/>
      <c r="J94" s="12"/>
      <c r="K94" s="13"/>
      <c r="L94" s="13"/>
    </row>
    <row r="95" spans="1:12" x14ac:dyDescent="0.3">
      <c r="A95" s="12"/>
      <c r="B95" s="12"/>
      <c r="C95" s="15"/>
      <c r="D95" s="11"/>
      <c r="E95" s="15"/>
      <c r="F95" s="10"/>
      <c r="G95" s="11"/>
      <c r="H95" s="10"/>
      <c r="I95" s="11"/>
      <c r="J95" s="12"/>
      <c r="K95" s="13"/>
      <c r="L95" s="13"/>
    </row>
    <row r="96" spans="1:12" x14ac:dyDescent="0.3">
      <c r="A96" s="12"/>
      <c r="B96" s="12"/>
      <c r="C96" s="15"/>
      <c r="D96" s="11"/>
      <c r="E96" s="15"/>
      <c r="F96" s="10"/>
      <c r="G96" s="11"/>
      <c r="H96" s="10"/>
      <c r="I96" s="11"/>
      <c r="J96" s="12"/>
      <c r="K96" s="13"/>
      <c r="L96" s="13"/>
    </row>
    <row r="97" spans="1:12" x14ac:dyDescent="0.3">
      <c r="A97" s="12"/>
      <c r="B97" s="12"/>
      <c r="C97" s="15"/>
      <c r="D97" s="11"/>
      <c r="E97" s="15"/>
      <c r="F97" s="10"/>
      <c r="G97" s="11"/>
      <c r="H97" s="10"/>
      <c r="I97" s="11"/>
      <c r="J97" s="12"/>
      <c r="K97" s="13"/>
      <c r="L97" s="13"/>
    </row>
    <row r="98" spans="1:12" x14ac:dyDescent="0.3">
      <c r="A98" s="12"/>
      <c r="B98" s="12"/>
      <c r="C98" s="15"/>
      <c r="D98" s="11"/>
      <c r="E98" s="15"/>
      <c r="F98" s="10"/>
      <c r="G98" s="11"/>
      <c r="H98" s="10"/>
      <c r="I98" s="11"/>
      <c r="J98" s="12"/>
      <c r="K98" s="13"/>
      <c r="L98" s="13"/>
    </row>
    <row r="99" spans="1:12" x14ac:dyDescent="0.3">
      <c r="A99" s="12"/>
      <c r="B99" s="12"/>
      <c r="C99" s="15"/>
      <c r="D99" s="11"/>
      <c r="E99" s="15"/>
      <c r="F99" s="10"/>
      <c r="G99" s="11"/>
      <c r="H99" s="10"/>
      <c r="I99" s="11"/>
      <c r="J99" s="12"/>
      <c r="K99" s="13"/>
      <c r="L99" s="13"/>
    </row>
    <row r="100" spans="1:12" x14ac:dyDescent="0.3">
      <c r="A100" s="12"/>
      <c r="B100" s="12"/>
      <c r="C100" s="15"/>
      <c r="D100" s="11"/>
      <c r="E100" s="15"/>
      <c r="F100" s="10"/>
      <c r="G100" s="11"/>
      <c r="H100" s="10"/>
      <c r="I100" s="11"/>
      <c r="J100" s="12"/>
      <c r="K100" s="13"/>
      <c r="L100" s="13"/>
    </row>
    <row r="101" spans="1:12" x14ac:dyDescent="0.3">
      <c r="A101" s="12"/>
      <c r="B101" s="12"/>
      <c r="C101" s="15"/>
      <c r="D101" s="11"/>
      <c r="E101" s="15"/>
      <c r="F101" s="10"/>
      <c r="G101" s="11"/>
      <c r="H101" s="10"/>
      <c r="I101" s="11"/>
      <c r="J101" s="12"/>
      <c r="K101" s="13"/>
      <c r="L101" s="13"/>
    </row>
    <row r="102" spans="1:12" x14ac:dyDescent="0.3">
      <c r="A102" s="12"/>
      <c r="B102" s="12"/>
      <c r="C102" s="15"/>
      <c r="D102" s="11"/>
      <c r="E102" s="15"/>
      <c r="F102" s="10"/>
      <c r="G102" s="11"/>
      <c r="H102" s="10"/>
      <c r="I102" s="11"/>
      <c r="J102" s="12"/>
      <c r="K102" s="13"/>
      <c r="L102" s="13"/>
    </row>
    <row r="103" spans="1:12" x14ac:dyDescent="0.3">
      <c r="A103" s="12"/>
      <c r="B103" s="12"/>
      <c r="C103" s="15"/>
      <c r="D103" s="11"/>
      <c r="E103" s="15"/>
      <c r="F103" s="10"/>
      <c r="G103" s="11"/>
      <c r="H103" s="10"/>
      <c r="I103" s="11"/>
      <c r="J103" s="12"/>
      <c r="K103" s="13"/>
      <c r="L103" s="13"/>
    </row>
    <row r="104" spans="1:12" x14ac:dyDescent="0.3">
      <c r="A104" s="12"/>
      <c r="B104" s="12"/>
      <c r="C104" s="15"/>
      <c r="D104" s="11"/>
      <c r="E104" s="15"/>
      <c r="F104" s="10"/>
      <c r="G104" s="11"/>
      <c r="H104" s="10"/>
      <c r="I104" s="11"/>
      <c r="J104" s="12"/>
      <c r="K104" s="13"/>
      <c r="L104" s="13"/>
    </row>
    <row r="105" spans="1:12" x14ac:dyDescent="0.3">
      <c r="A105" s="12"/>
      <c r="B105" s="12"/>
      <c r="C105" s="15"/>
      <c r="D105" s="11"/>
      <c r="E105" s="15"/>
      <c r="F105" s="10"/>
      <c r="G105" s="11"/>
      <c r="H105" s="10"/>
      <c r="I105" s="11"/>
      <c r="J105" s="12"/>
      <c r="K105" s="13"/>
      <c r="L105" s="13"/>
    </row>
    <row r="106" spans="1:12" x14ac:dyDescent="0.3">
      <c r="A106" s="12"/>
      <c r="B106" s="12"/>
      <c r="C106" s="15"/>
      <c r="D106" s="11"/>
      <c r="E106" s="15"/>
      <c r="F106" s="10"/>
      <c r="G106" s="11"/>
      <c r="H106" s="10"/>
      <c r="I106" s="11"/>
      <c r="J106" s="12"/>
      <c r="K106" s="13"/>
      <c r="L106" s="13"/>
    </row>
    <row r="107" spans="1:12" x14ac:dyDescent="0.3">
      <c r="A107" s="12"/>
      <c r="B107" s="12"/>
      <c r="C107" s="15"/>
      <c r="D107" s="11"/>
      <c r="E107" s="15"/>
      <c r="F107" s="10"/>
      <c r="G107" s="11"/>
      <c r="H107" s="10"/>
      <c r="I107" s="11"/>
      <c r="J107" s="12"/>
      <c r="K107" s="13"/>
      <c r="L107" s="13"/>
    </row>
    <row r="108" spans="1:12" x14ac:dyDescent="0.3">
      <c r="A108" s="12"/>
      <c r="B108" s="12"/>
      <c r="C108" s="15"/>
      <c r="D108" s="11"/>
      <c r="E108" s="15"/>
      <c r="F108" s="10"/>
      <c r="G108" s="11"/>
      <c r="H108" s="10"/>
      <c r="I108" s="11"/>
      <c r="J108" s="12"/>
      <c r="K108" s="13"/>
      <c r="L108" s="13"/>
    </row>
    <row r="109" spans="1:12" x14ac:dyDescent="0.3">
      <c r="A109" s="12"/>
      <c r="B109" s="12"/>
      <c r="C109" s="15"/>
      <c r="D109" s="11"/>
      <c r="E109" s="15"/>
      <c r="F109" s="10"/>
      <c r="G109" s="11"/>
      <c r="H109" s="10"/>
      <c r="I109" s="11"/>
      <c r="J109" s="12"/>
      <c r="K109" s="13"/>
      <c r="L109" s="13"/>
    </row>
    <row r="110" spans="1:12" x14ac:dyDescent="0.3">
      <c r="A110" s="12"/>
      <c r="B110" s="12"/>
      <c r="C110" s="15"/>
      <c r="D110" s="11"/>
      <c r="E110" s="15"/>
      <c r="F110" s="10"/>
      <c r="G110" s="11"/>
      <c r="H110" s="10"/>
      <c r="I110" s="11"/>
      <c r="J110" s="12"/>
      <c r="K110" s="13"/>
      <c r="L110" s="13"/>
    </row>
    <row r="111" spans="1:12" x14ac:dyDescent="0.3">
      <c r="A111" s="12"/>
      <c r="B111" s="12"/>
      <c r="C111" s="15"/>
      <c r="D111" s="11"/>
      <c r="E111" s="15"/>
      <c r="F111" s="10"/>
      <c r="G111" s="11"/>
      <c r="H111" s="10"/>
      <c r="I111" s="11"/>
      <c r="J111" s="12"/>
      <c r="K111" s="13"/>
      <c r="L111" s="13"/>
    </row>
    <row r="112" spans="1:12" x14ac:dyDescent="0.3">
      <c r="A112" s="12"/>
      <c r="B112" s="12"/>
      <c r="C112" s="15"/>
      <c r="D112" s="11"/>
      <c r="E112" s="15"/>
      <c r="F112" s="10"/>
      <c r="G112" s="11"/>
      <c r="H112" s="10"/>
      <c r="I112" s="11"/>
      <c r="J112" s="12"/>
      <c r="K112" s="13"/>
      <c r="L112" s="13"/>
    </row>
    <row r="113" spans="1:12" x14ac:dyDescent="0.3">
      <c r="A113" s="12"/>
      <c r="B113" s="12"/>
      <c r="C113" s="15"/>
      <c r="D113" s="11"/>
      <c r="E113" s="15"/>
      <c r="F113" s="10"/>
      <c r="G113" s="11"/>
      <c r="H113" s="10"/>
      <c r="I113" s="11"/>
      <c r="J113" s="12"/>
      <c r="K113" s="13"/>
      <c r="L113" s="13"/>
    </row>
    <row r="114" spans="1:12" x14ac:dyDescent="0.3">
      <c r="A114" s="12"/>
      <c r="B114" s="12"/>
      <c r="C114" s="15"/>
      <c r="D114" s="11"/>
      <c r="E114" s="15"/>
      <c r="F114" s="10"/>
      <c r="G114" s="11"/>
      <c r="H114" s="10"/>
      <c r="I114" s="11"/>
      <c r="J114" s="12"/>
      <c r="K114" s="13"/>
      <c r="L114" s="13"/>
    </row>
    <row r="115" spans="1:12" x14ac:dyDescent="0.3">
      <c r="A115" s="12"/>
      <c r="B115" s="12"/>
      <c r="C115" s="15"/>
      <c r="D115" s="11"/>
      <c r="E115" s="15"/>
      <c r="F115" s="10"/>
      <c r="G115" s="11"/>
      <c r="H115" s="10"/>
      <c r="I115" s="11"/>
      <c r="J115" s="12"/>
      <c r="K115" s="13"/>
      <c r="L115" s="13"/>
    </row>
    <row r="116" spans="1:12" x14ac:dyDescent="0.3">
      <c r="A116" s="12"/>
      <c r="B116" s="12"/>
      <c r="C116" s="15"/>
      <c r="D116" s="11"/>
      <c r="E116" s="15"/>
      <c r="F116" s="10"/>
      <c r="G116" s="11"/>
      <c r="H116" s="10"/>
      <c r="I116" s="11"/>
      <c r="J116" s="12"/>
      <c r="K116" s="13"/>
      <c r="L116" s="13"/>
    </row>
    <row r="117" spans="1:12" x14ac:dyDescent="0.3">
      <c r="A117" s="12"/>
      <c r="B117" s="12"/>
      <c r="C117" s="15"/>
      <c r="D117" s="11"/>
      <c r="E117" s="15"/>
      <c r="F117" s="10"/>
      <c r="G117" s="11"/>
      <c r="H117" s="10"/>
      <c r="I117" s="11"/>
      <c r="J117" s="12"/>
      <c r="K117" s="13"/>
      <c r="L117" s="13"/>
    </row>
    <row r="118" spans="1:12" x14ac:dyDescent="0.3">
      <c r="A118" s="12"/>
      <c r="B118" s="12"/>
      <c r="C118" s="15"/>
      <c r="D118" s="11"/>
      <c r="E118" s="15"/>
      <c r="F118" s="10"/>
      <c r="G118" s="11"/>
      <c r="H118" s="10"/>
      <c r="I118" s="11"/>
      <c r="J118" s="12"/>
      <c r="K118" s="13"/>
      <c r="L118" s="13"/>
    </row>
    <row r="119" spans="1:12" x14ac:dyDescent="0.3">
      <c r="A119" s="12"/>
      <c r="B119" s="12"/>
      <c r="C119" s="15"/>
      <c r="D119" s="11"/>
      <c r="E119" s="15"/>
      <c r="F119" s="10"/>
      <c r="G119" s="11"/>
      <c r="H119" s="10"/>
      <c r="I119" s="11"/>
      <c r="J119" s="12"/>
      <c r="K119" s="13"/>
      <c r="L119" s="13"/>
    </row>
    <row r="120" spans="1:12" x14ac:dyDescent="0.3">
      <c r="A120" s="12"/>
      <c r="B120" s="12"/>
      <c r="C120" s="15"/>
      <c r="D120" s="11"/>
      <c r="E120" s="15"/>
      <c r="F120" s="10"/>
      <c r="G120" s="11"/>
      <c r="H120" s="10"/>
      <c r="I120" s="11"/>
      <c r="J120" s="12"/>
      <c r="K120" s="13"/>
      <c r="L120" s="13"/>
    </row>
    <row r="121" spans="1:12" x14ac:dyDescent="0.3">
      <c r="A121" s="12"/>
      <c r="B121" s="12"/>
      <c r="C121" s="15"/>
      <c r="D121" s="11"/>
      <c r="E121" s="15"/>
      <c r="F121" s="10"/>
      <c r="G121" s="11"/>
      <c r="H121" s="10"/>
      <c r="I121" s="11"/>
      <c r="J121" s="12"/>
      <c r="K121" s="13"/>
      <c r="L121" s="13"/>
    </row>
    <row r="122" spans="1:12" x14ac:dyDescent="0.3">
      <c r="A122" s="12"/>
      <c r="B122" s="12"/>
      <c r="C122" s="15"/>
      <c r="D122" s="11"/>
      <c r="E122" s="15"/>
      <c r="F122" s="10"/>
      <c r="G122" s="11"/>
      <c r="H122" s="10"/>
      <c r="I122" s="11"/>
      <c r="J122" s="12"/>
      <c r="K122" s="13"/>
      <c r="L122" s="13"/>
    </row>
    <row r="123" spans="1:12" x14ac:dyDescent="0.3">
      <c r="A123" s="12"/>
      <c r="B123" s="12"/>
      <c r="C123" s="15"/>
      <c r="D123" s="11"/>
      <c r="E123" s="15"/>
      <c r="F123" s="10"/>
      <c r="G123" s="11"/>
      <c r="H123" s="10"/>
      <c r="I123" s="11"/>
      <c r="J123" s="12"/>
      <c r="K123" s="13"/>
      <c r="L123" s="13"/>
    </row>
    <row r="124" spans="1:12" x14ac:dyDescent="0.3">
      <c r="A124" s="12"/>
      <c r="B124" s="12"/>
      <c r="C124" s="15"/>
      <c r="D124" s="11"/>
      <c r="E124" s="15"/>
      <c r="F124" s="10"/>
      <c r="G124" s="11"/>
      <c r="H124" s="10"/>
      <c r="I124" s="11"/>
      <c r="J124" s="12"/>
      <c r="K124" s="13"/>
      <c r="L124" s="13"/>
    </row>
    <row r="125" spans="1:12" x14ac:dyDescent="0.3">
      <c r="A125" s="12"/>
      <c r="B125" s="12"/>
      <c r="C125" s="15"/>
      <c r="D125" s="11"/>
      <c r="E125" s="15"/>
      <c r="F125" s="10"/>
      <c r="G125" s="11"/>
      <c r="H125" s="10"/>
      <c r="I125" s="11"/>
      <c r="J125" s="12"/>
      <c r="K125" s="13"/>
      <c r="L125" s="13"/>
    </row>
    <row r="126" spans="1:12" x14ac:dyDescent="0.3">
      <c r="A126" s="12"/>
      <c r="B126" s="12"/>
      <c r="C126" s="15"/>
      <c r="D126" s="11"/>
      <c r="E126" s="15"/>
      <c r="F126" s="10"/>
      <c r="G126" s="11"/>
      <c r="H126" s="10"/>
      <c r="I126" s="11"/>
      <c r="J126" s="12"/>
      <c r="K126" s="13"/>
      <c r="L126" s="13"/>
    </row>
    <row r="127" spans="1:12" x14ac:dyDescent="0.3">
      <c r="A127" s="12"/>
      <c r="B127" s="12"/>
      <c r="C127" s="15"/>
      <c r="D127" s="11"/>
      <c r="E127" s="15"/>
      <c r="F127" s="10"/>
      <c r="G127" s="11"/>
      <c r="H127" s="10"/>
      <c r="I127" s="11"/>
      <c r="J127" s="12"/>
      <c r="K127" s="13"/>
      <c r="L127" s="13"/>
    </row>
    <row r="128" spans="1:12" x14ac:dyDescent="0.3">
      <c r="A128" s="12"/>
      <c r="B128" s="12"/>
      <c r="C128" s="15"/>
      <c r="D128" s="11"/>
      <c r="E128" s="15"/>
      <c r="F128" s="10"/>
      <c r="G128" s="11"/>
      <c r="H128" s="10"/>
      <c r="I128" s="11"/>
      <c r="J128" s="12"/>
      <c r="K128" s="13"/>
      <c r="L128" s="13"/>
    </row>
    <row r="129" spans="1:12" x14ac:dyDescent="0.3">
      <c r="A129" s="12"/>
      <c r="B129" s="12"/>
      <c r="C129" s="15"/>
      <c r="D129" s="11"/>
      <c r="E129" s="15"/>
      <c r="F129" s="10"/>
      <c r="G129" s="11"/>
      <c r="H129" s="10"/>
      <c r="I129" s="11"/>
      <c r="J129" s="12"/>
      <c r="K129" s="13"/>
      <c r="L129" s="13"/>
    </row>
    <row r="130" spans="1:12" x14ac:dyDescent="0.3">
      <c r="A130" s="12"/>
      <c r="B130" s="12"/>
      <c r="C130" s="15"/>
      <c r="D130" s="11"/>
      <c r="E130" s="15"/>
      <c r="F130" s="10"/>
      <c r="G130" s="11"/>
      <c r="H130" s="10"/>
      <c r="I130" s="11"/>
      <c r="J130" s="12"/>
      <c r="K130" s="13"/>
      <c r="L130" s="13"/>
    </row>
    <row r="131" spans="1:12" x14ac:dyDescent="0.3">
      <c r="A131" s="12"/>
      <c r="B131" s="12"/>
      <c r="C131" s="15"/>
      <c r="D131" s="11"/>
      <c r="E131" s="15"/>
      <c r="F131" s="10"/>
      <c r="G131" s="11"/>
      <c r="H131" s="10"/>
      <c r="I131" s="11"/>
      <c r="J131" s="12"/>
      <c r="K131" s="13"/>
      <c r="L131" s="13"/>
    </row>
    <row r="132" spans="1:12" x14ac:dyDescent="0.3">
      <c r="A132" s="12"/>
      <c r="B132" s="12"/>
      <c r="C132" s="15"/>
      <c r="D132" s="11"/>
      <c r="E132" s="15"/>
      <c r="F132" s="10"/>
      <c r="G132" s="11"/>
      <c r="H132" s="10"/>
      <c r="I132" s="11"/>
      <c r="J132" s="12"/>
      <c r="K132" s="13"/>
      <c r="L132" s="13"/>
    </row>
    <row r="133" spans="1:12" x14ac:dyDescent="0.3">
      <c r="A133" s="12"/>
      <c r="B133" s="12"/>
      <c r="C133" s="15"/>
      <c r="D133" s="11"/>
      <c r="E133" s="15"/>
      <c r="F133" s="10"/>
      <c r="G133" s="11"/>
      <c r="H133" s="10"/>
      <c r="I133" s="11"/>
      <c r="J133" s="12"/>
      <c r="K133" s="13"/>
      <c r="L133" s="13"/>
    </row>
    <row r="134" spans="1:12" x14ac:dyDescent="0.3">
      <c r="A134" s="12"/>
      <c r="B134" s="12"/>
      <c r="C134" s="15"/>
      <c r="D134" s="11"/>
      <c r="E134" s="15"/>
      <c r="F134" s="10"/>
      <c r="G134" s="11"/>
      <c r="H134" s="10"/>
      <c r="I134" s="11"/>
      <c r="J134" s="12"/>
      <c r="K134" s="13"/>
      <c r="L134" s="13"/>
    </row>
    <row r="135" spans="1:12" x14ac:dyDescent="0.3">
      <c r="A135" s="12"/>
      <c r="B135" s="12"/>
      <c r="C135" s="15"/>
      <c r="D135" s="11"/>
      <c r="E135" s="15"/>
      <c r="F135" s="10"/>
      <c r="G135" s="11"/>
      <c r="H135" s="10"/>
      <c r="I135" s="11"/>
      <c r="J135" s="12"/>
      <c r="K135" s="13"/>
      <c r="L135" s="13"/>
    </row>
    <row r="136" spans="1:12" x14ac:dyDescent="0.3">
      <c r="A136" s="12"/>
      <c r="B136" s="12"/>
      <c r="C136" s="15"/>
      <c r="D136" s="11"/>
      <c r="E136" s="15"/>
      <c r="F136" s="10"/>
      <c r="G136" s="11"/>
      <c r="H136" s="10"/>
      <c r="I136" s="11"/>
      <c r="J136" s="12"/>
      <c r="K136" s="13"/>
      <c r="L136" s="13"/>
    </row>
    <row r="137" spans="1:12" x14ac:dyDescent="0.3">
      <c r="A137" s="12"/>
      <c r="B137" s="12"/>
      <c r="C137" s="15"/>
      <c r="D137" s="11"/>
      <c r="E137" s="15"/>
      <c r="F137" s="10"/>
      <c r="G137" s="11"/>
      <c r="H137" s="10"/>
      <c r="I137" s="11"/>
      <c r="J137" s="12"/>
      <c r="K137" s="13"/>
      <c r="L137" s="13"/>
    </row>
    <row r="138" spans="1:12" x14ac:dyDescent="0.3">
      <c r="A138" s="12"/>
      <c r="B138" s="12"/>
      <c r="C138" s="15"/>
      <c r="D138" s="11"/>
      <c r="E138" s="15"/>
      <c r="F138" s="10"/>
      <c r="G138" s="11"/>
      <c r="H138" s="10"/>
      <c r="I138" s="11"/>
      <c r="J138" s="12"/>
      <c r="K138" s="13"/>
      <c r="L138" s="13"/>
    </row>
    <row r="139" spans="1:12" x14ac:dyDescent="0.3">
      <c r="A139" s="12"/>
      <c r="B139" s="12"/>
      <c r="C139" s="15"/>
      <c r="D139" s="11"/>
      <c r="E139" s="15"/>
      <c r="F139" s="10"/>
      <c r="G139" s="11"/>
      <c r="H139" s="10"/>
      <c r="I139" s="11"/>
      <c r="J139" s="12"/>
      <c r="K139" s="13"/>
      <c r="L139" s="13"/>
    </row>
    <row r="140" spans="1:12" x14ac:dyDescent="0.3">
      <c r="A140" s="12"/>
      <c r="B140" s="12"/>
      <c r="C140" s="15"/>
      <c r="D140" s="11"/>
      <c r="E140" s="15"/>
      <c r="F140" s="10"/>
      <c r="G140" s="11"/>
      <c r="H140" s="10"/>
      <c r="I140" s="11"/>
      <c r="J140" s="12"/>
      <c r="K140" s="13"/>
      <c r="L140" s="13"/>
    </row>
    <row r="141" spans="1:12" x14ac:dyDescent="0.3">
      <c r="A141" s="12"/>
      <c r="B141" s="12"/>
      <c r="C141" s="15"/>
      <c r="D141" s="11"/>
      <c r="E141" s="15"/>
      <c r="F141" s="10"/>
      <c r="G141" s="11"/>
      <c r="H141" s="10"/>
      <c r="I141" s="11"/>
      <c r="J141" s="12"/>
      <c r="K141" s="13"/>
      <c r="L141" s="13"/>
    </row>
    <row r="142" spans="1:12" x14ac:dyDescent="0.3">
      <c r="A142" s="12"/>
      <c r="B142" s="12"/>
      <c r="C142" s="15"/>
      <c r="D142" s="11"/>
      <c r="E142" s="15"/>
      <c r="F142" s="10"/>
      <c r="G142" s="11"/>
      <c r="H142" s="10"/>
      <c r="I142" s="11"/>
      <c r="J142" s="12"/>
      <c r="K142" s="13"/>
      <c r="L142" s="13"/>
    </row>
    <row r="143" spans="1:12" x14ac:dyDescent="0.3">
      <c r="A143" s="12"/>
      <c r="B143" s="12"/>
      <c r="C143" s="15"/>
      <c r="D143" s="11"/>
      <c r="E143" s="15"/>
      <c r="F143" s="10"/>
      <c r="G143" s="11"/>
      <c r="H143" s="10"/>
      <c r="I143" s="11"/>
      <c r="J143" s="12"/>
      <c r="K143" s="13"/>
      <c r="L143" s="13"/>
    </row>
    <row r="144" spans="1:12" x14ac:dyDescent="0.3">
      <c r="A144" s="12"/>
      <c r="B144" s="12"/>
      <c r="C144" s="15"/>
      <c r="D144" s="11"/>
      <c r="E144" s="15"/>
      <c r="F144" s="10"/>
      <c r="G144" s="11"/>
      <c r="H144" s="10"/>
      <c r="I144" s="11"/>
      <c r="J144" s="12"/>
      <c r="K144" s="13"/>
      <c r="L144" s="13"/>
    </row>
    <row r="145" spans="1:12" x14ac:dyDescent="0.3">
      <c r="A145" s="12"/>
      <c r="B145" s="12"/>
      <c r="C145" s="15"/>
      <c r="D145" s="11"/>
      <c r="E145" s="15"/>
      <c r="F145" s="10"/>
      <c r="G145" s="11"/>
      <c r="H145" s="10"/>
      <c r="I145" s="11"/>
      <c r="J145" s="12"/>
      <c r="K145" s="13"/>
      <c r="L145" s="13"/>
    </row>
    <row r="146" spans="1:12" x14ac:dyDescent="0.3">
      <c r="A146" s="12"/>
      <c r="B146" s="12"/>
      <c r="C146" s="15"/>
      <c r="D146" s="11"/>
      <c r="E146" s="15"/>
      <c r="F146" s="10"/>
      <c r="G146" s="11"/>
      <c r="H146" s="10"/>
      <c r="I146" s="11"/>
      <c r="J146" s="12"/>
      <c r="K146" s="13"/>
      <c r="L146" s="13"/>
    </row>
    <row r="147" spans="1:12" x14ac:dyDescent="0.3">
      <c r="A147" s="12"/>
      <c r="B147" s="12"/>
      <c r="C147" s="15"/>
      <c r="D147" s="11"/>
      <c r="E147" s="15"/>
      <c r="F147" s="10"/>
      <c r="G147" s="11"/>
      <c r="H147" s="10"/>
      <c r="I147" s="11"/>
      <c r="J147" s="12"/>
      <c r="K147" s="13"/>
      <c r="L147" s="13"/>
    </row>
    <row r="148" spans="1:12" x14ac:dyDescent="0.3">
      <c r="A148" s="12"/>
      <c r="B148" s="12"/>
      <c r="C148" s="15"/>
      <c r="D148" s="11"/>
      <c r="E148" s="15"/>
      <c r="F148" s="10"/>
      <c r="G148" s="11"/>
      <c r="H148" s="10"/>
      <c r="I148" s="11"/>
      <c r="J148" s="12"/>
      <c r="K148" s="13"/>
      <c r="L148" s="13"/>
    </row>
    <row r="149" spans="1:12" x14ac:dyDescent="0.3">
      <c r="A149" s="12"/>
      <c r="B149" s="12"/>
      <c r="C149" s="15"/>
      <c r="D149" s="11"/>
      <c r="E149" s="15"/>
      <c r="F149" s="10"/>
      <c r="G149" s="11"/>
      <c r="H149" s="10"/>
      <c r="I149" s="11"/>
      <c r="J149" s="12"/>
      <c r="K149" s="13"/>
      <c r="L149" s="13"/>
    </row>
    <row r="150" spans="1:12" x14ac:dyDescent="0.3">
      <c r="A150" s="12"/>
      <c r="B150" s="12"/>
      <c r="C150" s="15"/>
      <c r="D150" s="11"/>
      <c r="E150" s="15"/>
      <c r="F150" s="10"/>
      <c r="G150" s="11"/>
      <c r="H150" s="10"/>
      <c r="I150" s="11"/>
      <c r="J150" s="12"/>
      <c r="K150" s="13"/>
      <c r="L150" s="13"/>
    </row>
    <row r="151" spans="1:12" x14ac:dyDescent="0.3">
      <c r="A151" s="12"/>
      <c r="B151" s="12"/>
      <c r="C151" s="15"/>
      <c r="D151" s="11"/>
      <c r="E151" s="15"/>
      <c r="F151" s="10"/>
      <c r="G151" s="11"/>
      <c r="H151" s="10"/>
      <c r="I151" s="11"/>
      <c r="J151" s="12"/>
      <c r="K151" s="13"/>
      <c r="L151" s="13"/>
    </row>
    <row r="152" spans="1:12" x14ac:dyDescent="0.3">
      <c r="A152" s="12"/>
      <c r="B152" s="12"/>
      <c r="C152" s="15"/>
      <c r="D152" s="11"/>
      <c r="E152" s="15"/>
      <c r="F152" s="10"/>
      <c r="G152" s="11"/>
      <c r="H152" s="10"/>
      <c r="I152" s="11"/>
      <c r="J152" s="12"/>
      <c r="K152" s="13"/>
      <c r="L152" s="13"/>
    </row>
    <row r="154" spans="1:12" x14ac:dyDescent="0.3">
      <c r="C154" s="15"/>
    </row>
    <row r="155" spans="1:12" x14ac:dyDescent="0.3">
      <c r="C155" s="15"/>
    </row>
    <row r="156" spans="1:12" x14ac:dyDescent="0.3">
      <c r="C156" s="15"/>
    </row>
    <row r="157" spans="1:12" x14ac:dyDescent="0.3">
      <c r="C157" s="15"/>
    </row>
    <row r="158" spans="1:12" x14ac:dyDescent="0.3">
      <c r="C158" s="15"/>
    </row>
    <row r="159" spans="1:12" x14ac:dyDescent="0.3">
      <c r="C159" s="15"/>
    </row>
    <row r="160" spans="1:12" x14ac:dyDescent="0.3">
      <c r="C160" s="15"/>
    </row>
    <row r="161" spans="3:3" x14ac:dyDescent="0.3">
      <c r="C161" s="15"/>
    </row>
  </sheetData>
  <pageMargins left="0.78740157499999996" right="0.78740157499999996" top="0.984251969" bottom="0.984251969" header="0" footer="0"/>
  <pageSetup paperSize="9" firstPageNumber="0" fitToWidth="0" fitToHeight="0" orientation="landscape" horizont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DF4B3-53B2-4C31-920C-2E01B6CDC386}">
  <sheetPr>
    <tabColor rgb="FFC7F1F0"/>
  </sheetPr>
  <dimension ref="A1:F49"/>
  <sheetViews>
    <sheetView showGridLines="0" showRowColHeaders="0" zoomScaleNormal="100" workbookViewId="0">
      <pane ySplit="1" topLeftCell="A12" activePane="bottomLeft" state="frozen"/>
      <selection pane="bottomLeft" activeCell="D1" sqref="D1:F49"/>
    </sheetView>
  </sheetViews>
  <sheetFormatPr defaultRowHeight="15" x14ac:dyDescent="0.3"/>
  <cols>
    <col min="1" max="1" width="20.5703125" style="16" customWidth="1"/>
    <col min="2" max="2" width="8.7109375" style="16" customWidth="1"/>
    <col min="3" max="3" width="20.7109375" style="21" customWidth="1"/>
    <col min="4" max="4" width="10.5703125" style="21" bestFit="1" customWidth="1"/>
    <col min="5" max="5" width="29.5703125" style="21" customWidth="1"/>
    <col min="6" max="6" width="28.85546875" style="21" customWidth="1"/>
    <col min="7" max="16384" width="9.140625" style="16"/>
  </cols>
  <sheetData>
    <row r="1" spans="1:6" x14ac:dyDescent="0.3">
      <c r="A1" s="104" t="s">
        <v>15</v>
      </c>
      <c r="B1" s="105" t="s">
        <v>16</v>
      </c>
      <c r="C1" s="105" t="s">
        <v>17</v>
      </c>
      <c r="D1" s="105" t="s">
        <v>18</v>
      </c>
      <c r="E1" s="105" t="s">
        <v>19</v>
      </c>
      <c r="F1" s="106" t="s">
        <v>20</v>
      </c>
    </row>
    <row r="2" spans="1:6" x14ac:dyDescent="0.3">
      <c r="A2" s="100">
        <v>1</v>
      </c>
      <c r="B2" s="17">
        <v>81</v>
      </c>
      <c r="C2" s="18">
        <v>6800</v>
      </c>
      <c r="D2" s="18">
        <v>6800</v>
      </c>
      <c r="E2" s="18">
        <v>380</v>
      </c>
      <c r="F2" s="102">
        <v>2000</v>
      </c>
    </row>
    <row r="3" spans="1:6" x14ac:dyDescent="0.3">
      <c r="A3" s="100">
        <v>2</v>
      </c>
      <c r="B3" s="17">
        <v>35</v>
      </c>
      <c r="C3" s="18">
        <v>5000</v>
      </c>
      <c r="D3" s="18">
        <v>5000</v>
      </c>
      <c r="E3" s="18">
        <v>1000</v>
      </c>
      <c r="F3" s="102">
        <v>1000</v>
      </c>
    </row>
    <row r="4" spans="1:6" x14ac:dyDescent="0.3">
      <c r="A4" s="101">
        <v>3</v>
      </c>
      <c r="B4" s="17">
        <v>39</v>
      </c>
      <c r="C4" s="18">
        <v>6320</v>
      </c>
      <c r="D4" s="18">
        <v>6320</v>
      </c>
      <c r="E4" s="18">
        <v>1550</v>
      </c>
      <c r="F4" s="102">
        <v>1640</v>
      </c>
    </row>
    <row r="5" spans="1:6" x14ac:dyDescent="0.3">
      <c r="A5" s="100">
        <v>4</v>
      </c>
      <c r="B5" s="17">
        <v>70</v>
      </c>
      <c r="C5" s="18">
        <v>10736</v>
      </c>
      <c r="D5" s="18">
        <v>5214</v>
      </c>
      <c r="E5" s="18">
        <v>400</v>
      </c>
      <c r="F5" s="102">
        <v>500</v>
      </c>
    </row>
    <row r="6" spans="1:6" x14ac:dyDescent="0.3">
      <c r="A6" s="100">
        <v>5</v>
      </c>
      <c r="B6" s="17">
        <v>54</v>
      </c>
      <c r="C6" s="18">
        <v>6000</v>
      </c>
      <c r="D6" s="18">
        <v>6000</v>
      </c>
      <c r="E6" s="18">
        <v>1790</v>
      </c>
      <c r="F6" s="102">
        <v>3600</v>
      </c>
    </row>
    <row r="7" spans="1:6" x14ac:dyDescent="0.3">
      <c r="A7" s="100">
        <v>6</v>
      </c>
      <c r="B7" s="17">
        <v>64</v>
      </c>
      <c r="C7" s="18">
        <v>15000</v>
      </c>
      <c r="D7" s="18">
        <v>15000</v>
      </c>
      <c r="E7" s="18">
        <v>3000</v>
      </c>
      <c r="F7" s="102">
        <v>10000</v>
      </c>
    </row>
    <row r="8" spans="1:6" x14ac:dyDescent="0.3">
      <c r="A8" s="101">
        <v>7</v>
      </c>
      <c r="B8" s="19">
        <v>69</v>
      </c>
      <c r="C8" s="20">
        <v>37000</v>
      </c>
      <c r="D8" s="20">
        <v>22000</v>
      </c>
      <c r="E8" s="20">
        <v>1000</v>
      </c>
      <c r="F8" s="103">
        <v>4000</v>
      </c>
    </row>
    <row r="9" spans="1:6" x14ac:dyDescent="0.3">
      <c r="A9" s="100">
        <v>8</v>
      </c>
      <c r="B9" s="17">
        <v>68</v>
      </c>
      <c r="C9" s="18">
        <v>10527</v>
      </c>
      <c r="D9" s="18">
        <v>4027</v>
      </c>
      <c r="E9" s="18">
        <v>3000</v>
      </c>
      <c r="F9" s="102">
        <v>5000</v>
      </c>
    </row>
    <row r="10" spans="1:6" x14ac:dyDescent="0.3">
      <c r="A10" s="100">
        <v>9</v>
      </c>
      <c r="B10" s="17">
        <v>30</v>
      </c>
      <c r="C10" s="18">
        <v>8000</v>
      </c>
      <c r="D10" s="18">
        <v>8000</v>
      </c>
      <c r="E10" s="18">
        <v>3000</v>
      </c>
      <c r="F10" s="102">
        <v>3350</v>
      </c>
    </row>
    <row r="11" spans="1:6" x14ac:dyDescent="0.3">
      <c r="A11" s="100">
        <v>10</v>
      </c>
      <c r="B11" s="17">
        <v>72</v>
      </c>
      <c r="C11" s="18">
        <v>7825</v>
      </c>
      <c r="D11" s="18">
        <v>7825</v>
      </c>
      <c r="E11" s="18">
        <v>3000</v>
      </c>
      <c r="F11" s="102">
        <v>3000</v>
      </c>
    </row>
    <row r="12" spans="1:6" x14ac:dyDescent="0.3">
      <c r="A12" s="100">
        <v>11</v>
      </c>
      <c r="B12" s="17">
        <v>73</v>
      </c>
      <c r="C12" s="18">
        <v>7890</v>
      </c>
      <c r="D12" s="18">
        <v>7000</v>
      </c>
      <c r="E12" s="18">
        <v>3000</v>
      </c>
      <c r="F12" s="102">
        <v>5000</v>
      </c>
    </row>
    <row r="13" spans="1:6" x14ac:dyDescent="0.3">
      <c r="A13" s="100">
        <v>12</v>
      </c>
      <c r="B13" s="17">
        <v>72</v>
      </c>
      <c r="C13" s="18">
        <v>4300</v>
      </c>
      <c r="D13" s="18">
        <v>4300</v>
      </c>
      <c r="E13" s="18">
        <v>2000</v>
      </c>
      <c r="F13" s="102">
        <v>1000</v>
      </c>
    </row>
    <row r="14" spans="1:6" x14ac:dyDescent="0.3">
      <c r="A14" s="100">
        <v>13</v>
      </c>
      <c r="B14" s="17">
        <v>46</v>
      </c>
      <c r="C14" s="18">
        <v>12000</v>
      </c>
      <c r="D14" s="18">
        <v>12000</v>
      </c>
      <c r="E14" s="18">
        <v>2000</v>
      </c>
      <c r="F14" s="102">
        <v>3500</v>
      </c>
    </row>
    <row r="15" spans="1:6" x14ac:dyDescent="0.3">
      <c r="A15" s="100">
        <v>14</v>
      </c>
      <c r="B15" s="17">
        <v>70</v>
      </c>
      <c r="C15" s="18">
        <v>6900</v>
      </c>
      <c r="D15" s="18">
        <v>6900</v>
      </c>
      <c r="E15" s="18">
        <v>3000</v>
      </c>
      <c r="F15" s="102">
        <v>4140</v>
      </c>
    </row>
    <row r="16" spans="1:6" x14ac:dyDescent="0.3">
      <c r="A16" s="100">
        <v>15</v>
      </c>
      <c r="B16" s="17">
        <v>66</v>
      </c>
      <c r="C16" s="18">
        <v>13348</v>
      </c>
      <c r="D16" s="18">
        <v>13348</v>
      </c>
      <c r="E16" s="18">
        <v>2990</v>
      </c>
      <c r="F16" s="102">
        <v>10000</v>
      </c>
    </row>
    <row r="17" spans="1:6" x14ac:dyDescent="0.3">
      <c r="A17" s="100">
        <v>16</v>
      </c>
      <c r="B17" s="17">
        <v>67</v>
      </c>
      <c r="C17" s="18">
        <v>6500</v>
      </c>
      <c r="D17" s="18">
        <v>6500</v>
      </c>
      <c r="E17" s="18">
        <v>3000</v>
      </c>
      <c r="F17" s="102">
        <v>4000</v>
      </c>
    </row>
    <row r="18" spans="1:6" x14ac:dyDescent="0.3">
      <c r="A18" s="100">
        <v>17</v>
      </c>
      <c r="B18" s="17">
        <v>35</v>
      </c>
      <c r="C18" s="18">
        <v>12000</v>
      </c>
      <c r="D18" s="18">
        <v>9000</v>
      </c>
      <c r="E18" s="18">
        <v>3000</v>
      </c>
      <c r="F18" s="102">
        <v>6000</v>
      </c>
    </row>
    <row r="19" spans="1:6" x14ac:dyDescent="0.3">
      <c r="A19" s="100">
        <v>18</v>
      </c>
      <c r="B19" s="17">
        <v>65</v>
      </c>
      <c r="C19" s="18">
        <v>8800</v>
      </c>
      <c r="D19" s="18">
        <v>7300</v>
      </c>
      <c r="E19" s="18">
        <v>2000</v>
      </c>
      <c r="F19" s="102">
        <v>1780</v>
      </c>
    </row>
    <row r="20" spans="1:6" x14ac:dyDescent="0.3">
      <c r="A20" s="100">
        <v>19</v>
      </c>
      <c r="B20" s="17">
        <v>56</v>
      </c>
      <c r="C20" s="18">
        <v>6000</v>
      </c>
      <c r="D20" s="18">
        <v>6000</v>
      </c>
      <c r="E20" s="18">
        <v>2000</v>
      </c>
      <c r="F20" s="102">
        <v>2500</v>
      </c>
    </row>
    <row r="21" spans="1:6" x14ac:dyDescent="0.3">
      <c r="A21" s="100">
        <v>20</v>
      </c>
      <c r="B21" s="17">
        <v>94</v>
      </c>
      <c r="C21" s="18">
        <v>8000</v>
      </c>
      <c r="D21" s="18">
        <v>8000</v>
      </c>
      <c r="E21" s="18">
        <v>2000</v>
      </c>
      <c r="F21" s="102">
        <v>3000</v>
      </c>
    </row>
    <row r="22" spans="1:6" x14ac:dyDescent="0.3">
      <c r="A22" s="100">
        <v>21</v>
      </c>
      <c r="B22" s="17">
        <v>45</v>
      </c>
      <c r="C22" s="18">
        <v>6400</v>
      </c>
      <c r="D22" s="18">
        <v>6400</v>
      </c>
      <c r="E22" s="18">
        <v>2000</v>
      </c>
      <c r="F22" s="102">
        <v>2500</v>
      </c>
    </row>
    <row r="23" spans="1:6" x14ac:dyDescent="0.3">
      <c r="A23" s="100">
        <v>22</v>
      </c>
      <c r="B23" s="17">
        <v>70</v>
      </c>
      <c r="C23" s="18">
        <v>7000</v>
      </c>
      <c r="D23" s="18">
        <v>5500</v>
      </c>
      <c r="E23" s="18">
        <v>340</v>
      </c>
      <c r="F23" s="102">
        <v>3000</v>
      </c>
    </row>
    <row r="24" spans="1:6" x14ac:dyDescent="0.3">
      <c r="A24" s="101">
        <v>23</v>
      </c>
      <c r="B24" s="19">
        <v>57</v>
      </c>
      <c r="C24" s="20">
        <v>81000</v>
      </c>
      <c r="D24" s="20">
        <v>54500</v>
      </c>
      <c r="E24" s="20">
        <v>2000</v>
      </c>
      <c r="F24" s="103">
        <v>35000</v>
      </c>
    </row>
    <row r="25" spans="1:6" x14ac:dyDescent="0.3">
      <c r="A25" s="100">
        <v>24</v>
      </c>
      <c r="B25" s="17">
        <v>74</v>
      </c>
      <c r="C25" s="18">
        <v>14584</v>
      </c>
      <c r="D25" s="18">
        <v>10084</v>
      </c>
      <c r="E25" s="18">
        <v>3000</v>
      </c>
      <c r="F25" s="102">
        <v>2500</v>
      </c>
    </row>
    <row r="26" spans="1:6" x14ac:dyDescent="0.3">
      <c r="A26" s="100">
        <v>25</v>
      </c>
      <c r="B26" s="17">
        <v>62</v>
      </c>
      <c r="C26" s="18">
        <v>17800</v>
      </c>
      <c r="D26" s="18">
        <v>14800</v>
      </c>
      <c r="E26" s="18">
        <v>3000</v>
      </c>
      <c r="F26" s="102">
        <v>6000</v>
      </c>
    </row>
    <row r="27" spans="1:6" x14ac:dyDescent="0.3">
      <c r="A27" s="100">
        <v>26</v>
      </c>
      <c r="B27" s="17">
        <v>32</v>
      </c>
      <c r="C27" s="18">
        <v>6000</v>
      </c>
      <c r="D27" s="18">
        <v>6000</v>
      </c>
      <c r="E27" s="18">
        <v>2000</v>
      </c>
      <c r="F27" s="102">
        <v>3000</v>
      </c>
    </row>
    <row r="28" spans="1:6" x14ac:dyDescent="0.3">
      <c r="A28" s="100">
        <v>27</v>
      </c>
      <c r="B28" s="17">
        <v>75</v>
      </c>
      <c r="C28" s="18">
        <v>12200</v>
      </c>
      <c r="D28" s="18">
        <v>9200</v>
      </c>
      <c r="E28" s="18">
        <v>3000</v>
      </c>
      <c r="F28" s="102">
        <v>10000</v>
      </c>
    </row>
    <row r="29" spans="1:6" x14ac:dyDescent="0.3">
      <c r="A29" s="100">
        <v>28</v>
      </c>
      <c r="B29" s="17">
        <v>68</v>
      </c>
      <c r="C29" s="18">
        <v>21950</v>
      </c>
      <c r="D29" s="18">
        <v>21000</v>
      </c>
      <c r="E29" s="18">
        <v>3000</v>
      </c>
      <c r="F29" s="102">
        <v>10000</v>
      </c>
    </row>
    <row r="30" spans="1:6" x14ac:dyDescent="0.3">
      <c r="A30" s="100">
        <v>29</v>
      </c>
      <c r="B30" s="17">
        <v>62</v>
      </c>
      <c r="C30" s="18">
        <v>8784</v>
      </c>
      <c r="D30" s="18">
        <v>8784</v>
      </c>
      <c r="E30" s="18">
        <v>1170</v>
      </c>
      <c r="F30" s="102">
        <v>2350</v>
      </c>
    </row>
    <row r="31" spans="1:6" x14ac:dyDescent="0.3">
      <c r="A31" s="100">
        <v>30</v>
      </c>
      <c r="B31" s="17">
        <v>66</v>
      </c>
      <c r="C31" s="18">
        <v>4800</v>
      </c>
      <c r="D31" s="18">
        <v>4800</v>
      </c>
      <c r="E31" s="18">
        <v>440</v>
      </c>
      <c r="F31" s="102">
        <v>1500</v>
      </c>
    </row>
    <row r="32" spans="1:6" x14ac:dyDescent="0.3">
      <c r="A32" s="100">
        <v>31</v>
      </c>
      <c r="B32" s="17">
        <v>63</v>
      </c>
      <c r="C32" s="18">
        <v>8700</v>
      </c>
      <c r="D32" s="18">
        <v>5700</v>
      </c>
      <c r="E32" s="18">
        <v>3000</v>
      </c>
      <c r="F32" s="102">
        <v>9900</v>
      </c>
    </row>
    <row r="33" spans="1:6" x14ac:dyDescent="0.3">
      <c r="A33" s="101">
        <v>32</v>
      </c>
      <c r="B33" s="19">
        <v>66</v>
      </c>
      <c r="C33" s="20">
        <v>40000</v>
      </c>
      <c r="D33" s="20">
        <v>40000</v>
      </c>
      <c r="E33" s="20">
        <v>3000</v>
      </c>
      <c r="F33" s="103">
        <v>18185</v>
      </c>
    </row>
    <row r="34" spans="1:6" x14ac:dyDescent="0.3">
      <c r="A34" s="100">
        <v>33</v>
      </c>
      <c r="B34" s="17">
        <v>47</v>
      </c>
      <c r="C34" s="18">
        <v>10000</v>
      </c>
      <c r="D34" s="18">
        <v>10000</v>
      </c>
      <c r="E34" s="18">
        <v>3000</v>
      </c>
      <c r="F34" s="102">
        <v>10000</v>
      </c>
    </row>
    <row r="35" spans="1:6" x14ac:dyDescent="0.3">
      <c r="A35" s="100">
        <v>34</v>
      </c>
      <c r="B35" s="17">
        <v>67</v>
      </c>
      <c r="C35" s="18">
        <v>15400</v>
      </c>
      <c r="D35" s="18">
        <v>10400</v>
      </c>
      <c r="E35" s="18">
        <v>2000</v>
      </c>
      <c r="F35" s="102">
        <v>8000</v>
      </c>
    </row>
    <row r="36" spans="1:6" x14ac:dyDescent="0.3">
      <c r="A36" s="100">
        <v>35</v>
      </c>
      <c r="B36" s="17">
        <v>69</v>
      </c>
      <c r="C36" s="18">
        <v>5000</v>
      </c>
      <c r="D36" s="18">
        <v>5000</v>
      </c>
      <c r="E36" s="18">
        <v>2000</v>
      </c>
      <c r="F36" s="102">
        <v>2500</v>
      </c>
    </row>
    <row r="37" spans="1:6" x14ac:dyDescent="0.3">
      <c r="A37" s="100">
        <v>36</v>
      </c>
      <c r="B37" s="17">
        <v>45</v>
      </c>
      <c r="C37" s="18">
        <v>12912.54</v>
      </c>
      <c r="D37" s="18">
        <v>12912.54</v>
      </c>
      <c r="E37" s="18">
        <v>1970</v>
      </c>
      <c r="F37" s="102">
        <v>5320</v>
      </c>
    </row>
    <row r="38" spans="1:6" x14ac:dyDescent="0.3">
      <c r="A38" s="100">
        <v>37</v>
      </c>
      <c r="B38" s="17">
        <v>69</v>
      </c>
      <c r="C38" s="18">
        <v>10000</v>
      </c>
      <c r="D38" s="18">
        <v>10000</v>
      </c>
      <c r="E38" s="18">
        <v>3000</v>
      </c>
      <c r="F38" s="102">
        <v>5000</v>
      </c>
    </row>
    <row r="39" spans="1:6" x14ac:dyDescent="0.3">
      <c r="A39" s="100">
        <v>38</v>
      </c>
      <c r="B39" s="17">
        <v>61</v>
      </c>
      <c r="C39" s="18">
        <v>11000</v>
      </c>
      <c r="D39" s="18">
        <v>7500</v>
      </c>
      <c r="E39" s="18">
        <v>2000</v>
      </c>
      <c r="F39" s="102">
        <v>4930</v>
      </c>
    </row>
    <row r="40" spans="1:6" x14ac:dyDescent="0.3">
      <c r="A40" s="100">
        <v>39</v>
      </c>
      <c r="B40" s="17">
        <v>47</v>
      </c>
      <c r="C40" s="18">
        <v>5000</v>
      </c>
      <c r="D40" s="18">
        <v>5000</v>
      </c>
      <c r="E40" s="18">
        <v>2000</v>
      </c>
      <c r="F40" s="102">
        <v>1700</v>
      </c>
    </row>
    <row r="41" spans="1:6" x14ac:dyDescent="0.3">
      <c r="A41" s="101">
        <v>40</v>
      </c>
      <c r="B41" s="19">
        <v>67</v>
      </c>
      <c r="C41" s="20">
        <v>30000</v>
      </c>
      <c r="D41" s="20">
        <v>30000</v>
      </c>
      <c r="E41" s="20">
        <v>900</v>
      </c>
      <c r="F41" s="103">
        <v>20000</v>
      </c>
    </row>
    <row r="42" spans="1:6" x14ac:dyDescent="0.3">
      <c r="A42" s="100">
        <v>41</v>
      </c>
      <c r="B42" s="17">
        <v>82</v>
      </c>
      <c r="C42" s="18">
        <v>10000</v>
      </c>
      <c r="D42" s="18">
        <v>10000</v>
      </c>
      <c r="E42" s="18">
        <v>3000</v>
      </c>
      <c r="F42" s="102">
        <v>10000</v>
      </c>
    </row>
    <row r="43" spans="1:6" x14ac:dyDescent="0.3">
      <c r="A43" s="100">
        <v>42</v>
      </c>
      <c r="B43" s="17">
        <v>68</v>
      </c>
      <c r="C43" s="18">
        <v>5000</v>
      </c>
      <c r="D43" s="18">
        <v>5000</v>
      </c>
      <c r="E43" s="18">
        <v>380</v>
      </c>
      <c r="F43" s="102">
        <v>600</v>
      </c>
    </row>
    <row r="44" spans="1:6" x14ac:dyDescent="0.3">
      <c r="A44" s="100">
        <v>43</v>
      </c>
      <c r="B44" s="17">
        <v>70</v>
      </c>
      <c r="C44" s="18">
        <v>13500</v>
      </c>
      <c r="D44" s="18">
        <v>13500</v>
      </c>
      <c r="E44" s="18">
        <v>3100</v>
      </c>
      <c r="F44" s="102">
        <v>13000</v>
      </c>
    </row>
    <row r="45" spans="1:6" x14ac:dyDescent="0.3">
      <c r="A45" s="100">
        <v>44</v>
      </c>
      <c r="B45" s="17">
        <v>75</v>
      </c>
      <c r="C45" s="18">
        <v>4400</v>
      </c>
      <c r="D45" s="18">
        <v>4400</v>
      </c>
      <c r="E45" s="18">
        <v>3000</v>
      </c>
      <c r="F45" s="102">
        <v>1000</v>
      </c>
    </row>
    <row r="46" spans="1:6" x14ac:dyDescent="0.3">
      <c r="A46" s="100">
        <v>45</v>
      </c>
      <c r="B46" s="17">
        <v>31</v>
      </c>
      <c r="C46" s="18">
        <v>6927</v>
      </c>
      <c r="D46" s="18">
        <v>6927</v>
      </c>
      <c r="E46" s="18">
        <v>3000</v>
      </c>
      <c r="F46" s="102">
        <v>4000</v>
      </c>
    </row>
    <row r="47" spans="1:6" x14ac:dyDescent="0.3">
      <c r="A47" s="100">
        <v>46</v>
      </c>
      <c r="B47" s="17">
        <v>80</v>
      </c>
      <c r="C47" s="18">
        <v>8100</v>
      </c>
      <c r="D47" s="18">
        <v>8100</v>
      </c>
      <c r="E47" s="18">
        <v>3500</v>
      </c>
      <c r="F47" s="102">
        <v>1000</v>
      </c>
    </row>
    <row r="48" spans="1:6" x14ac:dyDescent="0.3">
      <c r="A48" s="100">
        <v>47</v>
      </c>
      <c r="B48" s="17">
        <v>44</v>
      </c>
      <c r="C48" s="18">
        <v>5800</v>
      </c>
      <c r="D48" s="18">
        <v>5800</v>
      </c>
      <c r="E48" s="18">
        <v>500</v>
      </c>
      <c r="F48" s="102">
        <v>800</v>
      </c>
    </row>
    <row r="49" spans="1:6" x14ac:dyDescent="0.3">
      <c r="A49" s="107">
        <v>48</v>
      </c>
      <c r="B49" s="108">
        <v>39</v>
      </c>
      <c r="C49" s="109">
        <v>8000</v>
      </c>
      <c r="D49" s="109">
        <v>6500</v>
      </c>
      <c r="E49" s="109">
        <v>2000</v>
      </c>
      <c r="F49" s="110">
        <v>3000</v>
      </c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14B03-CF25-49EC-8F07-0D99466221CE}">
  <sheetPr>
    <tabColor rgb="FF79DDDB"/>
  </sheetPr>
  <dimension ref="A1"/>
  <sheetViews>
    <sheetView showGridLines="0" showRowColHeaders="0" workbookViewId="0">
      <selection activeCell="N17" sqref="N17"/>
    </sheetView>
  </sheetViews>
  <sheetFormatPr defaultRowHeight="12.75" x14ac:dyDescent="0.2"/>
  <sheetData/>
  <pageMargins left="0.511811024" right="0.511811024" top="0.78740157499999996" bottom="0.78740157499999996" header="0.31496062000000002" footer="0.314960620000000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D19D3-B753-4BC6-BF8B-E212DA5A5C40}">
  <sheetPr>
    <tabColor rgb="FFC7F1F0"/>
  </sheetPr>
  <dimension ref="A7:AT354"/>
  <sheetViews>
    <sheetView showGridLines="0" zoomScaleNormal="100" workbookViewId="0">
      <pane ySplit="3" topLeftCell="A37" activePane="bottomLeft" state="frozen"/>
      <selection pane="bottomLeft" activeCell="K34" sqref="K34"/>
    </sheetView>
  </sheetViews>
  <sheetFormatPr defaultRowHeight="13.5" customHeight="1" x14ac:dyDescent="0.2"/>
  <cols>
    <col min="1" max="1" width="27.7109375" style="24" bestFit="1" customWidth="1"/>
    <col min="2" max="2" width="20.85546875" style="24" bestFit="1" customWidth="1"/>
    <col min="3" max="3" width="15" style="24" bestFit="1" customWidth="1"/>
    <col min="4" max="4" width="10" style="24" bestFit="1" customWidth="1"/>
    <col min="5" max="5" width="11.140625" style="24" bestFit="1" customWidth="1"/>
    <col min="6" max="6" width="31.28515625" style="24" customWidth="1"/>
    <col min="7" max="7" width="19.28515625" style="24" customWidth="1"/>
    <col min="8" max="8" width="16.7109375" style="24" customWidth="1"/>
    <col min="9" max="9" width="23.85546875" style="24" customWidth="1"/>
    <col min="10" max="10" width="17.7109375" style="24" customWidth="1"/>
    <col min="11" max="11" width="14" style="24" customWidth="1"/>
    <col min="12" max="12" width="28.5703125" style="24" bestFit="1" customWidth="1"/>
    <col min="13" max="13" width="9.5703125" style="24" customWidth="1"/>
    <col min="14" max="14" width="23" style="24" customWidth="1"/>
    <col min="15" max="15" width="28.5703125" style="24" bestFit="1" customWidth="1"/>
    <col min="16" max="16" width="8.28515625" style="24" bestFit="1" customWidth="1"/>
    <col min="17" max="17" width="9" style="24" customWidth="1"/>
    <col min="18" max="18" width="8.42578125" style="24" customWidth="1"/>
    <col min="19" max="24" width="18.140625" style="24" customWidth="1"/>
    <col min="25" max="25" width="3" style="24" bestFit="1" customWidth="1"/>
    <col min="26" max="26" width="6" style="24" bestFit="1" customWidth="1"/>
    <col min="27" max="27" width="28.7109375" style="24" bestFit="1" customWidth="1"/>
    <col min="28" max="28" width="21.85546875" style="24" bestFit="1" customWidth="1"/>
    <col min="29" max="34" width="16" style="24" customWidth="1"/>
    <col min="35" max="36" width="6" style="24" bestFit="1" customWidth="1"/>
    <col min="37" max="38" width="5" style="24" bestFit="1" customWidth="1"/>
    <col min="39" max="39" width="11.140625" style="24" bestFit="1" customWidth="1"/>
    <col min="40" max="16384" width="9.140625" style="24"/>
  </cols>
  <sheetData>
    <row r="7" spans="1:46" ht="12.75" x14ac:dyDescent="0.2">
      <c r="D7" s="25"/>
      <c r="E7" s="25"/>
      <c r="O7" s="26"/>
    </row>
    <row r="9" spans="1:46" ht="12.75" x14ac:dyDescent="0.2">
      <c r="D9" s="25"/>
      <c r="E9" s="25"/>
      <c r="F9" s="25"/>
      <c r="G9" s="25"/>
      <c r="H9" s="25"/>
    </row>
    <row r="10" spans="1:46" ht="18" x14ac:dyDescent="0.2">
      <c r="D10" s="25"/>
      <c r="E10" s="25"/>
      <c r="F10" s="25"/>
      <c r="G10" s="25"/>
      <c r="H10" s="25"/>
      <c r="I10" s="45"/>
      <c r="J10" s="45"/>
      <c r="K10" s="45"/>
      <c r="L10" s="45"/>
      <c r="M10" s="45"/>
      <c r="N10" s="45"/>
      <c r="O10" s="45"/>
    </row>
    <row r="11" spans="1:46" ht="25.5" x14ac:dyDescent="0.2">
      <c r="A11" s="25" t="s">
        <v>0</v>
      </c>
      <c r="B11" s="25" t="s">
        <v>1</v>
      </c>
      <c r="C11" s="25" t="s">
        <v>2</v>
      </c>
      <c r="D11" s="25" t="s">
        <v>3</v>
      </c>
      <c r="E11" s="25" t="s">
        <v>4</v>
      </c>
      <c r="F11" s="25" t="s">
        <v>5</v>
      </c>
      <c r="G11" s="25" t="s">
        <v>6</v>
      </c>
      <c r="H11" s="25"/>
      <c r="L11" s="25"/>
      <c r="S11" s="47" t="s">
        <v>23</v>
      </c>
      <c r="T11" s="48" t="s">
        <v>24</v>
      </c>
      <c r="U11" s="47" t="s">
        <v>50</v>
      </c>
      <c r="V11" s="48" t="s">
        <v>51</v>
      </c>
      <c r="W11" s="47" t="s">
        <v>52</v>
      </c>
      <c r="X11" s="47" t="s">
        <v>53</v>
      </c>
      <c r="Y11" s="46"/>
      <c r="Z11" s="46"/>
      <c r="AA11" s="73" t="s">
        <v>58</v>
      </c>
      <c r="AB11" s="73" t="s">
        <v>61</v>
      </c>
      <c r="AC11" s="25"/>
      <c r="AD11" s="25"/>
      <c r="AE11" s="25"/>
      <c r="AF11" s="74"/>
      <c r="AG11" s="74"/>
      <c r="AH11" s="74"/>
      <c r="AI11" s="46"/>
      <c r="AJ11" s="46"/>
      <c r="AK11" s="46"/>
      <c r="AL11" s="46"/>
      <c r="AM11" s="46"/>
      <c r="AN11" s="34"/>
      <c r="AO11" s="34"/>
      <c r="AP11" s="34"/>
      <c r="AQ11" s="34"/>
      <c r="AR11" s="34"/>
      <c r="AS11" s="34"/>
      <c r="AT11" s="34"/>
    </row>
    <row r="12" spans="1:46" thickBot="1" x14ac:dyDescent="0.25">
      <c r="A12" s="27">
        <v>1</v>
      </c>
      <c r="B12" s="24" t="s">
        <v>7</v>
      </c>
      <c r="C12" s="24" t="s">
        <v>8</v>
      </c>
      <c r="D12" s="25"/>
      <c r="E12" s="25">
        <v>4</v>
      </c>
      <c r="F12" s="25">
        <v>26</v>
      </c>
      <c r="G12" s="25" t="s">
        <v>9</v>
      </c>
      <c r="H12" s="25"/>
      <c r="I12" s="135" t="s">
        <v>45</v>
      </c>
      <c r="J12" s="135"/>
      <c r="L12" s="135" t="s">
        <v>47</v>
      </c>
      <c r="M12" s="135"/>
      <c r="O12" s="135" t="s">
        <v>49</v>
      </c>
      <c r="P12" s="135"/>
      <c r="R12" s="49" t="s">
        <v>22</v>
      </c>
      <c r="S12" s="50">
        <f>AVERAGEIF(Tabela1[reg_procedencia],R12,Tabela1[salario])</f>
        <v>11.455454545454545</v>
      </c>
      <c r="T12" s="51" cm="1">
        <f t="array" ref="T12">MEDIAN(IF(Tabela1[reg_procedencia]=R12,Tabela1[salario]))</f>
        <v>9.77</v>
      </c>
      <c r="U12" s="50">
        <f>COUNTIF(Tabela1[reg_procedencia],R12)</f>
        <v>11</v>
      </c>
      <c r="V12" s="51" cm="1">
        <f t="array" ref="V12">MEDIAN(IF(Tabela1[reg_procedencia]=R12,Tabela1[salario]))</f>
        <v>9.77</v>
      </c>
      <c r="W12" s="50">
        <f>AVERAGEIF(Tabela1[reg_procedencia],R12,Tabela1[n_filhos])</f>
        <v>1.7142857142857142</v>
      </c>
      <c r="X12" s="51" cm="1">
        <f t="array" ref="X12">MEDIAN(IF(Tabela1[reg_procedencia]=R12,Tabela1[n_filhos]))</f>
        <v>1</v>
      </c>
      <c r="Y12" s="25"/>
      <c r="Z12" s="25"/>
      <c r="AA12" s="73" t="s">
        <v>59</v>
      </c>
      <c r="AB12" s="25" t="s">
        <v>8</v>
      </c>
      <c r="AC12" s="25" t="s">
        <v>12</v>
      </c>
      <c r="AD12" s="25" t="s">
        <v>14</v>
      </c>
      <c r="AE12" s="25" t="s">
        <v>60</v>
      </c>
      <c r="AF12" s="75" t="s">
        <v>62</v>
      </c>
      <c r="AG12" s="75" t="s">
        <v>63</v>
      </c>
      <c r="AH12" s="75" t="s">
        <v>64</v>
      </c>
      <c r="AI12" s="25"/>
      <c r="AJ12" s="25"/>
      <c r="AK12" s="25"/>
      <c r="AL12" s="25"/>
      <c r="AM12" s="25"/>
    </row>
    <row r="13" spans="1:46" ht="12.75" x14ac:dyDescent="0.2">
      <c r="A13" s="27">
        <v>2</v>
      </c>
      <c r="B13" s="24" t="s">
        <v>10</v>
      </c>
      <c r="C13" s="24" t="s">
        <v>8</v>
      </c>
      <c r="D13" s="25">
        <v>1</v>
      </c>
      <c r="E13" s="25">
        <v>4.5599999999999996</v>
      </c>
      <c r="F13" s="25">
        <v>32</v>
      </c>
      <c r="G13" s="25" t="s">
        <v>11</v>
      </c>
      <c r="H13" s="25"/>
      <c r="I13" s="26" t="s">
        <v>27</v>
      </c>
      <c r="J13" s="39">
        <f>AVERAGE(Tabela1[salario])</f>
        <v>11.12222222222222</v>
      </c>
      <c r="L13" s="26" t="s">
        <v>27</v>
      </c>
      <c r="M13" s="39">
        <f>AVERAGE(Tabela1[n_filhos])</f>
        <v>1.65</v>
      </c>
      <c r="O13" s="26" t="s">
        <v>27</v>
      </c>
      <c r="P13" s="39">
        <f>AVERAGE(Tabela1[idade_anos])</f>
        <v>34.583333333333336</v>
      </c>
      <c r="R13" s="55" t="s">
        <v>25</v>
      </c>
      <c r="S13" s="56">
        <f>AVERAGEIF(Tabela1[reg_procedencia],R13,Tabela1[salario])</f>
        <v>11.549999999999999</v>
      </c>
      <c r="T13" s="57" cm="1">
        <f t="array" ref="T13">MEDIAN(IF(Tabela1[reg_procedencia]=R13,Tabela1[salario]))</f>
        <v>10.645</v>
      </c>
      <c r="U13" s="56">
        <f>COUNTIF(Tabela1[reg_procedencia],R13)</f>
        <v>12</v>
      </c>
      <c r="V13" s="57" cm="1">
        <f t="array" ref="V13">MEDIAN(IF(Tabela1[reg_procedencia]=R13,Tabela1[salario]))</f>
        <v>10.645</v>
      </c>
      <c r="W13" s="56">
        <f>AVERAGEIF(Tabela1[reg_procedencia],R13,Tabela1[n_filhos])</f>
        <v>1.625</v>
      </c>
      <c r="X13" s="57" cm="1">
        <f t="array" ref="X13">MEDIAN(IF(Tabela1[reg_procedencia]=R13,Tabela1[n_filhos]))</f>
        <v>0</v>
      </c>
      <c r="Y13" s="25"/>
      <c r="Z13" s="25"/>
      <c r="AA13" s="31" t="s">
        <v>11</v>
      </c>
      <c r="AB13" s="76">
        <v>4</v>
      </c>
      <c r="AC13" s="76">
        <v>5</v>
      </c>
      <c r="AD13" s="76">
        <v>2</v>
      </c>
      <c r="AE13" s="76">
        <v>11</v>
      </c>
      <c r="AF13" s="66">
        <f>GETPIVOTDATA("grau_instrucao",$AA$11,"grau_instrucao","1-ensino fundamental","reg_procedencia","capital")/GETPIVOTDATA("grau_instrucao",$AA$11,"reg_procedencia","capital")</f>
        <v>0.36363636363636365</v>
      </c>
      <c r="AG13" s="66">
        <f>GETPIVOTDATA("grau_instrucao",$AA$11,"grau_instrucao","2-ensino medio","reg_procedencia","capital")/GETPIVOTDATA("grau_instrucao",$AA$11,"reg_procedencia","capital")</f>
        <v>0.45454545454545453</v>
      </c>
      <c r="AH13" s="66">
        <f>GETPIVOTDATA("grau_instrucao",$AA$11,"grau_instrucao","3-superior","reg_procedencia","capital")/GETPIVOTDATA("grau_instrucao",$AA$11,"reg_procedencia","capital")</f>
        <v>0.18181818181818182</v>
      </c>
      <c r="AI13" s="25"/>
      <c r="AJ13" s="25"/>
      <c r="AK13" s="25"/>
      <c r="AL13" s="25"/>
      <c r="AM13" s="25"/>
    </row>
    <row r="14" spans="1:46" ht="12.75" x14ac:dyDescent="0.2">
      <c r="A14" s="27">
        <v>3</v>
      </c>
      <c r="B14" s="24" t="s">
        <v>10</v>
      </c>
      <c r="C14" s="24" t="s">
        <v>8</v>
      </c>
      <c r="D14" s="25">
        <v>2</v>
      </c>
      <c r="E14" s="25">
        <v>5.25</v>
      </c>
      <c r="F14" s="25">
        <v>36</v>
      </c>
      <c r="G14" s="25" t="s">
        <v>11</v>
      </c>
      <c r="H14" s="25"/>
      <c r="I14" s="26" t="s">
        <v>21</v>
      </c>
      <c r="J14" s="39">
        <f>MEDIAN(Tabela1[salario])</f>
        <v>10.164999999999999</v>
      </c>
      <c r="L14" s="26" t="s">
        <v>21</v>
      </c>
      <c r="M14" s="39">
        <f>MEDIAN(Tabela1[n_filhos])</f>
        <v>2</v>
      </c>
      <c r="O14" s="26" t="s">
        <v>21</v>
      </c>
      <c r="P14" s="39">
        <f>MEDIAN(Tabela1[idade_anos])</f>
        <v>34.5</v>
      </c>
      <c r="R14" s="52" t="s">
        <v>26</v>
      </c>
      <c r="S14" s="53">
        <f>AVERAGEIF(Tabela1[reg_procedencia],R14,Tabela1[salario])</f>
        <v>10.445384615384615</v>
      </c>
      <c r="T14" s="54" cm="1">
        <f t="array" ref="T14">MEDIAN(IF(Tabela1[reg_procedencia]=R14,Tabela1[salario]))</f>
        <v>9.8000000000000007</v>
      </c>
      <c r="U14" s="53">
        <f>COUNTIF(Tabela1[reg_procedencia],R14)</f>
        <v>13</v>
      </c>
      <c r="V14" s="54" cm="1">
        <f t="array" ref="V14">MEDIAN(IF(Tabela1[reg_procedencia]=R14,Tabela1[salario]))</f>
        <v>9.8000000000000007</v>
      </c>
      <c r="W14" s="53">
        <f>AVERAGEIF(Tabela1[reg_procedencia],R14,Tabela1[n_filhos])</f>
        <v>1.6</v>
      </c>
      <c r="X14" s="54" cm="1">
        <f t="array" ref="X14">MEDIAN(IF(Tabela1[reg_procedencia]=R14,Tabela1[n_filhos]))</f>
        <v>0</v>
      </c>
      <c r="Y14" s="25"/>
      <c r="Z14" s="25"/>
      <c r="AA14" s="31" t="s">
        <v>9</v>
      </c>
      <c r="AB14" s="76">
        <v>3</v>
      </c>
      <c r="AC14" s="76">
        <v>7</v>
      </c>
      <c r="AD14" s="76">
        <v>2</v>
      </c>
      <c r="AE14" s="76">
        <v>12</v>
      </c>
      <c r="AF14" s="66">
        <f>GETPIVOTDATA("grau_instrucao",$AA$11,"grau_instrucao","1-ensino fundamental","reg_procedencia","interior")/GETPIVOTDATA("grau_instrucao",$AA$11,"reg_procedencia","interior")</f>
        <v>0.25</v>
      </c>
      <c r="AG14" s="66">
        <f>GETPIVOTDATA("grau_instrucao",$AA$11,"grau_instrucao","2-ensino medio","reg_procedencia","interior")/GETPIVOTDATA("grau_instrucao",$AA$11,"reg_procedencia","interior")</f>
        <v>0.58333333333333337</v>
      </c>
      <c r="AH14" s="66">
        <f>GETPIVOTDATA("grau_instrucao",$AA$11,"grau_instrucao","3-superior","reg_procedencia","interior")/GETPIVOTDATA("grau_instrucao",$AA$11,"reg_procedencia","interior")</f>
        <v>0.16666666666666666</v>
      </c>
      <c r="AI14" s="25"/>
      <c r="AJ14" s="25"/>
      <c r="AK14" s="25"/>
      <c r="AL14" s="25"/>
      <c r="AM14" s="25"/>
    </row>
    <row r="15" spans="1:46" ht="12.75" x14ac:dyDescent="0.2">
      <c r="A15" s="27">
        <v>4</v>
      </c>
      <c r="B15" s="24" t="s">
        <v>7</v>
      </c>
      <c r="C15" s="24" t="s">
        <v>12</v>
      </c>
      <c r="D15" s="25"/>
      <c r="E15" s="25">
        <v>5.73</v>
      </c>
      <c r="F15" s="25">
        <v>20</v>
      </c>
      <c r="G15" s="24" t="s">
        <v>13</v>
      </c>
      <c r="I15" s="30" t="s">
        <v>28</v>
      </c>
      <c r="J15" s="40" t="e">
        <f>MODE(Tabela1[salario])</f>
        <v>#N/A</v>
      </c>
      <c r="K15" s="25"/>
      <c r="L15" s="30" t="s">
        <v>28</v>
      </c>
      <c r="M15" s="40">
        <f>MODE(Tabela1[n_filhos])</f>
        <v>2</v>
      </c>
      <c r="O15" s="30" t="s">
        <v>28</v>
      </c>
      <c r="P15" s="40">
        <f>MODE(Tabela1[idade_anos])</f>
        <v>26</v>
      </c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31" t="s">
        <v>13</v>
      </c>
      <c r="AB15" s="76">
        <v>5</v>
      </c>
      <c r="AC15" s="76">
        <v>6</v>
      </c>
      <c r="AD15" s="76">
        <v>2</v>
      </c>
      <c r="AE15" s="76">
        <v>13</v>
      </c>
      <c r="AF15" s="66">
        <f>GETPIVOTDATA("grau_instrucao",$AA$11,"grau_instrucao","1-ensino fundamental","reg_procedencia","outra")/GETPIVOTDATA("grau_instrucao",$AA$11,"reg_procedencia","outra")</f>
        <v>0.38461538461538464</v>
      </c>
      <c r="AG15" s="66">
        <f>GETPIVOTDATA("grau_instrucao",$AA$11,"grau_instrucao","2-ensino medio","reg_procedencia","outra")/GETPIVOTDATA("grau_instrucao",$AA$11,"reg_procedencia","outra")</f>
        <v>0.46153846153846156</v>
      </c>
      <c r="AH15" s="66">
        <f>GETPIVOTDATA("grau_instrucao",$AA$11,"grau_instrucao","3-superior","reg_procedencia","outra")/GETPIVOTDATA("grau_instrucao",$AA$11,"reg_procedencia","outra")</f>
        <v>0.15384615384615385</v>
      </c>
      <c r="AI15" s="25"/>
      <c r="AJ15" s="25"/>
      <c r="AK15" s="25"/>
      <c r="AL15" s="25"/>
      <c r="AM15" s="25"/>
    </row>
    <row r="16" spans="1:46" ht="12.75" x14ac:dyDescent="0.2">
      <c r="A16" s="27">
        <v>5</v>
      </c>
      <c r="B16" s="24" t="s">
        <v>7</v>
      </c>
      <c r="C16" s="24" t="s">
        <v>8</v>
      </c>
      <c r="D16" s="25"/>
      <c r="E16" s="25">
        <v>6.26</v>
      </c>
      <c r="F16" s="25">
        <v>40</v>
      </c>
      <c r="G16" s="24" t="s">
        <v>13</v>
      </c>
      <c r="I16" s="31" t="s">
        <v>29</v>
      </c>
      <c r="J16" s="39">
        <f>QUARTILE(Tabela1[salario],1)</f>
        <v>7.5525000000000002</v>
      </c>
      <c r="K16" s="25"/>
      <c r="L16" s="31" t="s">
        <v>29</v>
      </c>
      <c r="M16" s="39">
        <f>QUARTILE(Tabela1[n_filhos],1)</f>
        <v>1</v>
      </c>
      <c r="N16" s="25"/>
      <c r="O16" s="31" t="s">
        <v>29</v>
      </c>
      <c r="P16" s="39">
        <f>QUARTILE(Tabela1[idade_anos],1)</f>
        <v>30</v>
      </c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31" t="s">
        <v>60</v>
      </c>
      <c r="AB16" s="76">
        <v>12</v>
      </c>
      <c r="AC16" s="76">
        <v>18</v>
      </c>
      <c r="AD16" s="76">
        <v>6</v>
      </c>
      <c r="AE16" s="76">
        <v>36</v>
      </c>
      <c r="AF16" s="77">
        <f>SUM(AF13:AF15)</f>
        <v>0.99825174825174834</v>
      </c>
      <c r="AG16" s="77">
        <f>SUM(AG13:AG15)</f>
        <v>1.4994172494172493</v>
      </c>
      <c r="AH16" s="77">
        <f>SUM(AH13:AH15)</f>
        <v>0.50233100233100236</v>
      </c>
      <c r="AI16" s="25"/>
      <c r="AJ16" s="25"/>
      <c r="AK16" s="25"/>
      <c r="AL16" s="25"/>
      <c r="AM16" s="25"/>
    </row>
    <row r="17" spans="1:30" ht="12.75" x14ac:dyDescent="0.2">
      <c r="A17" s="27">
        <v>6</v>
      </c>
      <c r="B17" s="24" t="s">
        <v>10</v>
      </c>
      <c r="C17" s="24" t="s">
        <v>8</v>
      </c>
      <c r="D17" s="25">
        <v>0</v>
      </c>
      <c r="E17" s="25">
        <v>6.66</v>
      </c>
      <c r="F17" s="25">
        <v>28</v>
      </c>
      <c r="G17" s="24" t="s">
        <v>9</v>
      </c>
      <c r="I17" s="31" t="s">
        <v>30</v>
      </c>
      <c r="J17" s="39">
        <f>QUARTILE(Tabela1[salario],2)</f>
        <v>10.164999999999999</v>
      </c>
      <c r="K17" s="25"/>
      <c r="L17" s="31" t="s">
        <v>30</v>
      </c>
      <c r="M17" s="39">
        <f>QUARTILE(Tabela1[n_filhos],2)</f>
        <v>2</v>
      </c>
      <c r="O17" s="31" t="s">
        <v>30</v>
      </c>
      <c r="P17" s="39">
        <f>QUARTILE(Tabela1[idade_anos],2)</f>
        <v>34.5</v>
      </c>
      <c r="AA17" s="25"/>
      <c r="AB17" s="25"/>
      <c r="AC17" s="25"/>
    </row>
    <row r="18" spans="1:30" ht="12.75" x14ac:dyDescent="0.2">
      <c r="A18" s="27">
        <v>7</v>
      </c>
      <c r="B18" s="24" t="s">
        <v>7</v>
      </c>
      <c r="C18" s="24" t="s">
        <v>8</v>
      </c>
      <c r="D18" s="25"/>
      <c r="E18" s="25">
        <v>6.86</v>
      </c>
      <c r="F18" s="25">
        <v>41</v>
      </c>
      <c r="G18" s="24" t="s">
        <v>9</v>
      </c>
      <c r="I18" s="30" t="s">
        <v>31</v>
      </c>
      <c r="J18" s="40">
        <f>QUARTILE(Tabela1[salario],3)</f>
        <v>14.059999999999999</v>
      </c>
      <c r="K18" s="25"/>
      <c r="L18" s="30" t="s">
        <v>31</v>
      </c>
      <c r="M18" s="40">
        <f>QUARTILE(Tabela1[n_filhos],3)</f>
        <v>2</v>
      </c>
      <c r="O18" s="30" t="s">
        <v>31</v>
      </c>
      <c r="P18" s="40">
        <f>QUARTILE(Tabela1[idade_anos],3)</f>
        <v>40</v>
      </c>
      <c r="AA18" s="25"/>
      <c r="AB18" s="25"/>
      <c r="AC18" s="25"/>
    </row>
    <row r="19" spans="1:30" ht="12.75" x14ac:dyDescent="0.2">
      <c r="A19" s="27">
        <v>8</v>
      </c>
      <c r="B19" s="24" t="s">
        <v>7</v>
      </c>
      <c r="C19" s="24" t="s">
        <v>8</v>
      </c>
      <c r="D19" s="25"/>
      <c r="E19" s="25">
        <v>7.39</v>
      </c>
      <c r="F19" s="25">
        <v>43</v>
      </c>
      <c r="G19" s="24" t="s">
        <v>11</v>
      </c>
      <c r="I19" s="31" t="s">
        <v>32</v>
      </c>
      <c r="J19" s="39">
        <f>PERCENTILE(Tabela1[salario],0.1)</f>
        <v>5.9950000000000001</v>
      </c>
      <c r="K19" s="25"/>
      <c r="L19" s="31" t="s">
        <v>32</v>
      </c>
      <c r="M19" s="39">
        <f>PERCENTILE(Tabela1[n_filhos],0.1)</f>
        <v>0</v>
      </c>
      <c r="O19" s="31" t="s">
        <v>32</v>
      </c>
      <c r="P19" s="39">
        <f>PERCENTILE(Tabela1[idade_anos],0.1)</f>
        <v>26</v>
      </c>
      <c r="AA19" s="31" t="s">
        <v>65</v>
      </c>
      <c r="AB19" s="25" t="s">
        <v>62</v>
      </c>
      <c r="AC19" s="25" t="s">
        <v>63</v>
      </c>
      <c r="AD19" s="25" t="s">
        <v>64</v>
      </c>
    </row>
    <row r="20" spans="1:30" ht="12.75" x14ac:dyDescent="0.2">
      <c r="A20" s="27">
        <v>9</v>
      </c>
      <c r="B20" s="24" t="s">
        <v>10</v>
      </c>
      <c r="C20" s="24" t="s">
        <v>12</v>
      </c>
      <c r="D20" s="25">
        <v>1</v>
      </c>
      <c r="E20" s="25">
        <v>7.59</v>
      </c>
      <c r="F20" s="25">
        <v>34</v>
      </c>
      <c r="G20" s="24" t="s">
        <v>11</v>
      </c>
      <c r="I20" s="31" t="s">
        <v>33</v>
      </c>
      <c r="J20" s="39">
        <f>MIN(Tabela1[salario])</f>
        <v>4</v>
      </c>
      <c r="K20" s="25"/>
      <c r="L20" s="31" t="s">
        <v>33</v>
      </c>
      <c r="M20" s="39">
        <f>MIN(Tabela1[n_filhos])</f>
        <v>0</v>
      </c>
      <c r="O20" s="31" t="s">
        <v>33</v>
      </c>
      <c r="P20" s="39">
        <f>MIN(Tabela1[idade_anos])</f>
        <v>20</v>
      </c>
      <c r="AA20" s="25" t="s">
        <v>11</v>
      </c>
      <c r="AB20" s="66">
        <v>0.36363636363636365</v>
      </c>
      <c r="AC20" s="66">
        <v>0.45454545454545453</v>
      </c>
      <c r="AD20" s="58">
        <v>0.18181818181818182</v>
      </c>
    </row>
    <row r="21" spans="1:30" ht="12.75" x14ac:dyDescent="0.2">
      <c r="A21" s="27">
        <v>10</v>
      </c>
      <c r="B21" s="24" t="s">
        <v>7</v>
      </c>
      <c r="C21" s="24" t="s">
        <v>12</v>
      </c>
      <c r="D21" s="25"/>
      <c r="E21" s="25">
        <v>7.44</v>
      </c>
      <c r="F21" s="25">
        <v>23</v>
      </c>
      <c r="G21" s="24" t="s">
        <v>13</v>
      </c>
      <c r="I21" s="31" t="s">
        <v>34</v>
      </c>
      <c r="J21" s="39">
        <f>PERCENTILE(Tabela1[salario],0.99)</f>
        <v>21.934999999999995</v>
      </c>
      <c r="K21" s="25"/>
      <c r="L21" s="31" t="s">
        <v>34</v>
      </c>
      <c r="M21" s="39">
        <f>PERCENTILE(Tabela1[n_filhos],0.99)</f>
        <v>4.6199999999999974</v>
      </c>
      <c r="O21" s="31" t="s">
        <v>34</v>
      </c>
      <c r="P21" s="39">
        <f>PERCENTILE(Tabela1[idade_anos],0.99)</f>
        <v>47.3</v>
      </c>
      <c r="AA21" s="25" t="s">
        <v>9</v>
      </c>
      <c r="AB21" s="66">
        <v>0.25</v>
      </c>
      <c r="AC21" s="66">
        <v>0.58333333333333337</v>
      </c>
      <c r="AD21" s="58">
        <v>0.16666666666666666</v>
      </c>
    </row>
    <row r="22" spans="1:30" ht="12.75" x14ac:dyDescent="0.2">
      <c r="A22" s="27">
        <v>11</v>
      </c>
      <c r="B22" s="24" t="s">
        <v>10</v>
      </c>
      <c r="C22" s="24" t="s">
        <v>12</v>
      </c>
      <c r="D22" s="25">
        <v>2</v>
      </c>
      <c r="E22" s="25">
        <v>8.1199999999999992</v>
      </c>
      <c r="F22" s="25">
        <v>33</v>
      </c>
      <c r="G22" s="24" t="s">
        <v>9</v>
      </c>
      <c r="I22" s="30" t="s">
        <v>35</v>
      </c>
      <c r="J22" s="40">
        <f>MAX(Tabela1[salario])</f>
        <v>23.3</v>
      </c>
      <c r="K22" s="25"/>
      <c r="L22" s="30" t="s">
        <v>35</v>
      </c>
      <c r="M22" s="40">
        <f>MAX(Tabela1[n_filhos])</f>
        <v>5</v>
      </c>
      <c r="O22" s="30" t="s">
        <v>35</v>
      </c>
      <c r="P22" s="40">
        <f>MAX(Tabela1[idade_anos])</f>
        <v>48</v>
      </c>
      <c r="AA22" s="25" t="s">
        <v>13</v>
      </c>
      <c r="AB22" s="66">
        <v>0.38461538461538464</v>
      </c>
      <c r="AC22" s="66">
        <v>0.46153846153846156</v>
      </c>
      <c r="AD22" s="58">
        <v>0.15384615384615385</v>
      </c>
    </row>
    <row r="23" spans="1:30" ht="12.75" x14ac:dyDescent="0.2">
      <c r="A23" s="27">
        <v>12</v>
      </c>
      <c r="B23" s="24" t="s">
        <v>7</v>
      </c>
      <c r="C23" s="24" t="s">
        <v>8</v>
      </c>
      <c r="D23" s="25"/>
      <c r="E23" s="25">
        <v>8.4600000000000009</v>
      </c>
      <c r="F23" s="25">
        <v>27</v>
      </c>
      <c r="G23" s="24" t="s">
        <v>11</v>
      </c>
      <c r="I23" s="31"/>
      <c r="J23" s="39"/>
      <c r="K23" s="25"/>
      <c r="L23" s="31"/>
      <c r="M23" s="39"/>
      <c r="O23" s="31"/>
      <c r="P23" s="39"/>
      <c r="AA23" s="25"/>
      <c r="AB23" s="25"/>
      <c r="AC23" s="25"/>
    </row>
    <row r="24" spans="1:30" ht="12.75" x14ac:dyDescent="0.2">
      <c r="A24" s="27">
        <v>13</v>
      </c>
      <c r="B24" s="24" t="s">
        <v>7</v>
      </c>
      <c r="C24" s="24" t="s">
        <v>12</v>
      </c>
      <c r="D24" s="25"/>
      <c r="E24" s="25">
        <v>8.74</v>
      </c>
      <c r="F24" s="25">
        <v>37</v>
      </c>
      <c r="G24" s="24" t="s">
        <v>13</v>
      </c>
      <c r="I24" s="37" t="s">
        <v>36</v>
      </c>
      <c r="J24" s="41">
        <f>J18+(1.5*J33)</f>
        <v>23.821249999999996</v>
      </c>
      <c r="K24" s="25"/>
      <c r="L24" s="37" t="s">
        <v>36</v>
      </c>
      <c r="M24" s="41">
        <f>M18+(1.5*M33)</f>
        <v>3.5</v>
      </c>
      <c r="O24" s="37" t="s">
        <v>36</v>
      </c>
      <c r="P24" s="41">
        <f>P18+(1.5*P33)</f>
        <v>55</v>
      </c>
      <c r="AA24" s="25"/>
      <c r="AB24" s="25"/>
      <c r="AC24" s="25"/>
    </row>
    <row r="25" spans="1:30" ht="12.75" x14ac:dyDescent="0.2">
      <c r="A25" s="27">
        <v>14</v>
      </c>
      <c r="B25" s="24" t="s">
        <v>10</v>
      </c>
      <c r="C25" s="24" t="s">
        <v>8</v>
      </c>
      <c r="D25" s="25">
        <v>3</v>
      </c>
      <c r="E25" s="25">
        <v>8.9499999999999993</v>
      </c>
      <c r="F25" s="25">
        <v>44</v>
      </c>
      <c r="G25" s="24" t="s">
        <v>13</v>
      </c>
      <c r="I25" s="38" t="s">
        <v>37</v>
      </c>
      <c r="J25" s="40">
        <f>J16-(1.5*J33)</f>
        <v>-2.2087499999999967</v>
      </c>
      <c r="K25" s="25"/>
      <c r="L25" s="38" t="s">
        <v>37</v>
      </c>
      <c r="M25" s="40">
        <f>M16-(1.5*M33)</f>
        <v>-0.5</v>
      </c>
      <c r="O25" s="38" t="s">
        <v>37</v>
      </c>
      <c r="P25" s="40">
        <f>P16-(1.5*P33)</f>
        <v>15</v>
      </c>
      <c r="AA25" s="25"/>
      <c r="AB25" s="25"/>
      <c r="AC25" s="25"/>
    </row>
    <row r="26" spans="1:30" ht="12.75" x14ac:dyDescent="0.2">
      <c r="A26" s="27">
        <v>15</v>
      </c>
      <c r="B26" s="24" t="s">
        <v>10</v>
      </c>
      <c r="C26" s="24" t="s">
        <v>12</v>
      </c>
      <c r="D26" s="25">
        <v>0</v>
      </c>
      <c r="E26" s="25">
        <v>9.1300000000000008</v>
      </c>
      <c r="F26" s="25">
        <v>30</v>
      </c>
      <c r="G26" s="24" t="s">
        <v>9</v>
      </c>
      <c r="I26" s="31"/>
      <c r="J26" s="29"/>
      <c r="K26" s="25"/>
      <c r="L26" s="31"/>
      <c r="M26" s="29"/>
      <c r="O26" s="31"/>
      <c r="P26" s="29"/>
      <c r="AA26" s="25"/>
      <c r="AB26" s="25"/>
      <c r="AC26" s="25"/>
    </row>
    <row r="27" spans="1:30" ht="12.75" x14ac:dyDescent="0.2">
      <c r="A27" s="27">
        <v>16</v>
      </c>
      <c r="B27" s="24" t="s">
        <v>7</v>
      </c>
      <c r="C27" s="24" t="s">
        <v>12</v>
      </c>
      <c r="D27" s="25"/>
      <c r="E27" s="25">
        <v>9.35</v>
      </c>
      <c r="F27" s="25">
        <v>38</v>
      </c>
      <c r="G27" s="24" t="s">
        <v>13</v>
      </c>
      <c r="I27" s="31"/>
      <c r="J27" s="29"/>
      <c r="K27" s="25"/>
      <c r="L27" s="31"/>
      <c r="M27" s="29"/>
      <c r="O27" s="31"/>
      <c r="P27" s="29"/>
      <c r="AA27" s="25"/>
      <c r="AB27" s="25"/>
      <c r="AC27" s="25"/>
    </row>
    <row r="28" spans="1:30" thickBot="1" x14ac:dyDescent="0.25">
      <c r="A28" s="27">
        <v>17</v>
      </c>
      <c r="B28" s="24" t="s">
        <v>10</v>
      </c>
      <c r="C28" s="24" t="s">
        <v>12</v>
      </c>
      <c r="D28" s="25">
        <v>1</v>
      </c>
      <c r="E28" s="25">
        <v>9.77</v>
      </c>
      <c r="F28" s="25">
        <v>31</v>
      </c>
      <c r="G28" s="24" t="s">
        <v>11</v>
      </c>
      <c r="I28" s="135" t="s">
        <v>46</v>
      </c>
      <c r="J28" s="135"/>
      <c r="K28" s="25"/>
      <c r="L28" s="135" t="s">
        <v>48</v>
      </c>
      <c r="M28" s="135"/>
      <c r="O28" s="135" t="s">
        <v>57</v>
      </c>
      <c r="P28" s="135"/>
      <c r="AA28" s="25"/>
      <c r="AB28" s="25"/>
      <c r="AC28" s="25"/>
    </row>
    <row r="29" spans="1:30" ht="12.75" x14ac:dyDescent="0.2">
      <c r="A29" s="27">
        <v>18</v>
      </c>
      <c r="B29" s="24" t="s">
        <v>10</v>
      </c>
      <c r="C29" s="24" t="s">
        <v>8</v>
      </c>
      <c r="D29" s="25">
        <v>2</v>
      </c>
      <c r="E29" s="25">
        <v>9.8000000000000007</v>
      </c>
      <c r="F29" s="25">
        <v>39</v>
      </c>
      <c r="G29" s="24" t="s">
        <v>13</v>
      </c>
      <c r="I29" s="25" t="s">
        <v>38</v>
      </c>
      <c r="J29" s="42">
        <f>STDEVA(Tabela1[salario])</f>
        <v>4.5874575038038659</v>
      </c>
      <c r="K29" s="25"/>
      <c r="L29" s="25" t="s">
        <v>38</v>
      </c>
      <c r="M29" s="42">
        <f>STDEVA(Tabela1[n_filhos])</f>
        <v>1.2680278927697548</v>
      </c>
      <c r="O29" s="25" t="s">
        <v>38</v>
      </c>
      <c r="P29" s="42">
        <f>STDEVA(Tabela1[idade_anos])</f>
        <v>6.7374221437325081</v>
      </c>
    </row>
    <row r="30" spans="1:30" ht="12.75" x14ac:dyDescent="0.2">
      <c r="A30" s="27">
        <v>19</v>
      </c>
      <c r="B30" s="24" t="s">
        <v>7</v>
      </c>
      <c r="C30" s="24" t="s">
        <v>14</v>
      </c>
      <c r="D30" s="25"/>
      <c r="E30" s="25">
        <v>10.53</v>
      </c>
      <c r="F30" s="25">
        <v>25</v>
      </c>
      <c r="G30" s="24" t="s">
        <v>9</v>
      </c>
      <c r="I30" s="25" t="s">
        <v>39</v>
      </c>
      <c r="J30" s="42">
        <f>J29^2</f>
        <v>21.044766349206395</v>
      </c>
      <c r="K30" s="25"/>
      <c r="L30" s="25" t="s">
        <v>39</v>
      </c>
      <c r="M30" s="42">
        <f>M29^2</f>
        <v>1.6078947368421048</v>
      </c>
      <c r="O30" s="25" t="s">
        <v>39</v>
      </c>
      <c r="P30" s="42">
        <f>P29^2</f>
        <v>45.392857142857146</v>
      </c>
    </row>
    <row r="31" spans="1:30" ht="12.75" x14ac:dyDescent="0.2">
      <c r="A31" s="27">
        <v>20</v>
      </c>
      <c r="B31" s="24" t="s">
        <v>7</v>
      </c>
      <c r="C31" s="24" t="s">
        <v>12</v>
      </c>
      <c r="D31" s="25"/>
      <c r="E31" s="25">
        <v>10.76</v>
      </c>
      <c r="F31" s="25">
        <v>37</v>
      </c>
      <c r="G31" s="24" t="s">
        <v>9</v>
      </c>
      <c r="I31" s="25" t="s">
        <v>40</v>
      </c>
      <c r="J31" s="42">
        <f>MAX(Tabela1[salario])</f>
        <v>23.3</v>
      </c>
      <c r="K31" s="25"/>
      <c r="L31" s="25" t="s">
        <v>40</v>
      </c>
      <c r="M31" s="42">
        <f>MAX(Tabela1[n_filhos])</f>
        <v>5</v>
      </c>
      <c r="O31" s="25" t="s">
        <v>40</v>
      </c>
      <c r="P31" s="42">
        <f>MAX(Tabela1[idade_anos])</f>
        <v>48</v>
      </c>
    </row>
    <row r="32" spans="1:30" ht="12.75" x14ac:dyDescent="0.2">
      <c r="A32" s="27">
        <v>21</v>
      </c>
      <c r="B32" s="24" t="s">
        <v>10</v>
      </c>
      <c r="C32" s="24" t="s">
        <v>12</v>
      </c>
      <c r="D32" s="25">
        <v>1</v>
      </c>
      <c r="E32" s="25">
        <v>11.06</v>
      </c>
      <c r="F32" s="25">
        <v>30</v>
      </c>
      <c r="G32" s="24" t="s">
        <v>13</v>
      </c>
      <c r="I32" s="25" t="s">
        <v>33</v>
      </c>
      <c r="J32" s="42">
        <f>MIN(Tabela1[salario])</f>
        <v>4</v>
      </c>
      <c r="K32" s="25"/>
      <c r="L32" s="25" t="s">
        <v>33</v>
      </c>
      <c r="M32" s="42">
        <f>MIN(Tabela1[n_filhos])</f>
        <v>0</v>
      </c>
      <c r="O32" s="25" t="s">
        <v>33</v>
      </c>
      <c r="P32" s="42">
        <f>MIN(Tabela1[idade_anos])</f>
        <v>20</v>
      </c>
    </row>
    <row r="33" spans="1:26" ht="12.75" x14ac:dyDescent="0.2">
      <c r="A33" s="27">
        <v>22</v>
      </c>
      <c r="B33" s="24" t="s">
        <v>7</v>
      </c>
      <c r="C33" s="24" t="s">
        <v>12</v>
      </c>
      <c r="D33" s="25"/>
      <c r="E33" s="25">
        <v>11.59</v>
      </c>
      <c r="F33" s="25">
        <v>34</v>
      </c>
      <c r="G33" s="24" t="s">
        <v>11</v>
      </c>
      <c r="I33" s="25" t="s">
        <v>41</v>
      </c>
      <c r="J33" s="42">
        <f>J18-J16</f>
        <v>6.5074999999999985</v>
      </c>
      <c r="K33" s="25"/>
      <c r="L33" s="25" t="s">
        <v>41</v>
      </c>
      <c r="M33" s="42">
        <f>M18-M16</f>
        <v>1</v>
      </c>
      <c r="O33" s="25" t="s">
        <v>41</v>
      </c>
      <c r="P33" s="42">
        <f>P18-P16</f>
        <v>10</v>
      </c>
    </row>
    <row r="34" spans="1:26" ht="12.75" x14ac:dyDescent="0.2">
      <c r="A34" s="27">
        <v>23</v>
      </c>
      <c r="B34" s="24" t="s">
        <v>7</v>
      </c>
      <c r="C34" s="24" t="s">
        <v>8</v>
      </c>
      <c r="D34" s="25"/>
      <c r="E34" s="25">
        <v>12</v>
      </c>
      <c r="F34" s="25">
        <v>41</v>
      </c>
      <c r="G34" s="24" t="s">
        <v>13</v>
      </c>
      <c r="I34" s="25" t="s">
        <v>42</v>
      </c>
      <c r="J34" s="42">
        <f>J31-J32</f>
        <v>19.3</v>
      </c>
      <c r="K34" s="25"/>
      <c r="L34" s="25" t="s">
        <v>42</v>
      </c>
      <c r="M34" s="42">
        <f>M31-M32</f>
        <v>5</v>
      </c>
      <c r="O34" s="25" t="s">
        <v>42</v>
      </c>
      <c r="P34" s="42">
        <f>P31-P32</f>
        <v>28</v>
      </c>
      <c r="Z34" s="58"/>
    </row>
    <row r="35" spans="1:26" ht="12.75" x14ac:dyDescent="0.2">
      <c r="A35" s="27">
        <v>24</v>
      </c>
      <c r="B35" s="24" t="s">
        <v>10</v>
      </c>
      <c r="C35" s="24" t="s">
        <v>14</v>
      </c>
      <c r="D35" s="25">
        <v>0</v>
      </c>
      <c r="E35" s="25">
        <v>12.79</v>
      </c>
      <c r="F35" s="25">
        <v>26</v>
      </c>
      <c r="G35" s="24" t="s">
        <v>13</v>
      </c>
      <c r="I35" s="36" t="s">
        <v>43</v>
      </c>
      <c r="J35" s="43">
        <f>(J29/J13)*100</f>
        <v>41.245871662572227</v>
      </c>
      <c r="L35" s="36" t="s">
        <v>43</v>
      </c>
      <c r="M35" s="43">
        <f>(M29/M13)*100</f>
        <v>76.85017531937909</v>
      </c>
      <c r="O35" s="36" t="s">
        <v>43</v>
      </c>
      <c r="P35" s="43">
        <f>(P29/P13)*100</f>
        <v>19.481702584286769</v>
      </c>
    </row>
    <row r="36" spans="1:26" ht="12.75" x14ac:dyDescent="0.2">
      <c r="A36" s="27">
        <v>25</v>
      </c>
      <c r="B36" s="24" t="s">
        <v>10</v>
      </c>
      <c r="C36" s="24" t="s">
        <v>12</v>
      </c>
      <c r="D36" s="25">
        <v>2</v>
      </c>
      <c r="E36" s="25">
        <v>13.23</v>
      </c>
      <c r="F36" s="25">
        <v>32</v>
      </c>
      <c r="G36" s="24" t="s">
        <v>9</v>
      </c>
      <c r="J36" s="44"/>
      <c r="M36" s="44"/>
      <c r="P36" s="44"/>
    </row>
    <row r="37" spans="1:26" ht="12.75" x14ac:dyDescent="0.2">
      <c r="A37" s="27">
        <v>26</v>
      </c>
      <c r="B37" s="24" t="s">
        <v>10</v>
      </c>
      <c r="C37" s="24" t="s">
        <v>12</v>
      </c>
      <c r="D37" s="25">
        <v>2</v>
      </c>
      <c r="E37" s="25">
        <v>13.6</v>
      </c>
      <c r="F37" s="25">
        <v>35</v>
      </c>
      <c r="G37" s="24" t="s">
        <v>13</v>
      </c>
      <c r="I37" s="24" t="s">
        <v>44</v>
      </c>
      <c r="J37" s="44">
        <f>SKEW(Tabela1[salario])</f>
        <v>0.65322076510281979</v>
      </c>
      <c r="L37" s="24" t="s">
        <v>44</v>
      </c>
      <c r="M37" s="44">
        <f>SKEW(Tabela1[n_filhos])</f>
        <v>0.74388143725068145</v>
      </c>
      <c r="O37" s="24" t="s">
        <v>44</v>
      </c>
      <c r="P37" s="44">
        <f>SKEW(Tabela1[idade_anos])</f>
        <v>-6.7111576637604892E-2</v>
      </c>
    </row>
    <row r="38" spans="1:26" ht="12.75" x14ac:dyDescent="0.2">
      <c r="A38" s="27">
        <v>27</v>
      </c>
      <c r="B38" s="24" t="s">
        <v>7</v>
      </c>
      <c r="C38" s="24" t="s">
        <v>8</v>
      </c>
      <c r="D38" s="25"/>
      <c r="E38" s="25">
        <v>13.85</v>
      </c>
      <c r="F38" s="25">
        <v>46</v>
      </c>
      <c r="G38" s="24" t="s">
        <v>13</v>
      </c>
      <c r="J38" s="32"/>
    </row>
    <row r="39" spans="1:26" ht="12.75" x14ac:dyDescent="0.2">
      <c r="A39" s="27">
        <v>28</v>
      </c>
      <c r="B39" s="24" t="s">
        <v>10</v>
      </c>
      <c r="C39" s="24" t="s">
        <v>12</v>
      </c>
      <c r="D39" s="25">
        <v>0</v>
      </c>
      <c r="E39" s="25">
        <v>14.69</v>
      </c>
      <c r="F39" s="25">
        <v>29</v>
      </c>
      <c r="G39" s="24" t="s">
        <v>9</v>
      </c>
      <c r="J39" s="32"/>
    </row>
    <row r="40" spans="1:26" ht="12.75" x14ac:dyDescent="0.2">
      <c r="A40" s="27">
        <v>29</v>
      </c>
      <c r="B40" s="24" t="s">
        <v>10</v>
      </c>
      <c r="C40" s="24" t="s">
        <v>12</v>
      </c>
      <c r="D40" s="25">
        <v>5</v>
      </c>
      <c r="E40" s="25">
        <v>14.71</v>
      </c>
      <c r="F40" s="25">
        <v>40</v>
      </c>
      <c r="G40" s="24" t="s">
        <v>9</v>
      </c>
      <c r="J40" s="32"/>
    </row>
    <row r="41" spans="1:26" ht="12.75" x14ac:dyDescent="0.2">
      <c r="A41" s="27">
        <v>30</v>
      </c>
      <c r="B41" s="24" t="s">
        <v>10</v>
      </c>
      <c r="C41" s="24" t="s">
        <v>12</v>
      </c>
      <c r="D41" s="25">
        <v>2</v>
      </c>
      <c r="E41" s="25">
        <v>15.99</v>
      </c>
      <c r="F41" s="25">
        <v>35</v>
      </c>
      <c r="G41" s="24" t="s">
        <v>11</v>
      </c>
      <c r="I41" s="24" t="s">
        <v>55</v>
      </c>
      <c r="K41" s="24">
        <v>36</v>
      </c>
    </row>
    <row r="42" spans="1:26" ht="12.75" x14ac:dyDescent="0.2">
      <c r="A42" s="27">
        <v>31</v>
      </c>
      <c r="B42" s="24" t="s">
        <v>7</v>
      </c>
      <c r="C42" s="24" t="s">
        <v>14</v>
      </c>
      <c r="D42" s="25"/>
      <c r="E42" s="25">
        <v>16.22</v>
      </c>
      <c r="F42" s="25">
        <v>31</v>
      </c>
      <c r="G42" s="24" t="s">
        <v>13</v>
      </c>
      <c r="I42" s="24" t="s">
        <v>56</v>
      </c>
      <c r="K42" s="24">
        <v>16</v>
      </c>
    </row>
    <row r="43" spans="1:26" ht="12.75" x14ac:dyDescent="0.2">
      <c r="A43" s="27">
        <v>32</v>
      </c>
      <c r="B43" s="24" t="s">
        <v>10</v>
      </c>
      <c r="C43" s="24" t="s">
        <v>12</v>
      </c>
      <c r="D43" s="25">
        <v>1</v>
      </c>
      <c r="E43" s="25">
        <v>16.61</v>
      </c>
      <c r="F43" s="25">
        <v>36</v>
      </c>
      <c r="G43" s="24" t="s">
        <v>9</v>
      </c>
      <c r="I43" s="28" t="s">
        <v>54</v>
      </c>
      <c r="J43" s="28"/>
      <c r="K43" s="59">
        <f>K42/K41</f>
        <v>0.44444444444444442</v>
      </c>
    </row>
    <row r="44" spans="1:26" ht="12.75" x14ac:dyDescent="0.2">
      <c r="A44" s="27">
        <v>33</v>
      </c>
      <c r="B44" s="24" t="s">
        <v>10</v>
      </c>
      <c r="C44" s="24" t="s">
        <v>14</v>
      </c>
      <c r="D44" s="25">
        <v>3</v>
      </c>
      <c r="E44" s="25">
        <v>17.260000000000002</v>
      </c>
      <c r="F44" s="25">
        <v>43</v>
      </c>
      <c r="G44" s="24" t="s">
        <v>11</v>
      </c>
    </row>
    <row r="45" spans="1:26" ht="12.75" x14ac:dyDescent="0.2">
      <c r="A45" s="27">
        <v>34</v>
      </c>
      <c r="B45" s="24" t="s">
        <v>7</v>
      </c>
      <c r="C45" s="24" t="s">
        <v>14</v>
      </c>
      <c r="D45" s="25"/>
      <c r="E45" s="25">
        <v>18.75</v>
      </c>
      <c r="F45" s="25">
        <v>33</v>
      </c>
      <c r="G45" s="24" t="s">
        <v>11</v>
      </c>
      <c r="J45" s="32"/>
    </row>
    <row r="46" spans="1:26" ht="12.75" x14ac:dyDescent="0.2">
      <c r="A46" s="27">
        <v>35</v>
      </c>
      <c r="B46" s="24" t="s">
        <v>10</v>
      </c>
      <c r="C46" s="24" t="s">
        <v>12</v>
      </c>
      <c r="D46" s="25">
        <v>2</v>
      </c>
      <c r="E46" s="25">
        <v>19.399999999999999</v>
      </c>
      <c r="F46" s="25">
        <v>48</v>
      </c>
      <c r="G46" s="24" t="s">
        <v>11</v>
      </c>
      <c r="J46" s="32"/>
    </row>
    <row r="47" spans="1:26" ht="12.75" x14ac:dyDescent="0.2">
      <c r="A47" s="27">
        <v>36</v>
      </c>
      <c r="B47" s="24" t="s">
        <v>10</v>
      </c>
      <c r="C47" s="24" t="s">
        <v>14</v>
      </c>
      <c r="D47" s="25">
        <v>3</v>
      </c>
      <c r="E47" s="25">
        <v>23.3</v>
      </c>
      <c r="F47" s="25">
        <v>42</v>
      </c>
      <c r="G47" s="24" t="s">
        <v>9</v>
      </c>
      <c r="J47" s="32"/>
    </row>
    <row r="48" spans="1:26" ht="12.75" x14ac:dyDescent="0.2">
      <c r="A48" s="27"/>
      <c r="C48" s="24">
        <f>COUNTIF(Tabela1[grau_instrucao],"1-ensino fundamental")</f>
        <v>12</v>
      </c>
      <c r="D48" s="25"/>
      <c r="E48" s="25"/>
      <c r="J48" s="32"/>
    </row>
    <row r="49" spans="1:17" ht="12.75" x14ac:dyDescent="0.2">
      <c r="A49" s="27"/>
      <c r="D49" s="25"/>
      <c r="E49" s="25"/>
      <c r="F49" s="25"/>
      <c r="J49" s="32"/>
    </row>
    <row r="54" spans="1:17" s="26" customFormat="1" ht="13.5" customHeight="1" x14ac:dyDescent="0.2">
      <c r="B54" s="136" t="s">
        <v>66</v>
      </c>
      <c r="C54" s="136"/>
      <c r="D54" s="136"/>
      <c r="E54" s="136"/>
      <c r="F54" s="136"/>
      <c r="G54" s="136"/>
      <c r="H54" s="136"/>
      <c r="I54" s="136"/>
      <c r="J54" s="136"/>
      <c r="K54" s="136"/>
      <c r="L54" s="136"/>
      <c r="M54" s="136"/>
      <c r="N54" s="136"/>
      <c r="O54" s="136"/>
      <c r="P54" s="136"/>
      <c r="Q54" s="136"/>
    </row>
    <row r="55" spans="1:17" s="26" customFormat="1" ht="13.5" customHeight="1" x14ac:dyDescent="0.2">
      <c r="B55" s="136"/>
      <c r="C55" s="136"/>
      <c r="D55" s="136"/>
      <c r="E55" s="136"/>
      <c r="F55" s="136"/>
      <c r="G55" s="136"/>
      <c r="H55" s="136"/>
      <c r="I55" s="136"/>
      <c r="J55" s="136"/>
      <c r="K55" s="136"/>
      <c r="L55" s="136"/>
      <c r="M55" s="136"/>
      <c r="N55" s="136"/>
      <c r="O55" s="136"/>
      <c r="P55" s="136"/>
      <c r="Q55" s="136"/>
    </row>
    <row r="56" spans="1:17" s="26" customFormat="1" ht="13.5" customHeight="1" x14ac:dyDescent="0.2">
      <c r="B56" s="136"/>
      <c r="C56" s="136"/>
      <c r="D56" s="136"/>
      <c r="E56" s="136"/>
      <c r="F56" s="136"/>
      <c r="G56" s="136"/>
      <c r="H56" s="136"/>
      <c r="I56" s="136"/>
      <c r="J56" s="136"/>
      <c r="K56" s="136"/>
      <c r="L56" s="136"/>
      <c r="M56" s="136"/>
      <c r="N56" s="136"/>
      <c r="O56" s="136"/>
      <c r="P56" s="136"/>
      <c r="Q56" s="136"/>
    </row>
    <row r="57" spans="1:17" s="26" customFormat="1" ht="13.5" customHeight="1" x14ac:dyDescent="0.2">
      <c r="B57" s="136"/>
      <c r="C57" s="136"/>
      <c r="D57" s="136"/>
      <c r="E57" s="136"/>
      <c r="F57" s="136"/>
      <c r="G57" s="136"/>
      <c r="H57" s="136"/>
      <c r="I57" s="136"/>
      <c r="J57" s="136"/>
      <c r="K57" s="136"/>
      <c r="L57" s="136"/>
      <c r="M57" s="136"/>
      <c r="N57" s="136"/>
      <c r="O57" s="136"/>
      <c r="P57" s="136"/>
      <c r="Q57" s="136"/>
    </row>
    <row r="58" spans="1:17" s="26" customFormat="1" ht="13.5" customHeight="1" x14ac:dyDescent="0.2">
      <c r="B58" s="136"/>
      <c r="C58" s="136"/>
      <c r="D58" s="136"/>
      <c r="E58" s="136"/>
      <c r="F58" s="136"/>
      <c r="G58" s="136"/>
      <c r="H58" s="136"/>
      <c r="I58" s="136"/>
      <c r="J58" s="136"/>
      <c r="K58" s="136"/>
      <c r="L58" s="136"/>
      <c r="M58" s="136"/>
      <c r="N58" s="136"/>
      <c r="O58" s="136"/>
      <c r="P58" s="136"/>
      <c r="Q58" s="136"/>
    </row>
    <row r="59" spans="1:17" s="26" customFormat="1" ht="13.5" customHeight="1" x14ac:dyDescent="0.2">
      <c r="B59" s="136"/>
      <c r="C59" s="136"/>
      <c r="D59" s="136"/>
      <c r="E59" s="136"/>
      <c r="F59" s="136"/>
      <c r="G59" s="136"/>
      <c r="H59" s="136"/>
      <c r="I59" s="136"/>
      <c r="J59" s="136"/>
      <c r="K59" s="136"/>
      <c r="L59" s="136"/>
      <c r="M59" s="136"/>
      <c r="N59" s="136"/>
      <c r="O59" s="136"/>
      <c r="P59" s="136"/>
      <c r="Q59" s="136"/>
    </row>
    <row r="60" spans="1:17" s="26" customFormat="1" ht="13.5" customHeight="1" x14ac:dyDescent="0.2">
      <c r="B60" s="136"/>
      <c r="C60" s="136"/>
      <c r="D60" s="136"/>
      <c r="E60" s="136"/>
      <c r="F60" s="136"/>
      <c r="G60" s="136"/>
      <c r="H60" s="136"/>
      <c r="I60" s="136"/>
      <c r="J60" s="136"/>
      <c r="K60" s="136"/>
      <c r="L60" s="136"/>
      <c r="M60" s="136"/>
      <c r="N60" s="136"/>
      <c r="O60" s="136"/>
      <c r="P60" s="136"/>
      <c r="Q60" s="136"/>
    </row>
    <row r="65" spans="1:15" ht="13.5" customHeight="1" x14ac:dyDescent="0.2">
      <c r="O65" s="26"/>
    </row>
    <row r="69" spans="1:15" ht="12.75" x14ac:dyDescent="0.2">
      <c r="A69" s="73" t="s">
        <v>59</v>
      </c>
      <c r="B69" s="25" t="s">
        <v>67</v>
      </c>
      <c r="C69" s="25"/>
    </row>
    <row r="70" spans="1:15" ht="12.75" x14ac:dyDescent="0.2">
      <c r="A70" s="31" t="s">
        <v>8</v>
      </c>
      <c r="B70" s="78">
        <v>7.836666666666666</v>
      </c>
      <c r="C70" s="25"/>
    </row>
    <row r="71" spans="1:15" ht="12.75" x14ac:dyDescent="0.2">
      <c r="A71" s="31" t="s">
        <v>12</v>
      </c>
      <c r="B71" s="78">
        <v>11.528333333333334</v>
      </c>
      <c r="C71" s="25"/>
    </row>
    <row r="72" spans="1:15" ht="12.75" x14ac:dyDescent="0.2">
      <c r="A72" s="31" t="s">
        <v>14</v>
      </c>
      <c r="B72" s="78">
        <v>16.474999999999998</v>
      </c>
      <c r="C72" s="25"/>
    </row>
    <row r="73" spans="1:15" ht="12.75" x14ac:dyDescent="0.2">
      <c r="A73" s="31" t="s">
        <v>60</v>
      </c>
      <c r="B73" s="78">
        <v>11.12222222222222</v>
      </c>
      <c r="C73" s="25"/>
    </row>
    <row r="74" spans="1:15" ht="12.75" x14ac:dyDescent="0.2">
      <c r="A74" s="25"/>
      <c r="B74" s="25"/>
      <c r="C74" s="25"/>
    </row>
    <row r="75" spans="1:15" ht="25.5" x14ac:dyDescent="0.2">
      <c r="A75" s="69" t="s">
        <v>68</v>
      </c>
      <c r="B75" s="69" t="s">
        <v>23</v>
      </c>
      <c r="C75" s="69" t="s">
        <v>24</v>
      </c>
      <c r="D75" s="68"/>
    </row>
    <row r="76" spans="1:15" ht="12.75" x14ac:dyDescent="0.2">
      <c r="A76" s="70" t="s">
        <v>8</v>
      </c>
      <c r="B76" s="71">
        <f>AVERAGEIF(Tabela1[grau_instrucao],A76,Tabela1[salario])</f>
        <v>7.836666666666666</v>
      </c>
      <c r="C76" s="71" cm="1">
        <f t="array" ref="C76">MEDIAN(IF(Tabela1[grau_instrucao]=A76,Tabela1[salario]))</f>
        <v>7.125</v>
      </c>
      <c r="D76" s="68"/>
    </row>
    <row r="77" spans="1:15" ht="12.75" x14ac:dyDescent="0.2">
      <c r="A77" s="70" t="s">
        <v>12</v>
      </c>
      <c r="B77" s="71">
        <f>AVERAGEIF(Tabela1[grau_instrucao],A77,Tabela1[salario])</f>
        <v>11.528333333333334</v>
      </c>
      <c r="C77" s="71" cm="1">
        <f t="array" ref="C77">MEDIAN(IF(Tabela1[grau_instrucao]=A77,Tabela1[salario]))</f>
        <v>10.91</v>
      </c>
      <c r="D77" s="68"/>
    </row>
    <row r="78" spans="1:15" ht="12.75" x14ac:dyDescent="0.2">
      <c r="A78" s="70" t="s">
        <v>14</v>
      </c>
      <c r="B78" s="71">
        <f>AVERAGEIF(Tabela1[grau_instrucao],A78,Tabela1[salario])</f>
        <v>16.474999999999998</v>
      </c>
      <c r="C78" s="71" cm="1">
        <f t="array" ref="C78">MEDIAN(IF(Tabela1[grau_instrucao]=A78,Tabela1[salario]))</f>
        <v>16.740000000000002</v>
      </c>
      <c r="D78" s="68"/>
    </row>
    <row r="79" spans="1:15" ht="12.75" x14ac:dyDescent="0.2">
      <c r="A79" s="25"/>
      <c r="B79" s="25"/>
      <c r="C79" s="25"/>
    </row>
    <row r="80" spans="1:15" ht="12.75" x14ac:dyDescent="0.2">
      <c r="A80" s="25"/>
      <c r="B80" s="25"/>
      <c r="C80" s="25"/>
    </row>
    <row r="81" spans="1:15" ht="12.75" x14ac:dyDescent="0.2">
      <c r="A81" s="25"/>
      <c r="B81" s="25"/>
      <c r="C81" s="25"/>
    </row>
    <row r="82" spans="1:15" ht="12.75" x14ac:dyDescent="0.2">
      <c r="A82" s="25"/>
      <c r="B82" s="25"/>
      <c r="C82" s="25"/>
    </row>
    <row r="83" spans="1:15" ht="12.75" x14ac:dyDescent="0.2">
      <c r="A83" s="25"/>
      <c r="B83" s="25"/>
      <c r="C83" s="25"/>
    </row>
    <row r="84" spans="1:15" ht="12.75" x14ac:dyDescent="0.2">
      <c r="A84" s="25"/>
      <c r="B84" s="25"/>
      <c r="C84" s="25"/>
    </row>
    <row r="85" spans="1:15" ht="12.75" x14ac:dyDescent="0.2">
      <c r="A85" s="25"/>
      <c r="B85" s="25"/>
      <c r="C85" s="25"/>
    </row>
    <row r="86" spans="1:15" ht="12.75" x14ac:dyDescent="0.2">
      <c r="A86" s="25"/>
      <c r="B86" s="25"/>
      <c r="C86" s="25"/>
    </row>
    <row r="94" spans="1:15" ht="13.5" customHeight="1" x14ac:dyDescent="0.2">
      <c r="B94" s="136" t="s">
        <v>69</v>
      </c>
      <c r="C94" s="136"/>
      <c r="D94" s="136"/>
      <c r="E94" s="136"/>
      <c r="F94" s="136"/>
      <c r="G94" s="136"/>
      <c r="H94" s="136"/>
      <c r="I94" s="136"/>
      <c r="J94" s="136"/>
      <c r="K94" s="136"/>
      <c r="L94" s="136"/>
      <c r="M94" s="136"/>
      <c r="N94" s="136"/>
      <c r="O94" s="136"/>
    </row>
    <row r="95" spans="1:15" ht="13.5" customHeight="1" x14ac:dyDescent="0.2">
      <c r="B95" s="136"/>
      <c r="C95" s="136"/>
      <c r="D95" s="136"/>
      <c r="E95" s="136"/>
      <c r="F95" s="136"/>
      <c r="G95" s="136"/>
      <c r="H95" s="136"/>
      <c r="I95" s="136"/>
      <c r="J95" s="136"/>
      <c r="K95" s="136"/>
      <c r="L95" s="136"/>
      <c r="M95" s="136"/>
      <c r="N95" s="136"/>
      <c r="O95" s="136"/>
    </row>
    <row r="96" spans="1:15" ht="13.5" customHeight="1" x14ac:dyDescent="0.2">
      <c r="B96" s="136"/>
      <c r="C96" s="136"/>
      <c r="D96" s="136"/>
      <c r="E96" s="136"/>
      <c r="F96" s="136"/>
      <c r="G96" s="136"/>
      <c r="H96" s="136"/>
      <c r="I96" s="136"/>
      <c r="J96" s="136"/>
      <c r="K96" s="136"/>
      <c r="L96" s="136"/>
      <c r="M96" s="136"/>
      <c r="N96" s="136"/>
      <c r="O96" s="136"/>
    </row>
    <row r="97" spans="1:15" ht="13.5" customHeight="1" x14ac:dyDescent="0.2">
      <c r="B97" s="136"/>
      <c r="C97" s="136"/>
      <c r="D97" s="136"/>
      <c r="E97" s="136"/>
      <c r="F97" s="136"/>
      <c r="G97" s="136"/>
      <c r="H97" s="136"/>
      <c r="I97" s="136"/>
      <c r="J97" s="136"/>
      <c r="K97" s="136"/>
      <c r="L97" s="136"/>
      <c r="M97" s="136"/>
      <c r="N97" s="136"/>
      <c r="O97" s="136"/>
    </row>
    <row r="98" spans="1:15" ht="13.5" customHeight="1" x14ac:dyDescent="0.2">
      <c r="B98" s="136"/>
      <c r="C98" s="136"/>
      <c r="D98" s="136"/>
      <c r="E98" s="136"/>
      <c r="F98" s="136"/>
      <c r="G98" s="136"/>
      <c r="H98" s="136"/>
      <c r="I98" s="136"/>
      <c r="J98" s="136"/>
      <c r="K98" s="136"/>
      <c r="L98" s="136"/>
      <c r="M98" s="136"/>
      <c r="N98" s="136"/>
      <c r="O98" s="136"/>
    </row>
    <row r="99" spans="1:15" ht="13.5" customHeight="1" x14ac:dyDescent="0.2">
      <c r="B99" s="136"/>
      <c r="C99" s="136"/>
      <c r="D99" s="136"/>
      <c r="E99" s="136"/>
      <c r="F99" s="136"/>
      <c r="G99" s="136"/>
      <c r="H99" s="136"/>
      <c r="I99" s="136"/>
      <c r="J99" s="136"/>
      <c r="K99" s="136"/>
      <c r="L99" s="136"/>
      <c r="M99" s="136"/>
      <c r="N99" s="136"/>
      <c r="O99" s="136"/>
    </row>
    <row r="100" spans="1:15" ht="13.5" customHeight="1" x14ac:dyDescent="0.2">
      <c r="B100" s="136"/>
      <c r="C100" s="136"/>
      <c r="D100" s="136"/>
      <c r="E100" s="136"/>
      <c r="F100" s="136"/>
      <c r="G100" s="136"/>
      <c r="H100" s="136"/>
      <c r="I100" s="136"/>
      <c r="J100" s="136"/>
      <c r="K100" s="136"/>
      <c r="L100" s="136"/>
      <c r="M100" s="136"/>
      <c r="N100" s="136"/>
      <c r="O100" s="136"/>
    </row>
    <row r="105" spans="1:15" ht="13.5" customHeight="1" x14ac:dyDescent="0.2">
      <c r="O105" s="26"/>
    </row>
    <row r="109" spans="1:15" ht="12.75" x14ac:dyDescent="0.2">
      <c r="A109" s="79" t="s">
        <v>58</v>
      </c>
      <c r="B109" s="80" t="s">
        <v>61</v>
      </c>
      <c r="C109" s="81"/>
      <c r="D109" s="81"/>
      <c r="E109" s="81"/>
    </row>
    <row r="110" spans="1:15" ht="25.5" x14ac:dyDescent="0.2">
      <c r="A110" s="79" t="s">
        <v>59</v>
      </c>
      <c r="B110" s="81" t="s">
        <v>8</v>
      </c>
      <c r="C110" s="81" t="s">
        <v>12</v>
      </c>
      <c r="D110" s="81" t="s">
        <v>14</v>
      </c>
      <c r="E110" s="81" t="s">
        <v>60</v>
      </c>
    </row>
    <row r="111" spans="1:15" ht="12.75" x14ac:dyDescent="0.2">
      <c r="A111" s="31" t="s">
        <v>10</v>
      </c>
      <c r="B111" s="76">
        <v>5</v>
      </c>
      <c r="C111" s="76">
        <v>12</v>
      </c>
      <c r="D111" s="76">
        <v>3</v>
      </c>
      <c r="E111" s="76">
        <v>20</v>
      </c>
    </row>
    <row r="112" spans="1:15" ht="12.75" x14ac:dyDescent="0.2">
      <c r="A112" s="31" t="s">
        <v>7</v>
      </c>
      <c r="B112" s="76">
        <v>7</v>
      </c>
      <c r="C112" s="76">
        <v>6</v>
      </c>
      <c r="D112" s="76">
        <v>3</v>
      </c>
      <c r="E112" s="76">
        <v>16</v>
      </c>
    </row>
    <row r="113" spans="1:17" ht="12.75" x14ac:dyDescent="0.2">
      <c r="A113" s="31" t="s">
        <v>60</v>
      </c>
      <c r="B113" s="76">
        <v>12</v>
      </c>
      <c r="C113" s="76">
        <v>18</v>
      </c>
      <c r="D113" s="76">
        <v>6</v>
      </c>
      <c r="E113" s="76">
        <v>36</v>
      </c>
    </row>
    <row r="114" spans="1:17" ht="15" x14ac:dyDescent="0.2">
      <c r="A114"/>
      <c r="B114"/>
      <c r="C114"/>
      <c r="D114"/>
      <c r="F114" s="33"/>
    </row>
    <row r="115" spans="1:17" ht="12.75" x14ac:dyDescent="0.2">
      <c r="A115" s="25"/>
      <c r="B115" s="25"/>
      <c r="C115" s="25"/>
      <c r="D115" s="34"/>
    </row>
    <row r="116" spans="1:17" ht="12.75" x14ac:dyDescent="0.2">
      <c r="A116" s="25" t="s">
        <v>59</v>
      </c>
      <c r="B116" s="25" t="s">
        <v>10</v>
      </c>
      <c r="C116" s="25" t="s">
        <v>7</v>
      </c>
      <c r="D116" s="34"/>
    </row>
    <row r="117" spans="1:17" ht="12.75" x14ac:dyDescent="0.2">
      <c r="A117" s="25" t="s">
        <v>8</v>
      </c>
      <c r="B117" s="25">
        <v>5</v>
      </c>
      <c r="C117" s="25">
        <v>7</v>
      </c>
      <c r="D117" s="34"/>
    </row>
    <row r="118" spans="1:17" ht="12.75" x14ac:dyDescent="0.2">
      <c r="A118" s="25" t="s">
        <v>12</v>
      </c>
      <c r="B118" s="25">
        <v>12</v>
      </c>
      <c r="C118" s="25">
        <v>6</v>
      </c>
      <c r="D118" s="34"/>
    </row>
    <row r="119" spans="1:17" ht="12.75" x14ac:dyDescent="0.2">
      <c r="A119" s="25" t="s">
        <v>14</v>
      </c>
      <c r="B119" s="25">
        <v>3</v>
      </c>
      <c r="C119" s="25">
        <v>3</v>
      </c>
      <c r="D119" s="34"/>
    </row>
    <row r="120" spans="1:17" ht="12.75" x14ac:dyDescent="0.2">
      <c r="A120" s="25"/>
      <c r="B120" s="25"/>
      <c r="C120" s="25"/>
      <c r="D120" s="34"/>
    </row>
    <row r="121" spans="1:17" ht="12.75" x14ac:dyDescent="0.2">
      <c r="A121" s="25"/>
      <c r="B121" s="25"/>
      <c r="C121" s="25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</row>
    <row r="125" spans="1:17" ht="13.5" customHeight="1" x14ac:dyDescent="0.2">
      <c r="B125" s="136" t="s">
        <v>70</v>
      </c>
      <c r="C125" s="136"/>
      <c r="D125" s="136"/>
      <c r="E125" s="136"/>
      <c r="F125" s="136"/>
      <c r="G125" s="136"/>
      <c r="H125" s="136"/>
      <c r="I125" s="136"/>
      <c r="J125" s="136"/>
      <c r="K125" s="136"/>
      <c r="L125" s="136"/>
      <c r="M125" s="136"/>
      <c r="N125" s="136"/>
      <c r="O125" s="136"/>
      <c r="P125" s="136"/>
      <c r="Q125" s="136"/>
    </row>
    <row r="126" spans="1:17" ht="13.5" customHeight="1" x14ac:dyDescent="0.2">
      <c r="B126" s="136"/>
      <c r="C126" s="136"/>
      <c r="D126" s="136"/>
      <c r="E126" s="136"/>
      <c r="F126" s="136"/>
      <c r="G126" s="136"/>
      <c r="H126" s="136"/>
      <c r="I126" s="136"/>
      <c r="J126" s="136"/>
      <c r="K126" s="136"/>
      <c r="L126" s="136"/>
      <c r="M126" s="136"/>
      <c r="N126" s="136"/>
      <c r="O126" s="136"/>
      <c r="P126" s="136"/>
      <c r="Q126" s="136"/>
    </row>
    <row r="127" spans="1:17" ht="13.5" customHeight="1" x14ac:dyDescent="0.2">
      <c r="B127" s="136"/>
      <c r="C127" s="136"/>
      <c r="D127" s="136"/>
      <c r="E127" s="136"/>
      <c r="F127" s="136"/>
      <c r="G127" s="136"/>
      <c r="H127" s="136"/>
      <c r="I127" s="136"/>
      <c r="J127" s="136"/>
      <c r="K127" s="136"/>
      <c r="L127" s="136"/>
      <c r="M127" s="136"/>
      <c r="N127" s="136"/>
      <c r="O127" s="136"/>
      <c r="P127" s="136"/>
      <c r="Q127" s="136"/>
    </row>
    <row r="128" spans="1:17" ht="13.5" customHeight="1" x14ac:dyDescent="0.2">
      <c r="B128" s="136"/>
      <c r="C128" s="136"/>
      <c r="D128" s="136"/>
      <c r="E128" s="136"/>
      <c r="F128" s="136"/>
      <c r="G128" s="136"/>
      <c r="H128" s="136"/>
      <c r="I128" s="136"/>
      <c r="J128" s="136"/>
      <c r="K128" s="136"/>
      <c r="L128" s="136"/>
      <c r="M128" s="136"/>
      <c r="N128" s="136"/>
      <c r="O128" s="136"/>
      <c r="P128" s="136"/>
      <c r="Q128" s="136"/>
    </row>
    <row r="129" spans="1:17" ht="13.5" customHeight="1" x14ac:dyDescent="0.2">
      <c r="B129" s="136"/>
      <c r="C129" s="136"/>
      <c r="D129" s="136"/>
      <c r="E129" s="136"/>
      <c r="F129" s="136"/>
      <c r="G129" s="136"/>
      <c r="H129" s="136"/>
      <c r="I129" s="136"/>
      <c r="J129" s="136"/>
      <c r="K129" s="136"/>
      <c r="L129" s="136"/>
      <c r="M129" s="136"/>
      <c r="N129" s="136"/>
      <c r="O129" s="136"/>
      <c r="P129" s="136"/>
      <c r="Q129" s="136"/>
    </row>
    <row r="130" spans="1:17" ht="13.5" customHeight="1" x14ac:dyDescent="0.2">
      <c r="B130" s="136"/>
      <c r="C130" s="136"/>
      <c r="D130" s="136"/>
      <c r="E130" s="136"/>
      <c r="F130" s="136"/>
      <c r="G130" s="136"/>
      <c r="H130" s="136"/>
      <c r="I130" s="136"/>
      <c r="J130" s="136"/>
      <c r="K130" s="136"/>
      <c r="L130" s="136"/>
      <c r="M130" s="136"/>
      <c r="N130" s="136"/>
      <c r="O130" s="136"/>
      <c r="P130" s="136"/>
      <c r="Q130" s="136"/>
    </row>
    <row r="131" spans="1:17" ht="13.5" customHeight="1" x14ac:dyDescent="0.2">
      <c r="B131" s="136"/>
      <c r="C131" s="136"/>
      <c r="D131" s="136"/>
      <c r="E131" s="136"/>
      <c r="F131" s="136"/>
      <c r="G131" s="136"/>
      <c r="H131" s="136"/>
      <c r="I131" s="136"/>
      <c r="J131" s="136"/>
      <c r="K131" s="136"/>
      <c r="L131" s="136"/>
      <c r="M131" s="136"/>
      <c r="N131" s="136"/>
      <c r="O131" s="136"/>
      <c r="P131" s="136"/>
      <c r="Q131" s="136"/>
    </row>
    <row r="136" spans="1:17" ht="13.5" customHeight="1" x14ac:dyDescent="0.2">
      <c r="O136" s="26"/>
    </row>
    <row r="140" spans="1:17" ht="12.75" x14ac:dyDescent="0.2">
      <c r="A140" s="63" t="s">
        <v>59</v>
      </c>
      <c r="B140" t="s">
        <v>67</v>
      </c>
      <c r="C140"/>
      <c r="D140" s="83" t="s">
        <v>16</v>
      </c>
      <c r="E140" s="83" t="s">
        <v>67</v>
      </c>
    </row>
    <row r="141" spans="1:17" ht="12.75" x14ac:dyDescent="0.2">
      <c r="A141" s="65">
        <v>20</v>
      </c>
      <c r="B141" s="67">
        <v>5.73</v>
      </c>
      <c r="C141"/>
      <c r="D141" s="24">
        <v>20</v>
      </c>
      <c r="E141" s="32">
        <v>5.73</v>
      </c>
    </row>
    <row r="142" spans="1:17" ht="12.75" x14ac:dyDescent="0.2">
      <c r="A142" s="65">
        <v>23</v>
      </c>
      <c r="B142" s="67">
        <v>7.44</v>
      </c>
      <c r="C142"/>
      <c r="D142" s="24">
        <v>23</v>
      </c>
      <c r="E142" s="32">
        <v>7.44</v>
      </c>
    </row>
    <row r="143" spans="1:17" ht="12.75" x14ac:dyDescent="0.2">
      <c r="A143" s="65">
        <v>25</v>
      </c>
      <c r="B143" s="67">
        <v>10.53</v>
      </c>
      <c r="C143"/>
      <c r="D143" s="24">
        <v>25</v>
      </c>
      <c r="E143" s="84">
        <v>10.53</v>
      </c>
      <c r="F143" s="34"/>
      <c r="G143" s="34"/>
      <c r="H143" s="34"/>
      <c r="I143" s="34"/>
      <c r="J143" s="34"/>
    </row>
    <row r="144" spans="1:17" ht="12.75" x14ac:dyDescent="0.2">
      <c r="A144" s="65">
        <v>26</v>
      </c>
      <c r="B144" s="67">
        <v>8.3949999999999996</v>
      </c>
      <c r="C144"/>
      <c r="D144" s="24">
        <v>26</v>
      </c>
      <c r="E144" s="84">
        <v>8.3949999999999996</v>
      </c>
      <c r="F144" s="34"/>
      <c r="G144" s="34"/>
      <c r="H144" s="34"/>
      <c r="I144" s="34"/>
      <c r="J144" s="34"/>
    </row>
    <row r="145" spans="1:15" ht="12.75" x14ac:dyDescent="0.2">
      <c r="A145" s="65">
        <v>27</v>
      </c>
      <c r="B145" s="67">
        <v>8.4600000000000009</v>
      </c>
      <c r="C145"/>
      <c r="D145" s="24">
        <v>27</v>
      </c>
      <c r="E145" s="84">
        <v>8.4600000000000009</v>
      </c>
      <c r="F145" s="34"/>
      <c r="G145" s="34"/>
      <c r="H145" s="34"/>
      <c r="I145" s="34"/>
      <c r="J145" s="34"/>
    </row>
    <row r="146" spans="1:15" ht="12.75" x14ac:dyDescent="0.2">
      <c r="A146" s="65">
        <v>28</v>
      </c>
      <c r="B146" s="67">
        <v>6.66</v>
      </c>
      <c r="C146"/>
      <c r="D146" s="24">
        <v>28</v>
      </c>
      <c r="E146" s="84">
        <v>6.66</v>
      </c>
      <c r="F146" s="34"/>
      <c r="G146" s="34"/>
      <c r="H146" s="34"/>
      <c r="I146" s="34"/>
      <c r="J146" s="34"/>
    </row>
    <row r="147" spans="1:15" ht="15" x14ac:dyDescent="0.2">
      <c r="A147" s="65">
        <v>29</v>
      </c>
      <c r="B147" s="67">
        <v>14.69</v>
      </c>
      <c r="C147"/>
      <c r="D147" s="24">
        <v>29</v>
      </c>
      <c r="E147" s="84">
        <v>14.69</v>
      </c>
      <c r="F147" s="34"/>
      <c r="G147" s="34"/>
      <c r="H147" s="34"/>
      <c r="I147" s="34"/>
      <c r="J147" s="34"/>
      <c r="O147" s="35"/>
    </row>
    <row r="148" spans="1:15" ht="15" x14ac:dyDescent="0.2">
      <c r="A148" s="65">
        <v>30</v>
      </c>
      <c r="B148" s="67">
        <v>10.095000000000001</v>
      </c>
      <c r="C148"/>
      <c r="D148" s="24">
        <v>30</v>
      </c>
      <c r="E148" s="32">
        <v>10.095000000000001</v>
      </c>
      <c r="O148" s="35"/>
    </row>
    <row r="149" spans="1:15" ht="12.75" x14ac:dyDescent="0.2">
      <c r="A149" s="65">
        <v>31</v>
      </c>
      <c r="B149" s="67">
        <v>12.994999999999999</v>
      </c>
      <c r="C149"/>
      <c r="D149" s="24">
        <v>31</v>
      </c>
      <c r="E149" s="32">
        <v>12.994999999999999</v>
      </c>
    </row>
    <row r="150" spans="1:15" ht="12.75" x14ac:dyDescent="0.2">
      <c r="A150" s="65">
        <v>32</v>
      </c>
      <c r="B150" s="67">
        <v>8.8949999999999996</v>
      </c>
      <c r="C150"/>
      <c r="D150" s="24">
        <v>32</v>
      </c>
      <c r="E150" s="32">
        <v>8.8949999999999996</v>
      </c>
    </row>
    <row r="151" spans="1:15" ht="12.75" x14ac:dyDescent="0.2">
      <c r="A151" s="65">
        <v>33</v>
      </c>
      <c r="B151" s="67">
        <v>13.434999999999999</v>
      </c>
      <c r="C151"/>
      <c r="D151" s="24">
        <v>33</v>
      </c>
      <c r="E151" s="32">
        <v>13.434999999999999</v>
      </c>
    </row>
    <row r="152" spans="1:15" ht="12.75" x14ac:dyDescent="0.2">
      <c r="A152" s="65">
        <v>34</v>
      </c>
      <c r="B152" s="67">
        <v>9.59</v>
      </c>
      <c r="C152"/>
      <c r="D152" s="24">
        <v>34</v>
      </c>
      <c r="E152" s="32">
        <v>9.59</v>
      </c>
    </row>
    <row r="153" spans="1:15" ht="12.75" x14ac:dyDescent="0.2">
      <c r="A153" s="65">
        <v>35</v>
      </c>
      <c r="B153" s="67">
        <v>14.795</v>
      </c>
      <c r="C153"/>
      <c r="D153" s="24">
        <v>35</v>
      </c>
      <c r="E153" s="32">
        <v>14.795</v>
      </c>
    </row>
    <row r="154" spans="1:15" ht="12.75" x14ac:dyDescent="0.2">
      <c r="A154" s="65">
        <v>36</v>
      </c>
      <c r="B154" s="67">
        <v>10.93</v>
      </c>
      <c r="C154"/>
      <c r="D154" s="24">
        <v>36</v>
      </c>
      <c r="E154" s="32">
        <v>10.93</v>
      </c>
    </row>
    <row r="155" spans="1:15" ht="12.75" x14ac:dyDescent="0.2">
      <c r="A155" s="65">
        <v>37</v>
      </c>
      <c r="B155" s="67">
        <v>9.75</v>
      </c>
      <c r="C155"/>
      <c r="D155" s="24">
        <v>37</v>
      </c>
      <c r="E155" s="32">
        <v>9.75</v>
      </c>
    </row>
    <row r="156" spans="1:15" ht="12.75" x14ac:dyDescent="0.2">
      <c r="A156" s="65">
        <v>38</v>
      </c>
      <c r="B156" s="67">
        <v>9.35</v>
      </c>
      <c r="C156"/>
      <c r="D156" s="24">
        <v>38</v>
      </c>
      <c r="E156" s="32">
        <v>9.35</v>
      </c>
    </row>
    <row r="157" spans="1:15" ht="12.75" x14ac:dyDescent="0.2">
      <c r="A157" s="65">
        <v>39</v>
      </c>
      <c r="B157" s="67">
        <v>9.8000000000000007</v>
      </c>
      <c r="C157"/>
      <c r="D157" s="24">
        <v>39</v>
      </c>
      <c r="E157" s="32">
        <v>9.8000000000000007</v>
      </c>
    </row>
    <row r="158" spans="1:15" ht="12.75" x14ac:dyDescent="0.2">
      <c r="A158" s="65">
        <v>40</v>
      </c>
      <c r="B158" s="67">
        <v>10.484999999999999</v>
      </c>
      <c r="C158" s="82"/>
      <c r="D158" s="24">
        <v>40</v>
      </c>
      <c r="E158" s="32">
        <v>10.484999999999999</v>
      </c>
    </row>
    <row r="159" spans="1:15" ht="12.75" x14ac:dyDescent="0.2">
      <c r="A159" s="65">
        <v>41</v>
      </c>
      <c r="B159" s="67">
        <v>9.43</v>
      </c>
      <c r="C159" s="82"/>
      <c r="D159" s="24">
        <v>41</v>
      </c>
      <c r="E159" s="32">
        <v>9.43</v>
      </c>
    </row>
    <row r="160" spans="1:15" ht="12.75" x14ac:dyDescent="0.2">
      <c r="A160" s="65">
        <v>42</v>
      </c>
      <c r="B160" s="67">
        <v>23.3</v>
      </c>
      <c r="C160" s="82"/>
      <c r="D160" s="24">
        <v>42</v>
      </c>
      <c r="E160" s="32">
        <v>23.3</v>
      </c>
    </row>
    <row r="161" spans="1:17" ht="12.75" x14ac:dyDescent="0.2">
      <c r="A161" s="65">
        <v>43</v>
      </c>
      <c r="B161" s="67">
        <v>12.325000000000001</v>
      </c>
      <c r="C161" s="82"/>
      <c r="D161" s="24">
        <v>43</v>
      </c>
      <c r="E161" s="32">
        <v>12.325000000000001</v>
      </c>
    </row>
    <row r="162" spans="1:17" ht="12.75" x14ac:dyDescent="0.2">
      <c r="A162" s="65">
        <v>44</v>
      </c>
      <c r="B162" s="67">
        <v>8.9499999999999993</v>
      </c>
      <c r="C162" s="82"/>
      <c r="D162" s="24">
        <v>44</v>
      </c>
      <c r="E162" s="32">
        <v>8.9499999999999993</v>
      </c>
    </row>
    <row r="163" spans="1:17" ht="12.75" x14ac:dyDescent="0.2">
      <c r="A163" s="65">
        <v>46</v>
      </c>
      <c r="B163" s="67">
        <v>13.85</v>
      </c>
      <c r="C163" s="82"/>
      <c r="D163" s="24">
        <v>46</v>
      </c>
      <c r="E163" s="32">
        <v>13.85</v>
      </c>
    </row>
    <row r="164" spans="1:17" ht="12.75" x14ac:dyDescent="0.2">
      <c r="A164" s="65">
        <v>48</v>
      </c>
      <c r="B164" s="67">
        <v>19.399999999999999</v>
      </c>
      <c r="C164" s="82"/>
      <c r="D164" s="24">
        <v>48</v>
      </c>
      <c r="E164" s="32">
        <v>19.399999999999999</v>
      </c>
    </row>
    <row r="165" spans="1:17" ht="12.75" x14ac:dyDescent="0.2">
      <c r="A165" s="65" t="s">
        <v>60</v>
      </c>
      <c r="B165" s="67">
        <v>11.122222222222222</v>
      </c>
      <c r="C165" s="82"/>
    </row>
    <row r="169" spans="1:17" ht="12.75" x14ac:dyDescent="0.2">
      <c r="B169" s="136" t="s">
        <v>71</v>
      </c>
      <c r="C169" s="136"/>
      <c r="D169" s="136"/>
      <c r="E169" s="136"/>
      <c r="F169" s="136"/>
      <c r="G169" s="136"/>
      <c r="H169" s="136"/>
      <c r="I169" s="136"/>
      <c r="J169" s="136"/>
      <c r="K169" s="136"/>
      <c r="L169" s="136"/>
      <c r="M169" s="136"/>
      <c r="N169" s="136"/>
      <c r="O169" s="136"/>
      <c r="P169" s="136"/>
      <c r="Q169" s="136"/>
    </row>
    <row r="170" spans="1:17" ht="12.75" x14ac:dyDescent="0.2">
      <c r="B170" s="136"/>
      <c r="C170" s="136"/>
      <c r="D170" s="136"/>
      <c r="E170" s="136"/>
      <c r="F170" s="136"/>
      <c r="G170" s="136"/>
      <c r="H170" s="136"/>
      <c r="I170" s="136"/>
      <c r="J170" s="136"/>
      <c r="K170" s="136"/>
      <c r="L170" s="136"/>
      <c r="M170" s="136"/>
      <c r="N170" s="136"/>
      <c r="O170" s="136"/>
      <c r="P170" s="136"/>
      <c r="Q170" s="136"/>
    </row>
    <row r="171" spans="1:17" ht="12.75" x14ac:dyDescent="0.2">
      <c r="B171" s="136"/>
      <c r="C171" s="136"/>
      <c r="D171" s="136"/>
      <c r="E171" s="136"/>
      <c r="F171" s="136"/>
      <c r="G171" s="136"/>
      <c r="H171" s="136"/>
      <c r="I171" s="136"/>
      <c r="J171" s="136"/>
      <c r="K171" s="136"/>
      <c r="L171" s="136"/>
      <c r="M171" s="136"/>
      <c r="N171" s="136"/>
      <c r="O171" s="136"/>
      <c r="P171" s="136"/>
      <c r="Q171" s="136"/>
    </row>
    <row r="172" spans="1:17" ht="12.75" x14ac:dyDescent="0.2">
      <c r="B172" s="136"/>
      <c r="C172" s="136"/>
      <c r="D172" s="136"/>
      <c r="E172" s="136"/>
      <c r="F172" s="136"/>
      <c r="G172" s="136"/>
      <c r="H172" s="136"/>
      <c r="I172" s="136"/>
      <c r="J172" s="136"/>
      <c r="K172" s="136"/>
      <c r="L172" s="136"/>
      <c r="M172" s="136"/>
      <c r="N172" s="136"/>
      <c r="O172" s="136"/>
      <c r="P172" s="136"/>
      <c r="Q172" s="136"/>
    </row>
    <row r="173" spans="1:17" ht="12.75" x14ac:dyDescent="0.2">
      <c r="B173" s="136"/>
      <c r="C173" s="136"/>
      <c r="D173" s="136"/>
      <c r="E173" s="136"/>
      <c r="F173" s="136"/>
      <c r="G173" s="136"/>
      <c r="H173" s="136"/>
      <c r="I173" s="136"/>
      <c r="J173" s="136"/>
      <c r="K173" s="136"/>
      <c r="L173" s="136"/>
      <c r="M173" s="136"/>
      <c r="N173" s="136"/>
      <c r="O173" s="136"/>
      <c r="P173" s="136"/>
      <c r="Q173" s="136"/>
    </row>
    <row r="174" spans="1:17" ht="13.5" customHeight="1" x14ac:dyDescent="0.2">
      <c r="B174" s="136"/>
      <c r="C174" s="136"/>
      <c r="D174" s="136"/>
      <c r="E174" s="136"/>
      <c r="F174" s="136"/>
      <c r="G174" s="136"/>
      <c r="H174" s="136"/>
      <c r="I174" s="136"/>
      <c r="J174" s="136"/>
      <c r="K174" s="136"/>
      <c r="L174" s="136"/>
      <c r="M174" s="136"/>
      <c r="N174" s="136"/>
      <c r="O174" s="136"/>
      <c r="P174" s="136"/>
      <c r="Q174" s="136"/>
    </row>
    <row r="175" spans="1:17" ht="13.5" customHeight="1" x14ac:dyDescent="0.2">
      <c r="B175" s="136"/>
      <c r="C175" s="136"/>
      <c r="D175" s="136"/>
      <c r="E175" s="136"/>
      <c r="F175" s="136"/>
      <c r="G175" s="136"/>
      <c r="H175" s="136"/>
      <c r="I175" s="136"/>
      <c r="J175" s="136"/>
      <c r="K175" s="136"/>
      <c r="L175" s="136"/>
      <c r="M175" s="136"/>
      <c r="N175" s="136"/>
      <c r="O175" s="136"/>
      <c r="P175" s="136"/>
      <c r="Q175" s="136"/>
    </row>
    <row r="180" spans="1:15" ht="13.5" customHeight="1" x14ac:dyDescent="0.2">
      <c r="O180" s="26"/>
    </row>
    <row r="184" spans="1:15" ht="13.5" customHeight="1" x14ac:dyDescent="0.2">
      <c r="I184" s="35"/>
    </row>
    <row r="185" spans="1:15" ht="25.5" x14ac:dyDescent="0.2">
      <c r="A185" s="47" t="s">
        <v>72</v>
      </c>
      <c r="B185" s="47" t="s">
        <v>23</v>
      </c>
      <c r="C185" s="72" t="s">
        <v>24</v>
      </c>
      <c r="D185" s="69"/>
      <c r="E185" s="69"/>
      <c r="F185" s="69"/>
      <c r="G185" s="69"/>
      <c r="H185" s="68"/>
      <c r="I185" s="85"/>
    </row>
    <row r="186" spans="1:15" ht="13.5" customHeight="1" x14ac:dyDescent="0.2">
      <c r="A186" s="49" t="s">
        <v>22</v>
      </c>
      <c r="B186" s="50">
        <f>AVERAGEIF(Tabela1[reg_procedencia],A186,Tabela1[salario])</f>
        <v>11.455454545454545</v>
      </c>
      <c r="C186" s="60" cm="1">
        <f t="array" ref="C186">MEDIAN(IF(Tabela1[reg_procedencia]=A186,Tabela1[salario]))</f>
        <v>9.77</v>
      </c>
      <c r="D186" s="71"/>
      <c r="E186" s="71"/>
      <c r="F186" s="71"/>
      <c r="G186" s="71"/>
      <c r="H186" s="68"/>
      <c r="I186" s="85"/>
    </row>
    <row r="187" spans="1:15" ht="13.5" customHeight="1" x14ac:dyDescent="0.2">
      <c r="A187" s="55" t="s">
        <v>25</v>
      </c>
      <c r="B187" s="56">
        <f>AVERAGEIF(Tabela1[reg_procedencia],A187,Tabela1[salario])</f>
        <v>11.549999999999999</v>
      </c>
      <c r="C187" s="61" cm="1">
        <f t="array" ref="C187">MEDIAN(IF(Tabela1[reg_procedencia]=A187,Tabela1[salario]))</f>
        <v>10.645</v>
      </c>
      <c r="D187" s="71"/>
      <c r="E187" s="71"/>
      <c r="F187" s="71"/>
      <c r="G187" s="71"/>
      <c r="H187" s="68"/>
      <c r="I187" s="85"/>
    </row>
    <row r="188" spans="1:15" ht="13.5" customHeight="1" x14ac:dyDescent="0.2">
      <c r="A188" s="52" t="s">
        <v>26</v>
      </c>
      <c r="B188" s="53">
        <f>AVERAGEIF(Tabela1[reg_procedencia],A188,Tabela1[salario])</f>
        <v>10.445384615384615</v>
      </c>
      <c r="C188" s="62" cm="1">
        <f t="array" ref="C188">MEDIAN(IF(Tabela1[reg_procedencia]=A188,Tabela1[salario]))</f>
        <v>9.8000000000000007</v>
      </c>
      <c r="D188" s="71"/>
      <c r="E188" s="71"/>
      <c r="F188" s="71"/>
      <c r="G188" s="71"/>
      <c r="H188" s="68"/>
      <c r="I188" s="85"/>
    </row>
    <row r="189" spans="1:15" ht="13.5" customHeight="1" x14ac:dyDescent="0.2">
      <c r="B189" s="34"/>
      <c r="C189" s="34"/>
      <c r="D189" s="34"/>
      <c r="E189" s="34"/>
      <c r="F189" s="34"/>
    </row>
    <row r="201" spans="2:15" ht="13.5" customHeight="1" x14ac:dyDescent="0.2">
      <c r="B201" s="136" t="s">
        <v>73</v>
      </c>
      <c r="C201" s="136"/>
      <c r="D201" s="136"/>
      <c r="E201" s="136"/>
      <c r="F201" s="136"/>
      <c r="G201" s="136"/>
      <c r="H201" s="136"/>
      <c r="I201" s="136"/>
      <c r="J201" s="136"/>
      <c r="K201" s="136"/>
      <c r="L201" s="136"/>
      <c r="M201" s="136"/>
      <c r="N201" s="136"/>
      <c r="O201" s="136"/>
    </row>
    <row r="202" spans="2:15" ht="13.5" customHeight="1" x14ac:dyDescent="0.2">
      <c r="B202" s="136"/>
      <c r="C202" s="136"/>
      <c r="D202" s="136"/>
      <c r="E202" s="136"/>
      <c r="F202" s="136"/>
      <c r="G202" s="136"/>
      <c r="H202" s="136"/>
      <c r="I202" s="136"/>
      <c r="J202" s="136"/>
      <c r="K202" s="136"/>
      <c r="L202" s="136"/>
      <c r="M202" s="136"/>
      <c r="N202" s="136"/>
      <c r="O202" s="136"/>
    </row>
    <row r="203" spans="2:15" ht="13.5" customHeight="1" x14ac:dyDescent="0.2">
      <c r="B203" s="136"/>
      <c r="C203" s="136"/>
      <c r="D203" s="136"/>
      <c r="E203" s="136"/>
      <c r="F203" s="136"/>
      <c r="G203" s="136"/>
      <c r="H203" s="136"/>
      <c r="I203" s="136"/>
      <c r="J203" s="136"/>
      <c r="K203" s="136"/>
      <c r="L203" s="136"/>
      <c r="M203" s="136"/>
      <c r="N203" s="136"/>
      <c r="O203" s="136"/>
    </row>
    <row r="204" spans="2:15" ht="13.5" customHeight="1" x14ac:dyDescent="0.2">
      <c r="B204" s="136"/>
      <c r="C204" s="136"/>
      <c r="D204" s="136"/>
      <c r="E204" s="136"/>
      <c r="F204" s="136"/>
      <c r="G204" s="136"/>
      <c r="H204" s="136"/>
      <c r="I204" s="136"/>
      <c r="J204" s="136"/>
      <c r="K204" s="136"/>
      <c r="L204" s="136"/>
      <c r="M204" s="136"/>
      <c r="N204" s="136"/>
      <c r="O204" s="136"/>
    </row>
    <row r="205" spans="2:15" ht="13.5" customHeight="1" x14ac:dyDescent="0.2">
      <c r="B205" s="136"/>
      <c r="C205" s="136"/>
      <c r="D205" s="136"/>
      <c r="E205" s="136"/>
      <c r="F205" s="136"/>
      <c r="G205" s="136"/>
      <c r="H205" s="136"/>
      <c r="I205" s="136"/>
      <c r="J205" s="136"/>
      <c r="K205" s="136"/>
      <c r="L205" s="136"/>
      <c r="M205" s="136"/>
      <c r="N205" s="136"/>
      <c r="O205" s="136"/>
    </row>
    <row r="206" spans="2:15" ht="13.5" customHeight="1" x14ac:dyDescent="0.2">
      <c r="B206" s="136"/>
      <c r="C206" s="136"/>
      <c r="D206" s="136"/>
      <c r="E206" s="136"/>
      <c r="F206" s="136"/>
      <c r="G206" s="136"/>
      <c r="H206" s="136"/>
      <c r="I206" s="136"/>
      <c r="J206" s="136"/>
      <c r="K206" s="136"/>
      <c r="L206" s="136"/>
      <c r="M206" s="136"/>
      <c r="N206" s="136"/>
      <c r="O206" s="136"/>
    </row>
    <row r="207" spans="2:15" ht="13.5" customHeight="1" x14ac:dyDescent="0.2">
      <c r="B207" s="136"/>
      <c r="C207" s="136"/>
      <c r="D207" s="136"/>
      <c r="E207" s="136"/>
      <c r="F207" s="136"/>
      <c r="G207" s="136"/>
      <c r="H207" s="136"/>
      <c r="I207" s="136"/>
      <c r="J207" s="136"/>
      <c r="K207" s="136"/>
      <c r="L207" s="136"/>
      <c r="M207" s="136"/>
      <c r="N207" s="136"/>
      <c r="O207" s="136"/>
    </row>
    <row r="208" spans="2:15" ht="13.5" customHeight="1" x14ac:dyDescent="0.2"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</row>
    <row r="212" spans="1:15" ht="13.5" customHeight="1" x14ac:dyDescent="0.2">
      <c r="O212" s="26"/>
    </row>
    <row r="215" spans="1:15" ht="12.75" x14ac:dyDescent="0.2">
      <c r="F215"/>
      <c r="G215"/>
    </row>
    <row r="216" spans="1:15" ht="12.75" x14ac:dyDescent="0.2">
      <c r="A216"/>
      <c r="B216"/>
      <c r="C216" s="91"/>
      <c r="D216" s="34"/>
    </row>
    <row r="217" spans="1:15" thickBot="1" x14ac:dyDescent="0.25">
      <c r="A217" s="83" t="s">
        <v>72</v>
      </c>
      <c r="B217" s="83" t="s">
        <v>78</v>
      </c>
      <c r="C217" s="83" t="s">
        <v>75</v>
      </c>
      <c r="D217" s="83" t="s">
        <v>74</v>
      </c>
      <c r="F217" s="63" t="s">
        <v>76</v>
      </c>
      <c r="G217" s="63" t="s">
        <v>61</v>
      </c>
      <c r="H217"/>
      <c r="I217"/>
      <c r="J217"/>
      <c r="K217"/>
      <c r="N217" s="135" t="s">
        <v>45</v>
      </c>
      <c r="O217" s="135"/>
    </row>
    <row r="218" spans="1:15" ht="12.75" x14ac:dyDescent="0.2">
      <c r="A218" s="24" t="s">
        <v>13</v>
      </c>
      <c r="B218" s="24" t="s">
        <v>79</v>
      </c>
      <c r="C218" s="24">
        <v>1</v>
      </c>
      <c r="D218" s="24">
        <v>20</v>
      </c>
      <c r="F218" s="63" t="s">
        <v>59</v>
      </c>
      <c r="G218" t="s">
        <v>79</v>
      </c>
      <c r="H218" t="s">
        <v>80</v>
      </c>
      <c r="I218" t="s">
        <v>81</v>
      </c>
      <c r="J218" t="s">
        <v>82</v>
      </c>
      <c r="K218" t="s">
        <v>60</v>
      </c>
      <c r="N218" s="26" t="s">
        <v>27</v>
      </c>
      <c r="O218" s="86">
        <f>AVERAGE(Tabela1[idade_anos])</f>
        <v>34.583333333333336</v>
      </c>
    </row>
    <row r="219" spans="1:15" ht="12.75" x14ac:dyDescent="0.2">
      <c r="A219" s="24" t="s">
        <v>13</v>
      </c>
      <c r="B219" s="24" t="s">
        <v>79</v>
      </c>
      <c r="C219" s="24">
        <v>1</v>
      </c>
      <c r="D219" s="24">
        <v>23</v>
      </c>
      <c r="F219" s="65" t="s">
        <v>11</v>
      </c>
      <c r="G219" s="64">
        <v>1</v>
      </c>
      <c r="H219" s="64">
        <v>5</v>
      </c>
      <c r="I219" s="64">
        <v>2</v>
      </c>
      <c r="J219" s="64">
        <v>3</v>
      </c>
      <c r="K219" s="64">
        <v>11</v>
      </c>
      <c r="N219" s="26" t="s">
        <v>21</v>
      </c>
      <c r="O219" s="86">
        <f>MEDIAN(Tabela1[idade_anos])</f>
        <v>34.5</v>
      </c>
    </row>
    <row r="220" spans="1:15" ht="12.75" x14ac:dyDescent="0.2">
      <c r="A220" s="24" t="s">
        <v>9</v>
      </c>
      <c r="B220" s="24" t="s">
        <v>79</v>
      </c>
      <c r="C220" s="24">
        <v>1</v>
      </c>
      <c r="D220" s="24">
        <v>25</v>
      </c>
      <c r="F220" s="65" t="s">
        <v>9</v>
      </c>
      <c r="G220" s="64">
        <v>5</v>
      </c>
      <c r="H220" s="64">
        <v>2</v>
      </c>
      <c r="I220" s="64">
        <v>3</v>
      </c>
      <c r="J220" s="64">
        <v>2</v>
      </c>
      <c r="K220" s="64">
        <v>12</v>
      </c>
      <c r="N220" s="30" t="s">
        <v>28</v>
      </c>
      <c r="O220" s="87">
        <f>MODE(Tabela1[idade_anos])</f>
        <v>26</v>
      </c>
    </row>
    <row r="221" spans="1:15" ht="12.75" x14ac:dyDescent="0.2">
      <c r="A221" s="24" t="s">
        <v>9</v>
      </c>
      <c r="B221" s="24" t="s">
        <v>79</v>
      </c>
      <c r="C221" s="24">
        <v>1</v>
      </c>
      <c r="D221" s="24">
        <v>26</v>
      </c>
      <c r="F221" s="65" t="s">
        <v>13</v>
      </c>
      <c r="G221" s="64">
        <v>4</v>
      </c>
      <c r="H221" s="64">
        <v>1</v>
      </c>
      <c r="I221" s="64">
        <v>5</v>
      </c>
      <c r="J221" s="64">
        <v>3</v>
      </c>
      <c r="K221" s="64">
        <v>13</v>
      </c>
      <c r="N221" s="31" t="s">
        <v>29</v>
      </c>
      <c r="O221" s="86">
        <f>QUARTILE(Tabela1[idade_anos],1)</f>
        <v>30</v>
      </c>
    </row>
    <row r="222" spans="1:15" ht="12.75" x14ac:dyDescent="0.2">
      <c r="A222" s="24" t="s">
        <v>13</v>
      </c>
      <c r="B222" s="24" t="s">
        <v>79</v>
      </c>
      <c r="C222" s="24">
        <v>1</v>
      </c>
      <c r="D222" s="24">
        <v>26</v>
      </c>
      <c r="F222" s="65" t="s">
        <v>60</v>
      </c>
      <c r="G222" s="64">
        <v>10</v>
      </c>
      <c r="H222" s="64">
        <v>8</v>
      </c>
      <c r="I222" s="64">
        <v>10</v>
      </c>
      <c r="J222" s="64">
        <v>8</v>
      </c>
      <c r="K222" s="64">
        <v>36</v>
      </c>
      <c r="N222" s="31" t="s">
        <v>30</v>
      </c>
      <c r="O222" s="86">
        <f>QUARTILE(Tabela1[idade_anos],2)</f>
        <v>34.5</v>
      </c>
    </row>
    <row r="223" spans="1:15" ht="12.75" x14ac:dyDescent="0.2">
      <c r="A223" s="24" t="s">
        <v>11</v>
      </c>
      <c r="B223" s="24" t="s">
        <v>79</v>
      </c>
      <c r="C223" s="24">
        <v>1</v>
      </c>
      <c r="D223" s="24">
        <v>27</v>
      </c>
      <c r="F223"/>
      <c r="G223"/>
      <c r="H223"/>
      <c r="N223" s="30" t="s">
        <v>31</v>
      </c>
      <c r="O223" s="87">
        <f>QUARTILE(Tabela1[idade_anos],3)</f>
        <v>40</v>
      </c>
    </row>
    <row r="224" spans="1:15" ht="12.75" x14ac:dyDescent="0.2">
      <c r="A224" s="24" t="s">
        <v>9</v>
      </c>
      <c r="B224" s="24" t="s">
        <v>79</v>
      </c>
      <c r="C224" s="24">
        <v>1</v>
      </c>
      <c r="D224" s="24">
        <v>28</v>
      </c>
      <c r="F224"/>
      <c r="G224"/>
      <c r="H224"/>
      <c r="N224" s="31" t="s">
        <v>32</v>
      </c>
      <c r="O224" s="86">
        <f>PERCENTILE(Tabela1[idade_anos],0.1)</f>
        <v>26</v>
      </c>
    </row>
    <row r="225" spans="1:15" ht="12.75" x14ac:dyDescent="0.2">
      <c r="A225" s="24" t="s">
        <v>9</v>
      </c>
      <c r="B225" s="24" t="s">
        <v>79</v>
      </c>
      <c r="C225" s="24">
        <v>1</v>
      </c>
      <c r="D225" s="24">
        <v>29</v>
      </c>
      <c r="F225"/>
      <c r="G225"/>
      <c r="H225"/>
      <c r="N225" s="31" t="s">
        <v>33</v>
      </c>
      <c r="O225" s="86">
        <f>MIN(Tabela1[idade_anos])</f>
        <v>20</v>
      </c>
    </row>
    <row r="226" spans="1:15" ht="12.75" x14ac:dyDescent="0.2">
      <c r="A226" s="24" t="s">
        <v>9</v>
      </c>
      <c r="B226" s="24" t="s">
        <v>79</v>
      </c>
      <c r="C226" s="24">
        <v>1</v>
      </c>
      <c r="D226" s="24">
        <v>30</v>
      </c>
      <c r="F226" s="92" t="s">
        <v>83</v>
      </c>
      <c r="G226" t="s">
        <v>79</v>
      </c>
      <c r="H226" t="s">
        <v>80</v>
      </c>
      <c r="I226" s="24" t="s">
        <v>81</v>
      </c>
      <c r="J226" s="24" t="s">
        <v>82</v>
      </c>
      <c r="N226" s="31" t="s">
        <v>34</v>
      </c>
      <c r="O226" s="86">
        <f>PERCENTILE(Tabela1[idade_anos],0.99)</f>
        <v>47.3</v>
      </c>
    </row>
    <row r="227" spans="1:15" ht="12.75" x14ac:dyDescent="0.2">
      <c r="A227" s="24" t="s">
        <v>13</v>
      </c>
      <c r="B227" s="24" t="s">
        <v>79</v>
      </c>
      <c r="C227" s="24">
        <v>1</v>
      </c>
      <c r="D227" s="24">
        <v>30</v>
      </c>
      <c r="F227" t="s">
        <v>11</v>
      </c>
      <c r="G227">
        <v>1</v>
      </c>
      <c r="H227">
        <v>5</v>
      </c>
      <c r="I227" s="24">
        <v>2</v>
      </c>
      <c r="J227" s="24">
        <v>3</v>
      </c>
      <c r="N227" s="30" t="s">
        <v>35</v>
      </c>
      <c r="O227" s="87">
        <f>MAX(Tabela1[idade_anos])</f>
        <v>48</v>
      </c>
    </row>
    <row r="228" spans="1:15" ht="12.75" x14ac:dyDescent="0.2">
      <c r="A228" s="24" t="s">
        <v>11</v>
      </c>
      <c r="B228" s="24" t="s">
        <v>80</v>
      </c>
      <c r="C228" s="24">
        <v>1</v>
      </c>
      <c r="D228" s="24">
        <v>31</v>
      </c>
      <c r="F228" t="s">
        <v>9</v>
      </c>
      <c r="G228">
        <v>5</v>
      </c>
      <c r="H228">
        <v>2</v>
      </c>
      <c r="I228" s="24">
        <v>3</v>
      </c>
      <c r="J228" s="24">
        <v>2</v>
      </c>
      <c r="N228" s="31"/>
      <c r="O228" s="86"/>
    </row>
    <row r="229" spans="1:15" ht="12.75" x14ac:dyDescent="0.2">
      <c r="A229" s="24" t="s">
        <v>13</v>
      </c>
      <c r="B229" s="24" t="s">
        <v>80</v>
      </c>
      <c r="C229" s="24">
        <v>1</v>
      </c>
      <c r="D229" s="24">
        <v>31</v>
      </c>
      <c r="F229" t="s">
        <v>13</v>
      </c>
      <c r="G229">
        <v>4</v>
      </c>
      <c r="H229">
        <v>1</v>
      </c>
      <c r="I229" s="24">
        <v>5</v>
      </c>
      <c r="J229" s="24">
        <v>3</v>
      </c>
      <c r="N229" s="37" t="s">
        <v>36</v>
      </c>
      <c r="O229" s="88">
        <f>O223+(1.5*O238)</f>
        <v>55</v>
      </c>
    </row>
    <row r="230" spans="1:15" ht="12.75" x14ac:dyDescent="0.2">
      <c r="A230" s="24" t="s">
        <v>11</v>
      </c>
      <c r="B230" s="24" t="s">
        <v>80</v>
      </c>
      <c r="C230" s="24">
        <v>1</v>
      </c>
      <c r="D230" s="24">
        <v>32</v>
      </c>
      <c r="F230"/>
      <c r="G230"/>
      <c r="H230"/>
      <c r="N230" s="38" t="s">
        <v>37</v>
      </c>
      <c r="O230" s="87">
        <f>O221-(1.5*O238)</f>
        <v>15</v>
      </c>
    </row>
    <row r="231" spans="1:15" ht="12.75" x14ac:dyDescent="0.2">
      <c r="A231" s="24" t="s">
        <v>9</v>
      </c>
      <c r="B231" s="24" t="s">
        <v>80</v>
      </c>
      <c r="C231" s="24">
        <v>1</v>
      </c>
      <c r="D231" s="24">
        <v>32</v>
      </c>
      <c r="F231" s="92" t="s">
        <v>83</v>
      </c>
      <c r="G231" s="93" t="s">
        <v>84</v>
      </c>
      <c r="H231" s="93" t="s">
        <v>85</v>
      </c>
      <c r="N231" s="31"/>
      <c r="O231" s="29"/>
    </row>
    <row r="232" spans="1:15" ht="12.75" x14ac:dyDescent="0.2">
      <c r="A232" s="24" t="s">
        <v>11</v>
      </c>
      <c r="B232" s="24" t="s">
        <v>80</v>
      </c>
      <c r="C232" s="24">
        <v>1</v>
      </c>
      <c r="D232" s="24">
        <v>33</v>
      </c>
      <c r="F232" t="s">
        <v>11</v>
      </c>
      <c r="G232" s="94">
        <f>G227+H227</f>
        <v>6</v>
      </c>
      <c r="H232" s="94">
        <f>I227+J227</f>
        <v>5</v>
      </c>
      <c r="N232" s="31"/>
      <c r="O232" s="29"/>
    </row>
    <row r="233" spans="1:15" thickBot="1" x14ac:dyDescent="0.25">
      <c r="A233" s="24" t="s">
        <v>9</v>
      </c>
      <c r="B233" s="24" t="s">
        <v>80</v>
      </c>
      <c r="C233" s="24">
        <v>1</v>
      </c>
      <c r="D233" s="24">
        <v>33</v>
      </c>
      <c r="F233" t="s">
        <v>9</v>
      </c>
      <c r="G233" s="94">
        <f>G228+H228</f>
        <v>7</v>
      </c>
      <c r="H233" s="94">
        <f>I228+J228</f>
        <v>5</v>
      </c>
      <c r="N233" s="135" t="s">
        <v>46</v>
      </c>
      <c r="O233" s="135"/>
    </row>
    <row r="234" spans="1:15" ht="12.75" x14ac:dyDescent="0.2">
      <c r="A234" s="24" t="s">
        <v>11</v>
      </c>
      <c r="B234" s="24" t="s">
        <v>80</v>
      </c>
      <c r="C234" s="24">
        <v>2</v>
      </c>
      <c r="D234" s="24">
        <v>34</v>
      </c>
      <c r="F234" t="s">
        <v>13</v>
      </c>
      <c r="G234" s="94">
        <f>G229+H229</f>
        <v>5</v>
      </c>
      <c r="H234" s="94">
        <f>I229+J229</f>
        <v>8</v>
      </c>
      <c r="N234" s="25" t="s">
        <v>38</v>
      </c>
      <c r="O234" s="29">
        <f>STDEVA(Tabela1[idade_anos])</f>
        <v>6.7374221437325081</v>
      </c>
    </row>
    <row r="235" spans="1:15" ht="12.75" x14ac:dyDescent="0.2">
      <c r="A235" s="24" t="s">
        <v>11</v>
      </c>
      <c r="B235" s="24" t="s">
        <v>81</v>
      </c>
      <c r="C235" s="24">
        <v>1</v>
      </c>
      <c r="D235" s="24">
        <v>35</v>
      </c>
      <c r="N235" s="25" t="s">
        <v>39</v>
      </c>
      <c r="O235" s="29">
        <f>O234^2</f>
        <v>45.392857142857146</v>
      </c>
    </row>
    <row r="236" spans="1:15" ht="12.75" x14ac:dyDescent="0.2">
      <c r="A236" s="24" t="s">
        <v>13</v>
      </c>
      <c r="B236" s="24" t="s">
        <v>81</v>
      </c>
      <c r="C236" s="24">
        <v>1</v>
      </c>
      <c r="D236" s="24">
        <v>35</v>
      </c>
      <c r="N236" s="25" t="s">
        <v>40</v>
      </c>
      <c r="O236" s="29">
        <f>MAX(Tabela1[idade_anos])</f>
        <v>48</v>
      </c>
    </row>
    <row r="237" spans="1:15" ht="12.75" x14ac:dyDescent="0.2">
      <c r="A237" s="24" t="s">
        <v>11</v>
      </c>
      <c r="B237" s="24" t="s">
        <v>81</v>
      </c>
      <c r="C237" s="24">
        <v>1</v>
      </c>
      <c r="D237" s="24">
        <v>36</v>
      </c>
      <c r="N237" s="25" t="s">
        <v>33</v>
      </c>
      <c r="O237" s="29">
        <f>MIN(Tabela1[idade_anos])</f>
        <v>20</v>
      </c>
    </row>
    <row r="238" spans="1:15" ht="12.75" x14ac:dyDescent="0.2">
      <c r="A238" s="24" t="s">
        <v>9</v>
      </c>
      <c r="B238" s="24" t="s">
        <v>81</v>
      </c>
      <c r="C238" s="24">
        <v>1</v>
      </c>
      <c r="D238" s="24">
        <v>36</v>
      </c>
      <c r="N238" s="25" t="s">
        <v>41</v>
      </c>
      <c r="O238" s="29">
        <f>O223-O221</f>
        <v>10</v>
      </c>
    </row>
    <row r="239" spans="1:15" ht="12.75" x14ac:dyDescent="0.2">
      <c r="A239" s="24" t="s">
        <v>9</v>
      </c>
      <c r="B239" s="24" t="s">
        <v>81</v>
      </c>
      <c r="C239" s="24">
        <v>1</v>
      </c>
      <c r="D239" s="24">
        <v>37</v>
      </c>
      <c r="N239" s="25" t="s">
        <v>42</v>
      </c>
      <c r="O239" s="29">
        <f>O236-O237</f>
        <v>28</v>
      </c>
    </row>
    <row r="240" spans="1:15" ht="12.75" x14ac:dyDescent="0.2">
      <c r="A240" s="24" t="s">
        <v>13</v>
      </c>
      <c r="B240" s="24" t="s">
        <v>81</v>
      </c>
      <c r="C240" s="24">
        <v>1</v>
      </c>
      <c r="D240" s="24">
        <v>37</v>
      </c>
      <c r="N240" s="36" t="s">
        <v>43</v>
      </c>
      <c r="O240" s="89">
        <f>(O234/O218)*100</f>
        <v>19.481702584286769</v>
      </c>
    </row>
    <row r="241" spans="1:15" ht="12.75" x14ac:dyDescent="0.2">
      <c r="A241" s="24" t="s">
        <v>13</v>
      </c>
      <c r="B241" s="24" t="s">
        <v>81</v>
      </c>
      <c r="C241" s="24">
        <v>1</v>
      </c>
      <c r="D241" s="24">
        <v>38</v>
      </c>
      <c r="O241" s="44"/>
    </row>
    <row r="242" spans="1:15" ht="12.75" x14ac:dyDescent="0.2">
      <c r="A242" s="24" t="s">
        <v>13</v>
      </c>
      <c r="B242" s="24" t="s">
        <v>81</v>
      </c>
      <c r="C242" s="24">
        <v>1</v>
      </c>
      <c r="D242" s="24">
        <v>39</v>
      </c>
      <c r="N242" s="24" t="s">
        <v>44</v>
      </c>
      <c r="O242" s="90">
        <f>SKEW(Tabela1[idade_anos])</f>
        <v>-6.7111576637604892E-2</v>
      </c>
    </row>
    <row r="243" spans="1:15" ht="12.75" x14ac:dyDescent="0.2">
      <c r="A243" s="24" t="s">
        <v>9</v>
      </c>
      <c r="B243" s="24" t="s">
        <v>81</v>
      </c>
      <c r="C243" s="24">
        <v>1</v>
      </c>
      <c r="D243" s="24">
        <v>40</v>
      </c>
    </row>
    <row r="244" spans="1:15" ht="12.75" x14ac:dyDescent="0.2">
      <c r="A244" s="24" t="s">
        <v>13</v>
      </c>
      <c r="B244" s="24" t="s">
        <v>81</v>
      </c>
      <c r="C244" s="24">
        <v>1</v>
      </c>
      <c r="D244" s="24">
        <v>40</v>
      </c>
    </row>
    <row r="245" spans="1:15" ht="12.75" x14ac:dyDescent="0.2">
      <c r="A245" s="24" t="s">
        <v>9</v>
      </c>
      <c r="B245" s="24" t="s">
        <v>82</v>
      </c>
      <c r="C245" s="24">
        <v>1</v>
      </c>
      <c r="D245" s="24">
        <v>41</v>
      </c>
    </row>
    <row r="246" spans="1:15" ht="12.75" x14ac:dyDescent="0.2">
      <c r="A246" s="24" t="s">
        <v>13</v>
      </c>
      <c r="B246" s="24" t="s">
        <v>82</v>
      </c>
      <c r="C246" s="24">
        <v>1</v>
      </c>
      <c r="D246" s="24">
        <v>41</v>
      </c>
    </row>
    <row r="247" spans="1:15" ht="12.75" x14ac:dyDescent="0.2">
      <c r="A247" s="24" t="s">
        <v>9</v>
      </c>
      <c r="B247" s="24" t="s">
        <v>82</v>
      </c>
      <c r="C247" s="24">
        <v>1</v>
      </c>
      <c r="D247" s="24">
        <v>42</v>
      </c>
    </row>
    <row r="248" spans="1:15" ht="12.75" x14ac:dyDescent="0.2">
      <c r="A248" s="24" t="s">
        <v>11</v>
      </c>
      <c r="B248" s="24" t="s">
        <v>82</v>
      </c>
      <c r="C248" s="24">
        <v>2</v>
      </c>
      <c r="D248" s="24">
        <v>43</v>
      </c>
    </row>
    <row r="249" spans="1:15" ht="12.75" x14ac:dyDescent="0.2">
      <c r="A249" s="24" t="s">
        <v>13</v>
      </c>
      <c r="B249" s="24" t="s">
        <v>82</v>
      </c>
      <c r="C249" s="24">
        <v>1</v>
      </c>
      <c r="D249" s="24">
        <v>44</v>
      </c>
    </row>
    <row r="250" spans="1:15" ht="12.75" x14ac:dyDescent="0.2">
      <c r="A250" s="24" t="s">
        <v>13</v>
      </c>
      <c r="B250" s="24" t="s">
        <v>82</v>
      </c>
      <c r="C250" s="24">
        <v>1</v>
      </c>
      <c r="D250" s="24">
        <v>46</v>
      </c>
    </row>
    <row r="251" spans="1:15" ht="12.75" x14ac:dyDescent="0.2">
      <c r="A251" s="24" t="s">
        <v>11</v>
      </c>
      <c r="B251" s="24" t="s">
        <v>82</v>
      </c>
      <c r="C251" s="24">
        <v>1</v>
      </c>
      <c r="D251" s="24">
        <v>48</v>
      </c>
    </row>
    <row r="255" spans="1:15" ht="13.5" customHeight="1" x14ac:dyDescent="0.2">
      <c r="B255" s="136" t="s">
        <v>86</v>
      </c>
      <c r="C255" s="136"/>
      <c r="D255" s="136"/>
      <c r="E255" s="136"/>
      <c r="F255" s="136"/>
      <c r="G255" s="136"/>
      <c r="H255" s="136"/>
      <c r="I255" s="136"/>
      <c r="J255" s="136"/>
      <c r="K255" s="136"/>
      <c r="L255" s="136"/>
      <c r="M255" s="136"/>
      <c r="N255" s="136"/>
    </row>
    <row r="256" spans="1:15" ht="13.5" customHeight="1" x14ac:dyDescent="0.2">
      <c r="B256" s="136"/>
      <c r="C256" s="136"/>
      <c r="D256" s="136"/>
      <c r="E256" s="136"/>
      <c r="F256" s="136"/>
      <c r="G256" s="136"/>
      <c r="H256" s="136"/>
      <c r="I256" s="136"/>
      <c r="J256" s="136"/>
      <c r="K256" s="136"/>
      <c r="L256" s="136"/>
      <c r="M256" s="136"/>
      <c r="N256" s="136"/>
    </row>
    <row r="257" spans="1:15" ht="13.5" customHeight="1" x14ac:dyDescent="0.2">
      <c r="B257" s="136"/>
      <c r="C257" s="136"/>
      <c r="D257" s="136"/>
      <c r="E257" s="136"/>
      <c r="F257" s="136"/>
      <c r="G257" s="136"/>
      <c r="H257" s="136"/>
      <c r="I257" s="136"/>
      <c r="J257" s="136"/>
      <c r="K257" s="136"/>
      <c r="L257" s="136"/>
      <c r="M257" s="136"/>
      <c r="N257" s="136"/>
    </row>
    <row r="258" spans="1:15" ht="13.5" customHeight="1" x14ac:dyDescent="0.2">
      <c r="B258" s="136"/>
      <c r="C258" s="136"/>
      <c r="D258" s="136"/>
      <c r="E258" s="136"/>
      <c r="F258" s="136"/>
      <c r="G258" s="136"/>
      <c r="H258" s="136"/>
      <c r="I258" s="136"/>
      <c r="J258" s="136"/>
      <c r="K258" s="136"/>
      <c r="L258" s="136"/>
      <c r="M258" s="136"/>
      <c r="N258" s="136"/>
    </row>
    <row r="259" spans="1:15" ht="13.5" customHeight="1" x14ac:dyDescent="0.2">
      <c r="B259" s="136"/>
      <c r="C259" s="136"/>
      <c r="D259" s="136"/>
      <c r="E259" s="136"/>
      <c r="F259" s="136"/>
      <c r="G259" s="136"/>
      <c r="H259" s="136"/>
      <c r="I259" s="136"/>
      <c r="J259" s="136"/>
      <c r="K259" s="136"/>
      <c r="L259" s="136"/>
      <c r="M259" s="136"/>
      <c r="N259" s="136"/>
    </row>
    <row r="260" spans="1:15" ht="13.5" customHeight="1" x14ac:dyDescent="0.2">
      <c r="B260" s="136"/>
      <c r="C260" s="136"/>
      <c r="D260" s="136"/>
      <c r="E260" s="136"/>
      <c r="F260" s="136"/>
      <c r="G260" s="136"/>
      <c r="H260" s="136"/>
      <c r="I260" s="136"/>
      <c r="J260" s="136"/>
      <c r="K260" s="136"/>
      <c r="L260" s="136"/>
      <c r="M260" s="136"/>
      <c r="N260" s="136"/>
    </row>
    <row r="261" spans="1:15" ht="13.5" customHeight="1" x14ac:dyDescent="0.2">
      <c r="B261" s="136"/>
      <c r="C261" s="136"/>
      <c r="D261" s="136"/>
      <c r="E261" s="136"/>
      <c r="F261" s="136"/>
      <c r="G261" s="136"/>
      <c r="H261" s="136"/>
      <c r="I261" s="136"/>
      <c r="J261" s="136"/>
      <c r="K261" s="136"/>
      <c r="L261" s="136"/>
      <c r="M261" s="136"/>
      <c r="N261" s="136"/>
    </row>
    <row r="266" spans="1:15" ht="13.5" customHeight="1" x14ac:dyDescent="0.2">
      <c r="O266" s="26"/>
    </row>
    <row r="270" spans="1:15" ht="12.75" x14ac:dyDescent="0.2">
      <c r="A270" s="63" t="s">
        <v>59</v>
      </c>
      <c r="B270" t="s">
        <v>87</v>
      </c>
      <c r="C270"/>
      <c r="D270" s="83" t="s">
        <v>16</v>
      </c>
      <c r="E270" s="83" t="s">
        <v>88</v>
      </c>
      <c r="F270" s="83" t="s">
        <v>87</v>
      </c>
    </row>
    <row r="271" spans="1:15" thickBot="1" x14ac:dyDescent="0.25">
      <c r="A271" s="65">
        <v>20</v>
      </c>
      <c r="B271" s="64"/>
      <c r="C271"/>
      <c r="D271" s="24">
        <v>26</v>
      </c>
      <c r="E271" s="24" t="s">
        <v>79</v>
      </c>
      <c r="F271" s="24">
        <v>0</v>
      </c>
      <c r="I271" s="135" t="s">
        <v>45</v>
      </c>
      <c r="J271" s="135"/>
    </row>
    <row r="272" spans="1:15" ht="12.75" x14ac:dyDescent="0.2">
      <c r="A272" s="65">
        <v>23</v>
      </c>
      <c r="B272" s="64"/>
      <c r="C272"/>
      <c r="D272" s="24">
        <v>28</v>
      </c>
      <c r="E272" s="24" t="s">
        <v>79</v>
      </c>
      <c r="F272" s="24">
        <v>0</v>
      </c>
      <c r="I272" s="26" t="s">
        <v>27</v>
      </c>
      <c r="J272" s="86">
        <f>AVERAGE(Tabela1[idade_anos])</f>
        <v>34.583333333333336</v>
      </c>
    </row>
    <row r="273" spans="1:10" ht="12.75" x14ac:dyDescent="0.2">
      <c r="A273" s="65">
        <v>25</v>
      </c>
      <c r="B273" s="64"/>
      <c r="C273"/>
      <c r="D273" s="24">
        <v>29</v>
      </c>
      <c r="E273" s="24" t="s">
        <v>79</v>
      </c>
      <c r="F273" s="24">
        <v>0</v>
      </c>
      <c r="I273" s="26" t="s">
        <v>21</v>
      </c>
      <c r="J273" s="86">
        <f>MEDIAN(Tabela1[idade_anos])</f>
        <v>34.5</v>
      </c>
    </row>
    <row r="274" spans="1:10" ht="12.75" x14ac:dyDescent="0.2">
      <c r="A274" s="65">
        <v>26</v>
      </c>
      <c r="B274" s="64">
        <v>0</v>
      </c>
      <c r="C274"/>
      <c r="D274" s="24">
        <v>30</v>
      </c>
      <c r="E274" s="24" t="s">
        <v>79</v>
      </c>
      <c r="F274" s="24">
        <v>1</v>
      </c>
      <c r="I274" s="30" t="s">
        <v>28</v>
      </c>
      <c r="J274" s="87">
        <f>MODE(Tabela1[idade_anos])</f>
        <v>26</v>
      </c>
    </row>
    <row r="275" spans="1:10" ht="12.75" x14ac:dyDescent="0.2">
      <c r="A275" s="65">
        <v>27</v>
      </c>
      <c r="B275" s="64"/>
      <c r="C275"/>
      <c r="D275" s="24">
        <v>31</v>
      </c>
      <c r="E275" s="24" t="s">
        <v>80</v>
      </c>
      <c r="F275" s="24">
        <v>1</v>
      </c>
      <c r="I275" s="31" t="s">
        <v>29</v>
      </c>
      <c r="J275" s="86">
        <f>QUARTILE(Tabela1[idade_anos],1)</f>
        <v>30</v>
      </c>
    </row>
    <row r="276" spans="1:10" ht="12.75" x14ac:dyDescent="0.2">
      <c r="A276" s="65">
        <v>28</v>
      </c>
      <c r="B276" s="64">
        <v>0</v>
      </c>
      <c r="C276"/>
      <c r="D276" s="24">
        <v>32</v>
      </c>
      <c r="E276" s="24" t="s">
        <v>80</v>
      </c>
      <c r="F276" s="24">
        <v>3</v>
      </c>
      <c r="I276" s="31" t="s">
        <v>30</v>
      </c>
      <c r="J276" s="86">
        <f>QUARTILE(Tabela1[idade_anos],2)</f>
        <v>34.5</v>
      </c>
    </row>
    <row r="277" spans="1:10" ht="12.75" x14ac:dyDescent="0.2">
      <c r="A277" s="65">
        <v>29</v>
      </c>
      <c r="B277" s="64">
        <v>0</v>
      </c>
      <c r="C277"/>
      <c r="D277" s="24">
        <v>33</v>
      </c>
      <c r="E277" s="24" t="s">
        <v>80</v>
      </c>
      <c r="F277" s="24">
        <v>2</v>
      </c>
      <c r="I277" s="30" t="s">
        <v>31</v>
      </c>
      <c r="J277" s="87">
        <f>QUARTILE(Tabela1[idade_anos],3)</f>
        <v>40</v>
      </c>
    </row>
    <row r="278" spans="1:10" ht="12.75" x14ac:dyDescent="0.2">
      <c r="A278" s="65">
        <v>30</v>
      </c>
      <c r="B278" s="64">
        <v>1</v>
      </c>
      <c r="C278"/>
      <c r="D278" s="24">
        <v>34</v>
      </c>
      <c r="E278" s="24" t="s">
        <v>80</v>
      </c>
      <c r="F278" s="24">
        <v>1</v>
      </c>
      <c r="I278" s="31" t="s">
        <v>32</v>
      </c>
      <c r="J278" s="86">
        <f>PERCENTILE(Tabela1[idade_anos],0.1)</f>
        <v>26</v>
      </c>
    </row>
    <row r="279" spans="1:10" ht="12.75" x14ac:dyDescent="0.2">
      <c r="A279" s="65">
        <v>31</v>
      </c>
      <c r="B279" s="64">
        <v>1</v>
      </c>
      <c r="C279"/>
      <c r="D279" s="24">
        <v>35</v>
      </c>
      <c r="E279" s="24" t="s">
        <v>81</v>
      </c>
      <c r="F279" s="24">
        <v>4</v>
      </c>
      <c r="I279" s="31" t="s">
        <v>33</v>
      </c>
      <c r="J279" s="86">
        <f>MIN(Tabela1[idade_anos])</f>
        <v>20</v>
      </c>
    </row>
    <row r="280" spans="1:10" ht="12.75" x14ac:dyDescent="0.2">
      <c r="A280" s="65">
        <v>32</v>
      </c>
      <c r="B280" s="64">
        <v>3</v>
      </c>
      <c r="C280"/>
      <c r="D280" s="24">
        <v>36</v>
      </c>
      <c r="E280" s="24" t="s">
        <v>81</v>
      </c>
      <c r="F280" s="24">
        <v>3</v>
      </c>
      <c r="I280" s="31" t="s">
        <v>34</v>
      </c>
      <c r="J280" s="86">
        <f>PERCENTILE(Tabela1[idade_anos],0.99)</f>
        <v>47.3</v>
      </c>
    </row>
    <row r="281" spans="1:10" ht="12.75" x14ac:dyDescent="0.2">
      <c r="A281" s="65">
        <v>33</v>
      </c>
      <c r="B281" s="64">
        <v>2</v>
      </c>
      <c r="C281"/>
      <c r="D281" s="24">
        <v>39</v>
      </c>
      <c r="E281" s="24" t="s">
        <v>81</v>
      </c>
      <c r="F281" s="24">
        <v>2</v>
      </c>
      <c r="I281" s="30" t="s">
        <v>35</v>
      </c>
      <c r="J281" s="87">
        <f>MAX(Tabela1[idade_anos])</f>
        <v>48</v>
      </c>
    </row>
    <row r="282" spans="1:10" ht="12.75" x14ac:dyDescent="0.2">
      <c r="A282" s="65">
        <v>34</v>
      </c>
      <c r="B282" s="64">
        <v>1</v>
      </c>
      <c r="C282"/>
      <c r="D282" s="24">
        <v>40</v>
      </c>
      <c r="E282" s="24" t="s">
        <v>81</v>
      </c>
      <c r="F282" s="24">
        <v>5</v>
      </c>
      <c r="I282" s="31"/>
      <c r="J282" s="86"/>
    </row>
    <row r="283" spans="1:10" ht="12.75" x14ac:dyDescent="0.2">
      <c r="A283" s="65">
        <v>35</v>
      </c>
      <c r="B283" s="64">
        <v>4</v>
      </c>
      <c r="C283"/>
      <c r="D283" s="24">
        <v>42</v>
      </c>
      <c r="E283" s="24" t="s">
        <v>82</v>
      </c>
      <c r="F283" s="24">
        <v>3</v>
      </c>
      <c r="I283" s="37" t="s">
        <v>36</v>
      </c>
      <c r="J283" s="88">
        <f>J277+(1.5*J292)</f>
        <v>40</v>
      </c>
    </row>
    <row r="284" spans="1:10" ht="12.75" x14ac:dyDescent="0.2">
      <c r="A284" s="65">
        <v>36</v>
      </c>
      <c r="B284" s="64">
        <v>3</v>
      </c>
      <c r="C284"/>
      <c r="D284" s="24">
        <v>43</v>
      </c>
      <c r="E284" s="24" t="s">
        <v>82</v>
      </c>
      <c r="F284" s="24">
        <v>3</v>
      </c>
      <c r="I284" s="38" t="s">
        <v>37</v>
      </c>
      <c r="J284" s="87">
        <f>J275-(1.5*J292)</f>
        <v>30</v>
      </c>
    </row>
    <row r="285" spans="1:10" ht="12.75" x14ac:dyDescent="0.2">
      <c r="A285" s="65">
        <v>37</v>
      </c>
      <c r="B285" s="64"/>
      <c r="C285"/>
      <c r="D285" s="24">
        <v>44</v>
      </c>
      <c r="E285" s="24" t="s">
        <v>82</v>
      </c>
      <c r="F285" s="24">
        <v>3</v>
      </c>
    </row>
    <row r="286" spans="1:10" ht="12.75" x14ac:dyDescent="0.2">
      <c r="A286" s="65">
        <v>38</v>
      </c>
      <c r="B286" s="64"/>
      <c r="C286"/>
      <c r="D286" s="24">
        <v>48</v>
      </c>
      <c r="E286" s="24" t="s">
        <v>82</v>
      </c>
      <c r="F286" s="24">
        <v>2</v>
      </c>
    </row>
    <row r="287" spans="1:10" ht="12.75" x14ac:dyDescent="0.2">
      <c r="A287" s="65">
        <v>39</v>
      </c>
      <c r="B287" s="64">
        <v>2</v>
      </c>
      <c r="C287"/>
      <c r="I287" s="24" t="s">
        <v>93</v>
      </c>
      <c r="J287" s="24">
        <v>20</v>
      </c>
    </row>
    <row r="288" spans="1:10" ht="12.75" x14ac:dyDescent="0.2">
      <c r="A288" s="65">
        <v>40</v>
      </c>
      <c r="B288" s="64">
        <v>5</v>
      </c>
      <c r="C288" s="82"/>
      <c r="D288" s="83" t="s">
        <v>88</v>
      </c>
      <c r="E288" s="83" t="s">
        <v>89</v>
      </c>
      <c r="F288" s="83" t="s">
        <v>90</v>
      </c>
      <c r="I288" s="24" t="s">
        <v>92</v>
      </c>
      <c r="J288" s="24">
        <v>36</v>
      </c>
    </row>
    <row r="289" spans="1:17" ht="12.75" x14ac:dyDescent="0.2">
      <c r="A289" s="65">
        <v>41</v>
      </c>
      <c r="B289" s="64"/>
      <c r="C289" s="82"/>
      <c r="D289" s="24" t="s">
        <v>84</v>
      </c>
      <c r="E289" s="24">
        <f>SUM(F271:F278)</f>
        <v>8</v>
      </c>
      <c r="F289" s="58">
        <f>E289/E291</f>
        <v>0.24242424242424243</v>
      </c>
      <c r="I289" s="24" t="s">
        <v>94</v>
      </c>
      <c r="J289" s="58">
        <f>J287/J288</f>
        <v>0.55555555555555558</v>
      </c>
    </row>
    <row r="290" spans="1:17" ht="12.75" x14ac:dyDescent="0.2">
      <c r="A290" s="65">
        <v>42</v>
      </c>
      <c r="B290" s="64">
        <v>3</v>
      </c>
      <c r="C290" s="82"/>
      <c r="D290" s="24" t="s">
        <v>85</v>
      </c>
      <c r="E290" s="24">
        <f>SUM(F279:F286)</f>
        <v>25</v>
      </c>
      <c r="F290" s="58">
        <f>E290/E291</f>
        <v>0.75757575757575757</v>
      </c>
      <c r="J290" s="95">
        <v>1</v>
      </c>
    </row>
    <row r="291" spans="1:17" ht="12.75" x14ac:dyDescent="0.2">
      <c r="A291" s="65">
        <v>43</v>
      </c>
      <c r="B291" s="64">
        <v>3</v>
      </c>
      <c r="C291" s="82"/>
      <c r="D291" s="24" t="s">
        <v>91</v>
      </c>
      <c r="E291" s="24">
        <f>SUM(E289:E290)</f>
        <v>33</v>
      </c>
      <c r="F291" s="95">
        <f>SUM(F289:F290)</f>
        <v>1</v>
      </c>
      <c r="I291" s="96" t="s">
        <v>95</v>
      </c>
      <c r="J291" s="97">
        <f>J290-J289</f>
        <v>0.44444444444444442</v>
      </c>
    </row>
    <row r="292" spans="1:17" ht="12.75" x14ac:dyDescent="0.2">
      <c r="A292" s="65">
        <v>44</v>
      </c>
      <c r="B292" s="64">
        <v>3</v>
      </c>
      <c r="C292" s="82"/>
    </row>
    <row r="293" spans="1:17" ht="12.75" x14ac:dyDescent="0.2">
      <c r="A293" s="65">
        <v>46</v>
      </c>
      <c r="B293" s="64"/>
      <c r="C293" s="82"/>
    </row>
    <row r="294" spans="1:17" ht="12.75" x14ac:dyDescent="0.2">
      <c r="A294" s="65">
        <v>48</v>
      </c>
      <c r="B294" s="64">
        <v>2</v>
      </c>
      <c r="C294" s="82"/>
    </row>
    <row r="295" spans="1:17" ht="12.75" x14ac:dyDescent="0.2">
      <c r="A295" s="65" t="s">
        <v>60</v>
      </c>
      <c r="B295" s="64">
        <v>33</v>
      </c>
      <c r="C295" s="82"/>
    </row>
    <row r="296" spans="1:17" ht="12.75" x14ac:dyDescent="0.2">
      <c r="A296" s="82"/>
      <c r="B296" s="82"/>
      <c r="C296" s="82"/>
    </row>
    <row r="297" spans="1:17" ht="12.75" x14ac:dyDescent="0.2">
      <c r="A297" s="82"/>
      <c r="B297" s="82"/>
      <c r="C297" s="82"/>
    </row>
    <row r="301" spans="1:17" ht="13.5" customHeight="1" x14ac:dyDescent="0.2">
      <c r="B301" s="136" t="s">
        <v>96</v>
      </c>
      <c r="C301" s="136"/>
      <c r="D301" s="136"/>
      <c r="E301" s="136"/>
      <c r="F301" s="136"/>
      <c r="G301" s="136"/>
      <c r="H301" s="136"/>
      <c r="I301" s="136"/>
      <c r="J301" s="136"/>
      <c r="K301" s="136"/>
      <c r="L301" s="136"/>
      <c r="M301" s="136"/>
      <c r="N301" s="136"/>
      <c r="O301" s="136"/>
      <c r="P301" s="136"/>
      <c r="Q301" s="136"/>
    </row>
    <row r="302" spans="1:17" ht="13.5" customHeight="1" x14ac:dyDescent="0.2">
      <c r="B302" s="136"/>
      <c r="C302" s="136"/>
      <c r="D302" s="136"/>
      <c r="E302" s="136"/>
      <c r="F302" s="136"/>
      <c r="G302" s="136"/>
      <c r="H302" s="136"/>
      <c r="I302" s="136"/>
      <c r="J302" s="136"/>
      <c r="K302" s="136"/>
      <c r="L302" s="136"/>
      <c r="M302" s="136"/>
      <c r="N302" s="136"/>
      <c r="O302" s="136"/>
      <c r="P302" s="136"/>
      <c r="Q302" s="136"/>
    </row>
    <row r="303" spans="1:17" ht="13.5" customHeight="1" x14ac:dyDescent="0.2">
      <c r="B303" s="136"/>
      <c r="C303" s="136"/>
      <c r="D303" s="136"/>
      <c r="E303" s="136"/>
      <c r="F303" s="136"/>
      <c r="G303" s="136"/>
      <c r="H303" s="136"/>
      <c r="I303" s="136"/>
      <c r="J303" s="136"/>
      <c r="K303" s="136"/>
      <c r="L303" s="136"/>
      <c r="M303" s="136"/>
      <c r="N303" s="136"/>
      <c r="O303" s="136"/>
      <c r="P303" s="136"/>
      <c r="Q303" s="136"/>
    </row>
    <row r="304" spans="1:17" ht="13.5" customHeight="1" x14ac:dyDescent="0.2">
      <c r="B304" s="136"/>
      <c r="C304" s="136"/>
      <c r="D304" s="136"/>
      <c r="E304" s="136"/>
      <c r="F304" s="136"/>
      <c r="G304" s="136"/>
      <c r="H304" s="136"/>
      <c r="I304" s="136"/>
      <c r="J304" s="136"/>
      <c r="K304" s="136"/>
      <c r="L304" s="136"/>
      <c r="M304" s="136"/>
      <c r="N304" s="136"/>
      <c r="O304" s="136"/>
      <c r="P304" s="136"/>
      <c r="Q304" s="136"/>
    </row>
    <row r="305" spans="1:17" ht="13.5" customHeight="1" x14ac:dyDescent="0.2">
      <c r="B305" s="136"/>
      <c r="C305" s="136"/>
      <c r="D305" s="136"/>
      <c r="E305" s="136"/>
      <c r="F305" s="136"/>
      <c r="G305" s="136"/>
      <c r="H305" s="136"/>
      <c r="I305" s="136"/>
      <c r="J305" s="136"/>
      <c r="K305" s="136"/>
      <c r="L305" s="136"/>
      <c r="M305" s="136"/>
      <c r="N305" s="136"/>
      <c r="O305" s="136"/>
      <c r="P305" s="136"/>
      <c r="Q305" s="136"/>
    </row>
    <row r="306" spans="1:17" ht="13.5" customHeight="1" x14ac:dyDescent="0.2">
      <c r="B306" s="136"/>
      <c r="C306" s="136"/>
      <c r="D306" s="136"/>
      <c r="E306" s="136"/>
      <c r="F306" s="136"/>
      <c r="G306" s="136"/>
      <c r="H306" s="136"/>
      <c r="I306" s="136"/>
      <c r="J306" s="136"/>
      <c r="K306" s="136"/>
      <c r="L306" s="136"/>
      <c r="M306" s="136"/>
      <c r="N306" s="136"/>
      <c r="O306" s="136"/>
      <c r="P306" s="136"/>
      <c r="Q306" s="136"/>
    </row>
    <row r="307" spans="1:17" ht="13.5" customHeight="1" x14ac:dyDescent="0.2">
      <c r="B307" s="136"/>
      <c r="C307" s="136"/>
      <c r="D307" s="136"/>
      <c r="E307" s="136"/>
      <c r="F307" s="136"/>
      <c r="G307" s="136"/>
      <c r="H307" s="136"/>
      <c r="I307" s="136"/>
      <c r="J307" s="136"/>
      <c r="K307" s="136"/>
      <c r="L307" s="136"/>
      <c r="M307" s="136"/>
      <c r="N307" s="136"/>
      <c r="O307" s="136"/>
      <c r="P307" s="136"/>
      <c r="Q307" s="136"/>
    </row>
    <row r="312" spans="1:17" ht="13.5" customHeight="1" x14ac:dyDescent="0.2">
      <c r="O312" s="26"/>
    </row>
    <row r="316" spans="1:17" ht="12.75" x14ac:dyDescent="0.2">
      <c r="A316" s="63" t="s">
        <v>58</v>
      </c>
      <c r="B316" s="63" t="s">
        <v>61</v>
      </c>
      <c r="C316"/>
      <c r="D316"/>
      <c r="E316"/>
      <c r="F316" s="83"/>
    </row>
    <row r="317" spans="1:17" ht="12.75" x14ac:dyDescent="0.2">
      <c r="A317" s="63" t="s">
        <v>59</v>
      </c>
      <c r="B317" t="s">
        <v>8</v>
      </c>
      <c r="C317" t="s">
        <v>12</v>
      </c>
      <c r="D317" t="s">
        <v>14</v>
      </c>
      <c r="E317" t="s">
        <v>60</v>
      </c>
      <c r="G317" s="83" t="s">
        <v>59</v>
      </c>
      <c r="H317" s="83" t="s">
        <v>88</v>
      </c>
      <c r="I317" s="83" t="s">
        <v>8</v>
      </c>
      <c r="J317" s="83" t="s">
        <v>12</v>
      </c>
      <c r="K317" s="83" t="s">
        <v>14</v>
      </c>
      <c r="L317" s="83"/>
    </row>
    <row r="318" spans="1:17" ht="12.75" x14ac:dyDescent="0.2">
      <c r="A318" s="65">
        <v>20</v>
      </c>
      <c r="B318" s="64"/>
      <c r="C318" s="64">
        <v>1</v>
      </c>
      <c r="D318" s="64"/>
      <c r="E318" s="64">
        <v>1</v>
      </c>
      <c r="G318" s="24">
        <v>20</v>
      </c>
      <c r="H318" s="24" t="s">
        <v>79</v>
      </c>
      <c r="J318" s="24">
        <v>1</v>
      </c>
    </row>
    <row r="319" spans="1:17" ht="12.75" x14ac:dyDescent="0.2">
      <c r="A319" s="65">
        <v>23</v>
      </c>
      <c r="B319" s="64"/>
      <c r="C319" s="64">
        <v>1</v>
      </c>
      <c r="D319" s="64"/>
      <c r="E319" s="64">
        <v>1</v>
      </c>
      <c r="G319" s="24">
        <v>23</v>
      </c>
      <c r="H319" s="24" t="s">
        <v>79</v>
      </c>
      <c r="J319" s="24">
        <v>1</v>
      </c>
    </row>
    <row r="320" spans="1:17" ht="12.75" x14ac:dyDescent="0.2">
      <c r="A320" s="65">
        <v>25</v>
      </c>
      <c r="B320" s="64"/>
      <c r="C320" s="64"/>
      <c r="D320" s="64">
        <v>1</v>
      </c>
      <c r="E320" s="64">
        <v>1</v>
      </c>
      <c r="G320" s="24">
        <v>25</v>
      </c>
      <c r="H320" s="24" t="s">
        <v>79</v>
      </c>
      <c r="K320" s="24">
        <v>1</v>
      </c>
    </row>
    <row r="321" spans="1:11" ht="12.75" x14ac:dyDescent="0.2">
      <c r="A321" s="65">
        <v>26</v>
      </c>
      <c r="B321" s="64">
        <v>1</v>
      </c>
      <c r="C321" s="64"/>
      <c r="D321" s="64">
        <v>1</v>
      </c>
      <c r="E321" s="64">
        <v>2</v>
      </c>
      <c r="G321" s="24">
        <v>26</v>
      </c>
      <c r="H321" s="24" t="s">
        <v>79</v>
      </c>
      <c r="I321" s="24">
        <v>1</v>
      </c>
      <c r="K321" s="24">
        <v>1</v>
      </c>
    </row>
    <row r="322" spans="1:11" ht="12.75" x14ac:dyDescent="0.2">
      <c r="A322" s="65">
        <v>27</v>
      </c>
      <c r="B322" s="64">
        <v>1</v>
      </c>
      <c r="C322" s="64"/>
      <c r="D322" s="64"/>
      <c r="E322" s="64">
        <v>1</v>
      </c>
      <c r="G322" s="24">
        <v>27</v>
      </c>
      <c r="H322" s="24" t="s">
        <v>79</v>
      </c>
      <c r="I322" s="24">
        <v>1</v>
      </c>
    </row>
    <row r="323" spans="1:11" ht="12.75" x14ac:dyDescent="0.2">
      <c r="A323" s="65">
        <v>28</v>
      </c>
      <c r="B323" s="64">
        <v>1</v>
      </c>
      <c r="C323" s="64"/>
      <c r="D323" s="64"/>
      <c r="E323" s="64">
        <v>1</v>
      </c>
      <c r="G323" s="24">
        <v>28</v>
      </c>
      <c r="H323" s="24" t="s">
        <v>79</v>
      </c>
      <c r="I323" s="24">
        <v>1</v>
      </c>
    </row>
    <row r="324" spans="1:11" ht="12.75" x14ac:dyDescent="0.2">
      <c r="A324" s="65">
        <v>29</v>
      </c>
      <c r="B324" s="64"/>
      <c r="C324" s="64">
        <v>1</v>
      </c>
      <c r="D324" s="64"/>
      <c r="E324" s="64">
        <v>1</v>
      </c>
      <c r="G324" s="24">
        <v>29</v>
      </c>
      <c r="H324" s="24" t="s">
        <v>79</v>
      </c>
      <c r="J324" s="24">
        <v>1</v>
      </c>
    </row>
    <row r="325" spans="1:11" ht="12.75" x14ac:dyDescent="0.2">
      <c r="A325" s="65">
        <v>30</v>
      </c>
      <c r="B325" s="64"/>
      <c r="C325" s="64">
        <v>2</v>
      </c>
      <c r="D325" s="64"/>
      <c r="E325" s="64">
        <v>2</v>
      </c>
      <c r="G325" s="24">
        <v>30</v>
      </c>
      <c r="H325" s="24" t="s">
        <v>79</v>
      </c>
      <c r="J325" s="24">
        <v>2</v>
      </c>
    </row>
    <row r="326" spans="1:11" ht="12.75" x14ac:dyDescent="0.2">
      <c r="A326" s="65">
        <v>31</v>
      </c>
      <c r="B326" s="64"/>
      <c r="C326" s="64">
        <v>1</v>
      </c>
      <c r="D326" s="64">
        <v>1</v>
      </c>
      <c r="E326" s="64">
        <v>2</v>
      </c>
      <c r="G326" s="24">
        <v>31</v>
      </c>
      <c r="H326" s="24" t="s">
        <v>80</v>
      </c>
      <c r="J326" s="24">
        <v>1</v>
      </c>
      <c r="K326" s="24">
        <v>1</v>
      </c>
    </row>
    <row r="327" spans="1:11" ht="12.75" x14ac:dyDescent="0.2">
      <c r="A327" s="65">
        <v>32</v>
      </c>
      <c r="B327" s="64">
        <v>1</v>
      </c>
      <c r="C327" s="64">
        <v>1</v>
      </c>
      <c r="D327" s="64"/>
      <c r="E327" s="64">
        <v>2</v>
      </c>
      <c r="G327" s="24">
        <v>32</v>
      </c>
      <c r="H327" s="24" t="s">
        <v>80</v>
      </c>
      <c r="I327" s="24">
        <v>1</v>
      </c>
      <c r="J327" s="24">
        <v>1</v>
      </c>
    </row>
    <row r="328" spans="1:11" ht="12.75" x14ac:dyDescent="0.2">
      <c r="A328" s="65">
        <v>33</v>
      </c>
      <c r="B328" s="64"/>
      <c r="C328" s="64">
        <v>1</v>
      </c>
      <c r="D328" s="64">
        <v>1</v>
      </c>
      <c r="E328" s="64">
        <v>2</v>
      </c>
      <c r="G328" s="24">
        <v>33</v>
      </c>
      <c r="H328" s="24" t="s">
        <v>80</v>
      </c>
      <c r="J328" s="24">
        <v>1</v>
      </c>
      <c r="K328" s="24">
        <v>1</v>
      </c>
    </row>
    <row r="329" spans="1:11" ht="12.75" x14ac:dyDescent="0.2">
      <c r="A329" s="65">
        <v>34</v>
      </c>
      <c r="B329" s="64"/>
      <c r="C329" s="64">
        <v>2</v>
      </c>
      <c r="D329" s="64"/>
      <c r="E329" s="64">
        <v>2</v>
      </c>
      <c r="G329" s="24">
        <v>34</v>
      </c>
      <c r="H329" s="24" t="s">
        <v>80</v>
      </c>
      <c r="J329" s="24">
        <v>2</v>
      </c>
    </row>
    <row r="330" spans="1:11" ht="12.75" x14ac:dyDescent="0.2">
      <c r="A330" s="65">
        <v>35</v>
      </c>
      <c r="B330" s="64"/>
      <c r="C330" s="64">
        <v>2</v>
      </c>
      <c r="D330" s="64"/>
      <c r="E330" s="64">
        <v>2</v>
      </c>
      <c r="G330" s="24">
        <v>35</v>
      </c>
      <c r="H330" s="24" t="s">
        <v>81</v>
      </c>
      <c r="J330" s="24">
        <v>2</v>
      </c>
    </row>
    <row r="331" spans="1:11" ht="12.75" x14ac:dyDescent="0.2">
      <c r="A331" s="65">
        <v>36</v>
      </c>
      <c r="B331" s="64">
        <v>1</v>
      </c>
      <c r="C331" s="64">
        <v>1</v>
      </c>
      <c r="D331" s="64"/>
      <c r="E331" s="64">
        <v>2</v>
      </c>
      <c r="G331" s="24">
        <v>36</v>
      </c>
      <c r="H331" s="24" t="s">
        <v>81</v>
      </c>
      <c r="I331" s="24">
        <v>1</v>
      </c>
      <c r="J331" s="24">
        <v>1</v>
      </c>
    </row>
    <row r="332" spans="1:11" ht="12.75" x14ac:dyDescent="0.2">
      <c r="A332" s="65">
        <v>37</v>
      </c>
      <c r="B332" s="64"/>
      <c r="C332" s="64">
        <v>2</v>
      </c>
      <c r="D332" s="64"/>
      <c r="E332" s="64">
        <v>2</v>
      </c>
      <c r="G332" s="24">
        <v>37</v>
      </c>
      <c r="H332" s="24" t="s">
        <v>81</v>
      </c>
      <c r="J332" s="24">
        <v>2</v>
      </c>
    </row>
    <row r="333" spans="1:11" ht="12.75" x14ac:dyDescent="0.2">
      <c r="A333" s="65">
        <v>38</v>
      </c>
      <c r="B333" s="64"/>
      <c r="C333" s="64">
        <v>1</v>
      </c>
      <c r="D333" s="64"/>
      <c r="E333" s="64">
        <v>1</v>
      </c>
      <c r="G333" s="24">
        <v>38</v>
      </c>
      <c r="H333" s="24" t="s">
        <v>81</v>
      </c>
      <c r="J333" s="24">
        <v>1</v>
      </c>
    </row>
    <row r="334" spans="1:11" ht="12.75" x14ac:dyDescent="0.2">
      <c r="A334" s="65">
        <v>39</v>
      </c>
      <c r="B334" s="64">
        <v>1</v>
      </c>
      <c r="C334" s="64"/>
      <c r="D334" s="64"/>
      <c r="E334" s="64">
        <v>1</v>
      </c>
      <c r="G334" s="24">
        <v>39</v>
      </c>
      <c r="H334" s="24" t="s">
        <v>81</v>
      </c>
      <c r="I334" s="24">
        <v>1</v>
      </c>
    </row>
    <row r="335" spans="1:11" ht="12.75" x14ac:dyDescent="0.2">
      <c r="A335" s="65">
        <v>40</v>
      </c>
      <c r="B335" s="64">
        <v>1</v>
      </c>
      <c r="C335" s="64">
        <v>1</v>
      </c>
      <c r="D335" s="64"/>
      <c r="E335" s="64">
        <v>2</v>
      </c>
      <c r="G335" s="24">
        <v>40</v>
      </c>
      <c r="H335" s="24" t="s">
        <v>81</v>
      </c>
      <c r="I335" s="24">
        <v>1</v>
      </c>
      <c r="J335" s="24">
        <v>1</v>
      </c>
    </row>
    <row r="336" spans="1:11" ht="12.75" x14ac:dyDescent="0.2">
      <c r="A336" s="65">
        <v>41</v>
      </c>
      <c r="B336" s="64">
        <v>2</v>
      </c>
      <c r="C336" s="64"/>
      <c r="D336" s="64"/>
      <c r="E336" s="64">
        <v>2</v>
      </c>
      <c r="G336" s="24">
        <v>41</v>
      </c>
      <c r="H336" s="24" t="s">
        <v>82</v>
      </c>
      <c r="I336" s="24">
        <v>2</v>
      </c>
    </row>
    <row r="337" spans="1:17" ht="12.75" x14ac:dyDescent="0.2">
      <c r="A337" s="65">
        <v>42</v>
      </c>
      <c r="B337" s="64"/>
      <c r="C337" s="64"/>
      <c r="D337" s="64">
        <v>1</v>
      </c>
      <c r="E337" s="64">
        <v>1</v>
      </c>
      <c r="G337" s="24">
        <v>42</v>
      </c>
      <c r="H337" s="24" t="s">
        <v>82</v>
      </c>
      <c r="K337" s="24">
        <v>1</v>
      </c>
    </row>
    <row r="338" spans="1:17" ht="12.75" x14ac:dyDescent="0.2">
      <c r="A338" s="65">
        <v>43</v>
      </c>
      <c r="B338" s="64">
        <v>1</v>
      </c>
      <c r="C338" s="64"/>
      <c r="D338" s="64">
        <v>1</v>
      </c>
      <c r="E338" s="64">
        <v>2</v>
      </c>
      <c r="G338" s="24">
        <v>43</v>
      </c>
      <c r="H338" s="24" t="s">
        <v>82</v>
      </c>
      <c r="I338" s="24">
        <v>1</v>
      </c>
      <c r="K338" s="24">
        <v>1</v>
      </c>
    </row>
    <row r="339" spans="1:17" ht="12.75" x14ac:dyDescent="0.2">
      <c r="A339" s="65">
        <v>44</v>
      </c>
      <c r="B339" s="64">
        <v>1</v>
      </c>
      <c r="C339" s="64"/>
      <c r="D339" s="64"/>
      <c r="E339" s="64">
        <v>1</v>
      </c>
      <c r="G339" s="24">
        <v>44</v>
      </c>
      <c r="H339" s="24" t="s">
        <v>82</v>
      </c>
      <c r="I339" s="24">
        <v>1</v>
      </c>
    </row>
    <row r="340" spans="1:17" ht="12.75" x14ac:dyDescent="0.2">
      <c r="A340" s="65">
        <v>46</v>
      </c>
      <c r="B340" s="64">
        <v>1</v>
      </c>
      <c r="C340" s="64"/>
      <c r="D340" s="64"/>
      <c r="E340" s="64">
        <v>1</v>
      </c>
      <c r="G340" s="24">
        <v>46</v>
      </c>
      <c r="H340" s="24" t="s">
        <v>82</v>
      </c>
      <c r="I340" s="24">
        <v>1</v>
      </c>
    </row>
    <row r="341" spans="1:17" ht="12.75" x14ac:dyDescent="0.2">
      <c r="A341" s="65">
        <v>48</v>
      </c>
      <c r="B341" s="64"/>
      <c r="C341" s="64">
        <v>1</v>
      </c>
      <c r="D341" s="64"/>
      <c r="E341" s="64">
        <v>1</v>
      </c>
      <c r="G341" s="24">
        <v>48</v>
      </c>
      <c r="H341" s="24" t="s">
        <v>82</v>
      </c>
      <c r="J341" s="24">
        <v>1</v>
      </c>
    </row>
    <row r="342" spans="1:17" ht="12.75" x14ac:dyDescent="0.2">
      <c r="A342" s="65" t="s">
        <v>60</v>
      </c>
      <c r="B342" s="64">
        <v>12</v>
      </c>
      <c r="C342" s="64">
        <v>18</v>
      </c>
      <c r="D342" s="64">
        <v>6</v>
      </c>
      <c r="E342" s="64">
        <v>36</v>
      </c>
    </row>
    <row r="343" spans="1:17" ht="13.5" customHeight="1" x14ac:dyDescent="0.2">
      <c r="H343" s="24" t="s">
        <v>77</v>
      </c>
      <c r="I343" s="98" t="s">
        <v>8</v>
      </c>
      <c r="J343" s="98" t="s">
        <v>12</v>
      </c>
      <c r="K343" s="99" t="s">
        <v>14</v>
      </c>
    </row>
    <row r="344" spans="1:17" ht="13.5" customHeight="1" x14ac:dyDescent="0.2">
      <c r="H344" s="24" t="s">
        <v>98</v>
      </c>
      <c r="I344" s="24">
        <f>SUM(I318:I325)</f>
        <v>3</v>
      </c>
      <c r="J344" s="24">
        <f>SUM(J318:J325)</f>
        <v>5</v>
      </c>
      <c r="K344" s="24">
        <f>SUM(K318:K325)</f>
        <v>2</v>
      </c>
    </row>
    <row r="345" spans="1:17" ht="13.5" customHeight="1" x14ac:dyDescent="0.2">
      <c r="H345" s="24" t="s">
        <v>99</v>
      </c>
      <c r="I345" s="24">
        <f>SUM(I330:I341)</f>
        <v>8</v>
      </c>
      <c r="J345" s="24">
        <f>SUM(J330:J341)</f>
        <v>8</v>
      </c>
      <c r="K345" s="24">
        <f>SUM(K330:K341)</f>
        <v>2</v>
      </c>
    </row>
    <row r="348" spans="1:17" ht="13.5" customHeight="1" x14ac:dyDescent="0.2">
      <c r="B348" s="136" t="s">
        <v>97</v>
      </c>
      <c r="C348" s="136"/>
      <c r="D348" s="136"/>
      <c r="E348" s="136"/>
      <c r="F348" s="136"/>
      <c r="G348" s="136"/>
      <c r="H348" s="136"/>
      <c r="I348" s="136"/>
      <c r="J348" s="136"/>
      <c r="K348" s="136"/>
      <c r="L348" s="136"/>
      <c r="M348" s="136"/>
      <c r="N348" s="136"/>
      <c r="O348" s="136"/>
      <c r="P348" s="136"/>
      <c r="Q348" s="136"/>
    </row>
    <row r="349" spans="1:17" ht="13.5" customHeight="1" x14ac:dyDescent="0.2">
      <c r="B349" s="136"/>
      <c r="C349" s="136"/>
      <c r="D349" s="136"/>
      <c r="E349" s="136"/>
      <c r="F349" s="136"/>
      <c r="G349" s="136"/>
      <c r="H349" s="136"/>
      <c r="I349" s="136"/>
      <c r="J349" s="136"/>
      <c r="K349" s="136"/>
      <c r="L349" s="136"/>
      <c r="M349" s="136"/>
      <c r="N349" s="136"/>
      <c r="O349" s="136"/>
      <c r="P349" s="136"/>
      <c r="Q349" s="136"/>
    </row>
    <row r="350" spans="1:17" ht="13.5" customHeight="1" x14ac:dyDescent="0.2">
      <c r="B350" s="136"/>
      <c r="C350" s="136"/>
      <c r="D350" s="136"/>
      <c r="E350" s="136"/>
      <c r="F350" s="136"/>
      <c r="G350" s="136"/>
      <c r="H350" s="136"/>
      <c r="I350" s="136"/>
      <c r="J350" s="136"/>
      <c r="K350" s="136"/>
      <c r="L350" s="136"/>
      <c r="M350" s="136"/>
      <c r="N350" s="136"/>
      <c r="O350" s="136"/>
      <c r="P350" s="136"/>
      <c r="Q350" s="136"/>
    </row>
    <row r="351" spans="1:17" ht="13.5" customHeight="1" x14ac:dyDescent="0.2">
      <c r="B351" s="136"/>
      <c r="C351" s="136"/>
      <c r="D351" s="136"/>
      <c r="E351" s="136"/>
      <c r="F351" s="136"/>
      <c r="G351" s="136"/>
      <c r="H351" s="136"/>
      <c r="I351" s="136"/>
      <c r="J351" s="136"/>
      <c r="K351" s="136"/>
      <c r="L351" s="136"/>
      <c r="M351" s="136"/>
      <c r="N351" s="136"/>
      <c r="O351" s="136"/>
      <c r="P351" s="136"/>
      <c r="Q351" s="136"/>
    </row>
    <row r="352" spans="1:17" ht="13.5" customHeight="1" x14ac:dyDescent="0.2">
      <c r="B352" s="136"/>
      <c r="C352" s="136"/>
      <c r="D352" s="136"/>
      <c r="E352" s="136"/>
      <c r="F352" s="136"/>
      <c r="G352" s="136"/>
      <c r="H352" s="136"/>
      <c r="I352" s="136"/>
      <c r="J352" s="136"/>
      <c r="K352" s="136"/>
      <c r="L352" s="136"/>
      <c r="M352" s="136"/>
      <c r="N352" s="136"/>
      <c r="O352" s="136"/>
      <c r="P352" s="136"/>
      <c r="Q352" s="136"/>
    </row>
    <row r="353" spans="2:17" ht="13.5" customHeight="1" x14ac:dyDescent="0.2">
      <c r="B353" s="136"/>
      <c r="C353" s="136"/>
      <c r="D353" s="136"/>
      <c r="E353" s="136"/>
      <c r="F353" s="136"/>
      <c r="G353" s="136"/>
      <c r="H353" s="136"/>
      <c r="I353" s="136"/>
      <c r="J353" s="136"/>
      <c r="K353" s="136"/>
      <c r="L353" s="136"/>
      <c r="M353" s="136"/>
      <c r="N353" s="136"/>
      <c r="O353" s="136"/>
      <c r="P353" s="136"/>
      <c r="Q353" s="136"/>
    </row>
    <row r="354" spans="2:17" ht="13.5" customHeight="1" x14ac:dyDescent="0.2">
      <c r="B354" s="136"/>
      <c r="C354" s="136"/>
      <c r="D354" s="136"/>
      <c r="E354" s="136"/>
      <c r="F354" s="136"/>
      <c r="G354" s="136"/>
      <c r="H354" s="136"/>
      <c r="I354" s="136"/>
      <c r="J354" s="136"/>
      <c r="K354" s="136"/>
      <c r="L354" s="136"/>
      <c r="M354" s="136"/>
      <c r="N354" s="136"/>
      <c r="O354" s="136"/>
      <c r="P354" s="136"/>
      <c r="Q354" s="136"/>
    </row>
  </sheetData>
  <mergeCells count="17">
    <mergeCell ref="N217:O217"/>
    <mergeCell ref="N233:O233"/>
    <mergeCell ref="B255:N261"/>
    <mergeCell ref="B301:Q307"/>
    <mergeCell ref="B348:Q354"/>
    <mergeCell ref="I271:J271"/>
    <mergeCell ref="B54:Q60"/>
    <mergeCell ref="B94:O100"/>
    <mergeCell ref="B125:Q131"/>
    <mergeCell ref="B169:Q175"/>
    <mergeCell ref="B201:O207"/>
    <mergeCell ref="I12:J12"/>
    <mergeCell ref="I28:J28"/>
    <mergeCell ref="L12:M12"/>
    <mergeCell ref="L28:M28"/>
    <mergeCell ref="O12:P12"/>
    <mergeCell ref="O28:P28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8"/>
  <drawing r:id="rId9"/>
  <tableParts count="10"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818F5-D3F5-4270-82D5-20C50A39DDDE}">
  <sheetPr>
    <tabColor rgb="FFC7F1F0"/>
  </sheetPr>
  <dimension ref="A7:Q413"/>
  <sheetViews>
    <sheetView showGridLines="0" zoomScaleNormal="100" workbookViewId="0">
      <pane ySplit="3" topLeftCell="A331" activePane="bottomLeft" state="frozen"/>
      <selection activeCell="K154" sqref="K154"/>
      <selection pane="bottomLeft" activeCell="G350" sqref="G350"/>
    </sheetView>
  </sheetViews>
  <sheetFormatPr defaultRowHeight="13.5" customHeight="1" x14ac:dyDescent="0.2"/>
  <cols>
    <col min="1" max="1" width="19.42578125" style="2" customWidth="1"/>
    <col min="2" max="2" width="29.5703125" style="2" customWidth="1"/>
    <col min="3" max="3" width="19.7109375" style="2" bestFit="1" customWidth="1"/>
    <col min="4" max="4" width="28.5703125" style="2" bestFit="1" customWidth="1"/>
    <col min="5" max="6" width="28.140625" style="2" bestFit="1" customWidth="1"/>
    <col min="7" max="8" width="9.140625" style="2" customWidth="1"/>
    <col min="9" max="9" width="28.5703125" style="2" bestFit="1" customWidth="1"/>
    <col min="10" max="10" width="18.42578125" style="2" bestFit="1" customWidth="1"/>
    <col min="11" max="11" width="11.28515625" style="2" bestFit="1" customWidth="1"/>
    <col min="12" max="12" width="28.5703125" style="2" bestFit="1" customWidth="1"/>
    <col min="13" max="13" width="17.7109375" style="2" bestFit="1" customWidth="1"/>
    <col min="14" max="14" width="9.140625" style="2" customWidth="1"/>
    <col min="15" max="16384" width="9.140625" style="2"/>
  </cols>
  <sheetData>
    <row r="7" spans="1:15" ht="13.5" customHeight="1" x14ac:dyDescent="0.2">
      <c r="O7" s="22"/>
    </row>
    <row r="11" spans="1:15" ht="14.25" x14ac:dyDescent="0.2">
      <c r="A11" t="s">
        <v>15</v>
      </c>
      <c r="B11" t="s">
        <v>16</v>
      </c>
      <c r="C11" t="s">
        <v>17</v>
      </c>
      <c r="D11" t="s">
        <v>18</v>
      </c>
      <c r="E11" t="s">
        <v>19</v>
      </c>
      <c r="F11" t="s">
        <v>20</v>
      </c>
      <c r="I11" s="92" t="s">
        <v>100</v>
      </c>
      <c r="J11" s="92" t="s">
        <v>101</v>
      </c>
      <c r="K11" s="2" t="s">
        <v>102</v>
      </c>
    </row>
    <row r="12" spans="1:15" ht="14.25" x14ac:dyDescent="0.2">
      <c r="A12">
        <v>8</v>
      </c>
      <c r="B12">
        <v>68</v>
      </c>
      <c r="C12" s="111">
        <v>10527</v>
      </c>
      <c r="D12" s="111">
        <v>4027</v>
      </c>
      <c r="E12" s="111">
        <v>3000</v>
      </c>
      <c r="F12" s="111">
        <v>5000</v>
      </c>
      <c r="I12" s="112">
        <f>AVERAGE(Tabela12[Idade])</f>
        <v>60.979166666666664</v>
      </c>
      <c r="J12">
        <f>_xlfn.MODE.SNGL(Tabela12[Idade])</f>
        <v>70</v>
      </c>
      <c r="K12" s="2" t="e" cm="1">
        <f t="array" ref="K12">conta</f>
        <v>#NAME?</v>
      </c>
    </row>
    <row r="13" spans="1:15" ht="14.25" x14ac:dyDescent="0.2">
      <c r="A13">
        <v>12</v>
      </c>
      <c r="B13">
        <v>72</v>
      </c>
      <c r="C13" s="111">
        <v>4300</v>
      </c>
      <c r="D13" s="111">
        <v>4300</v>
      </c>
      <c r="E13" s="111">
        <v>2000</v>
      </c>
      <c r="F13" s="111">
        <v>1000</v>
      </c>
    </row>
    <row r="14" spans="1:15" ht="14.25" x14ac:dyDescent="0.2">
      <c r="A14">
        <v>44</v>
      </c>
      <c r="B14">
        <v>75</v>
      </c>
      <c r="C14" s="111">
        <v>4400</v>
      </c>
      <c r="D14" s="111">
        <v>4400</v>
      </c>
      <c r="E14" s="111">
        <v>3000</v>
      </c>
      <c r="F14" s="111">
        <v>1000</v>
      </c>
    </row>
    <row r="15" spans="1:15" ht="14.25" x14ac:dyDescent="0.2">
      <c r="A15">
        <v>30</v>
      </c>
      <c r="B15">
        <v>66</v>
      </c>
      <c r="C15" s="111">
        <v>4800</v>
      </c>
      <c r="D15" s="111">
        <v>4800</v>
      </c>
      <c r="E15" s="111">
        <v>440</v>
      </c>
      <c r="F15" s="111">
        <v>1500</v>
      </c>
    </row>
    <row r="16" spans="1:15" ht="14.25" x14ac:dyDescent="0.2">
      <c r="A16">
        <v>35</v>
      </c>
      <c r="B16">
        <v>69</v>
      </c>
      <c r="C16" s="111">
        <v>5000</v>
      </c>
      <c r="D16" s="111">
        <v>5000</v>
      </c>
      <c r="E16" s="111">
        <v>2000</v>
      </c>
      <c r="F16" s="111">
        <v>2500</v>
      </c>
    </row>
    <row r="17" spans="1:6" ht="14.25" x14ac:dyDescent="0.2">
      <c r="A17">
        <v>42</v>
      </c>
      <c r="B17">
        <v>68</v>
      </c>
      <c r="C17" s="111">
        <v>5000</v>
      </c>
      <c r="D17" s="111">
        <v>5000</v>
      </c>
      <c r="E17" s="111">
        <v>380</v>
      </c>
      <c r="F17" s="111">
        <v>600</v>
      </c>
    </row>
    <row r="18" spans="1:6" ht="14.25" x14ac:dyDescent="0.2">
      <c r="A18">
        <v>39</v>
      </c>
      <c r="B18">
        <v>47</v>
      </c>
      <c r="C18" s="111">
        <v>5000</v>
      </c>
      <c r="D18" s="111">
        <v>5000</v>
      </c>
      <c r="E18" s="111">
        <v>2000</v>
      </c>
      <c r="F18" s="111">
        <v>1700</v>
      </c>
    </row>
    <row r="19" spans="1:6" ht="14.25" x14ac:dyDescent="0.2">
      <c r="A19">
        <v>2</v>
      </c>
      <c r="B19">
        <v>35</v>
      </c>
      <c r="C19" s="111">
        <v>5000</v>
      </c>
      <c r="D19" s="111">
        <v>5000</v>
      </c>
      <c r="E19" s="111">
        <v>1000</v>
      </c>
      <c r="F19" s="111">
        <v>1000</v>
      </c>
    </row>
    <row r="20" spans="1:6" ht="14.25" x14ac:dyDescent="0.2">
      <c r="A20">
        <v>4</v>
      </c>
      <c r="B20">
        <v>70</v>
      </c>
      <c r="C20" s="111">
        <v>10736</v>
      </c>
      <c r="D20" s="111">
        <v>5214</v>
      </c>
      <c r="E20" s="111">
        <v>400</v>
      </c>
      <c r="F20" s="111">
        <v>500</v>
      </c>
    </row>
    <row r="21" spans="1:6" ht="14.25" x14ac:dyDescent="0.2">
      <c r="A21">
        <v>22</v>
      </c>
      <c r="B21">
        <v>70</v>
      </c>
      <c r="C21" s="111">
        <v>7000</v>
      </c>
      <c r="D21" s="111">
        <v>5500</v>
      </c>
      <c r="E21" s="111">
        <v>340</v>
      </c>
      <c r="F21" s="111">
        <v>3000</v>
      </c>
    </row>
    <row r="22" spans="1:6" ht="14.25" x14ac:dyDescent="0.2">
      <c r="A22">
        <v>31</v>
      </c>
      <c r="B22">
        <v>63</v>
      </c>
      <c r="C22" s="111">
        <v>8700</v>
      </c>
      <c r="D22" s="111">
        <v>5700</v>
      </c>
      <c r="E22" s="111">
        <v>3000</v>
      </c>
      <c r="F22" s="111">
        <v>9900</v>
      </c>
    </row>
    <row r="23" spans="1:6" ht="14.25" x14ac:dyDescent="0.2">
      <c r="A23">
        <v>47</v>
      </c>
      <c r="B23">
        <v>44</v>
      </c>
      <c r="C23" s="111">
        <v>5800</v>
      </c>
      <c r="D23" s="111">
        <v>5800</v>
      </c>
      <c r="E23" s="111">
        <v>500</v>
      </c>
      <c r="F23" s="111">
        <v>800</v>
      </c>
    </row>
    <row r="24" spans="1:6" ht="14.25" x14ac:dyDescent="0.2">
      <c r="A24">
        <v>19</v>
      </c>
      <c r="B24">
        <v>56</v>
      </c>
      <c r="C24" s="111">
        <v>6000</v>
      </c>
      <c r="D24" s="111">
        <v>6000</v>
      </c>
      <c r="E24" s="111">
        <v>2000</v>
      </c>
      <c r="F24" s="111">
        <v>2500</v>
      </c>
    </row>
    <row r="25" spans="1:6" ht="14.25" x14ac:dyDescent="0.2">
      <c r="A25">
        <v>5</v>
      </c>
      <c r="B25">
        <v>54</v>
      </c>
      <c r="C25" s="111">
        <v>6000</v>
      </c>
      <c r="D25" s="111">
        <v>6000</v>
      </c>
      <c r="E25" s="111">
        <v>1790</v>
      </c>
      <c r="F25" s="111">
        <v>3600</v>
      </c>
    </row>
    <row r="26" spans="1:6" ht="14.25" x14ac:dyDescent="0.2">
      <c r="A26">
        <v>26</v>
      </c>
      <c r="B26">
        <v>32</v>
      </c>
      <c r="C26" s="111">
        <v>6000</v>
      </c>
      <c r="D26" s="111">
        <v>6000</v>
      </c>
      <c r="E26" s="111">
        <v>2000</v>
      </c>
      <c r="F26" s="111">
        <v>3000</v>
      </c>
    </row>
    <row r="27" spans="1:6" ht="14.25" x14ac:dyDescent="0.2">
      <c r="A27">
        <v>3</v>
      </c>
      <c r="B27">
        <v>39</v>
      </c>
      <c r="C27" s="111">
        <v>6320</v>
      </c>
      <c r="D27" s="111">
        <v>6320</v>
      </c>
      <c r="E27" s="111">
        <v>1550</v>
      </c>
      <c r="F27" s="111">
        <v>1640</v>
      </c>
    </row>
    <row r="28" spans="1:6" ht="14.25" x14ac:dyDescent="0.2">
      <c r="A28">
        <v>21</v>
      </c>
      <c r="B28">
        <v>45</v>
      </c>
      <c r="C28" s="111">
        <v>6400</v>
      </c>
      <c r="D28" s="111">
        <v>6400</v>
      </c>
      <c r="E28" s="111">
        <v>2000</v>
      </c>
      <c r="F28" s="111">
        <v>2500</v>
      </c>
    </row>
    <row r="29" spans="1:6" ht="14.25" x14ac:dyDescent="0.2">
      <c r="A29">
        <v>16</v>
      </c>
      <c r="B29">
        <v>67</v>
      </c>
      <c r="C29" s="111">
        <v>6500</v>
      </c>
      <c r="D29" s="111">
        <v>6500</v>
      </c>
      <c r="E29" s="111">
        <v>3000</v>
      </c>
      <c r="F29" s="111">
        <v>4000</v>
      </c>
    </row>
    <row r="30" spans="1:6" ht="14.25" x14ac:dyDescent="0.2">
      <c r="A30">
        <v>48</v>
      </c>
      <c r="B30">
        <v>39</v>
      </c>
      <c r="C30" s="111">
        <v>8000</v>
      </c>
      <c r="D30" s="111">
        <v>6500</v>
      </c>
      <c r="E30" s="111">
        <v>2000</v>
      </c>
      <c r="F30" s="111">
        <v>3000</v>
      </c>
    </row>
    <row r="31" spans="1:6" ht="14.25" x14ac:dyDescent="0.2">
      <c r="A31">
        <v>1</v>
      </c>
      <c r="B31">
        <v>81</v>
      </c>
      <c r="C31" s="111">
        <v>6800</v>
      </c>
      <c r="D31" s="111">
        <v>6800</v>
      </c>
      <c r="E31" s="111">
        <v>380</v>
      </c>
      <c r="F31" s="111">
        <v>2000</v>
      </c>
    </row>
    <row r="32" spans="1:6" ht="14.25" x14ac:dyDescent="0.2">
      <c r="A32">
        <v>14</v>
      </c>
      <c r="B32">
        <v>70</v>
      </c>
      <c r="C32" s="111">
        <v>6900</v>
      </c>
      <c r="D32" s="111">
        <v>6900</v>
      </c>
      <c r="E32" s="111">
        <v>3000</v>
      </c>
      <c r="F32" s="111">
        <v>4140</v>
      </c>
    </row>
    <row r="33" spans="1:6" ht="14.25" x14ac:dyDescent="0.2">
      <c r="A33">
        <v>45</v>
      </c>
      <c r="B33">
        <v>31</v>
      </c>
      <c r="C33" s="111">
        <v>6927</v>
      </c>
      <c r="D33" s="111">
        <v>6927</v>
      </c>
      <c r="E33" s="111">
        <v>3000</v>
      </c>
      <c r="F33" s="111">
        <v>4000</v>
      </c>
    </row>
    <row r="34" spans="1:6" ht="14.25" x14ac:dyDescent="0.2">
      <c r="A34">
        <v>11</v>
      </c>
      <c r="B34">
        <v>73</v>
      </c>
      <c r="C34" s="111">
        <v>7890</v>
      </c>
      <c r="D34" s="111">
        <v>7000</v>
      </c>
      <c r="E34" s="111">
        <v>3000</v>
      </c>
      <c r="F34" s="111">
        <v>5000</v>
      </c>
    </row>
    <row r="35" spans="1:6" ht="14.25" x14ac:dyDescent="0.2">
      <c r="A35">
        <v>18</v>
      </c>
      <c r="B35">
        <v>65</v>
      </c>
      <c r="C35" s="111">
        <v>8800</v>
      </c>
      <c r="D35" s="111">
        <v>7300</v>
      </c>
      <c r="E35" s="111">
        <v>2000</v>
      </c>
      <c r="F35" s="111">
        <v>1780</v>
      </c>
    </row>
    <row r="36" spans="1:6" ht="14.25" x14ac:dyDescent="0.2">
      <c r="A36">
        <v>38</v>
      </c>
      <c r="B36">
        <v>61</v>
      </c>
      <c r="C36" s="111">
        <v>11000</v>
      </c>
      <c r="D36" s="111">
        <v>7500</v>
      </c>
      <c r="E36" s="111">
        <v>2000</v>
      </c>
      <c r="F36" s="111">
        <v>4930</v>
      </c>
    </row>
    <row r="37" spans="1:6" ht="14.25" x14ac:dyDescent="0.2">
      <c r="A37">
        <v>10</v>
      </c>
      <c r="B37">
        <v>72</v>
      </c>
      <c r="C37" s="111">
        <v>7825</v>
      </c>
      <c r="D37" s="111">
        <v>7825</v>
      </c>
      <c r="E37" s="111">
        <v>3000</v>
      </c>
      <c r="F37" s="111">
        <v>3000</v>
      </c>
    </row>
    <row r="38" spans="1:6" ht="14.25" x14ac:dyDescent="0.2">
      <c r="A38">
        <v>20</v>
      </c>
      <c r="B38">
        <v>94</v>
      </c>
      <c r="C38" s="111">
        <v>8000</v>
      </c>
      <c r="D38" s="111">
        <v>8000</v>
      </c>
      <c r="E38" s="111">
        <v>2000</v>
      </c>
      <c r="F38" s="111">
        <v>3000</v>
      </c>
    </row>
    <row r="39" spans="1:6" ht="14.25" x14ac:dyDescent="0.2">
      <c r="A39">
        <v>9</v>
      </c>
      <c r="B39">
        <v>30</v>
      </c>
      <c r="C39" s="111">
        <v>8000</v>
      </c>
      <c r="D39" s="111">
        <v>8000</v>
      </c>
      <c r="E39" s="111">
        <v>3000</v>
      </c>
      <c r="F39" s="111">
        <v>3350</v>
      </c>
    </row>
    <row r="40" spans="1:6" ht="14.25" x14ac:dyDescent="0.2">
      <c r="A40">
        <v>46</v>
      </c>
      <c r="B40">
        <v>80</v>
      </c>
      <c r="C40" s="111">
        <v>8100</v>
      </c>
      <c r="D40" s="111">
        <v>8100</v>
      </c>
      <c r="E40" s="111">
        <v>3500</v>
      </c>
      <c r="F40" s="111">
        <v>1000</v>
      </c>
    </row>
    <row r="41" spans="1:6" ht="14.25" x14ac:dyDescent="0.2">
      <c r="A41">
        <v>29</v>
      </c>
      <c r="B41">
        <v>62</v>
      </c>
      <c r="C41" s="111">
        <v>8784</v>
      </c>
      <c r="D41" s="111">
        <v>8784</v>
      </c>
      <c r="E41" s="111">
        <v>1170</v>
      </c>
      <c r="F41" s="111">
        <v>2350</v>
      </c>
    </row>
    <row r="42" spans="1:6" ht="14.25" x14ac:dyDescent="0.2">
      <c r="A42">
        <v>17</v>
      </c>
      <c r="B42">
        <v>35</v>
      </c>
      <c r="C42" s="111">
        <v>12000</v>
      </c>
      <c r="D42" s="111">
        <v>9000</v>
      </c>
      <c r="E42" s="111">
        <v>3000</v>
      </c>
      <c r="F42" s="111">
        <v>6000</v>
      </c>
    </row>
    <row r="43" spans="1:6" ht="14.25" x14ac:dyDescent="0.2">
      <c r="A43">
        <v>27</v>
      </c>
      <c r="B43">
        <v>75</v>
      </c>
      <c r="C43" s="111">
        <v>12200</v>
      </c>
      <c r="D43" s="111">
        <v>9200</v>
      </c>
      <c r="E43" s="111">
        <v>3000</v>
      </c>
      <c r="F43" s="111">
        <v>10000</v>
      </c>
    </row>
    <row r="44" spans="1:6" ht="14.25" x14ac:dyDescent="0.2">
      <c r="A44">
        <v>41</v>
      </c>
      <c r="B44">
        <v>82</v>
      </c>
      <c r="C44" s="111">
        <v>10000</v>
      </c>
      <c r="D44" s="111">
        <v>10000</v>
      </c>
      <c r="E44" s="111">
        <v>3000</v>
      </c>
      <c r="F44" s="111">
        <v>10000</v>
      </c>
    </row>
    <row r="45" spans="1:6" ht="14.25" x14ac:dyDescent="0.2">
      <c r="A45">
        <v>37</v>
      </c>
      <c r="B45">
        <v>69</v>
      </c>
      <c r="C45" s="111">
        <v>10000</v>
      </c>
      <c r="D45" s="111">
        <v>10000</v>
      </c>
      <c r="E45" s="111">
        <v>3000</v>
      </c>
      <c r="F45" s="111">
        <v>5000</v>
      </c>
    </row>
    <row r="46" spans="1:6" ht="14.25" x14ac:dyDescent="0.2">
      <c r="A46">
        <v>33</v>
      </c>
      <c r="B46">
        <v>47</v>
      </c>
      <c r="C46" s="111">
        <v>10000</v>
      </c>
      <c r="D46" s="111">
        <v>10000</v>
      </c>
      <c r="E46" s="111">
        <v>3000</v>
      </c>
      <c r="F46" s="111">
        <v>10000</v>
      </c>
    </row>
    <row r="47" spans="1:6" ht="14.25" x14ac:dyDescent="0.2">
      <c r="A47">
        <v>24</v>
      </c>
      <c r="B47">
        <v>74</v>
      </c>
      <c r="C47" s="111">
        <v>14584</v>
      </c>
      <c r="D47" s="111">
        <v>10084</v>
      </c>
      <c r="E47" s="111">
        <v>3000</v>
      </c>
      <c r="F47" s="111">
        <v>2500</v>
      </c>
    </row>
    <row r="48" spans="1:6" ht="14.25" x14ac:dyDescent="0.2">
      <c r="A48">
        <v>34</v>
      </c>
      <c r="B48">
        <v>67</v>
      </c>
      <c r="C48" s="111">
        <v>15400</v>
      </c>
      <c r="D48" s="111">
        <v>10400</v>
      </c>
      <c r="E48" s="111">
        <v>2000</v>
      </c>
      <c r="F48" s="111">
        <v>8000</v>
      </c>
    </row>
    <row r="49" spans="1:6" ht="14.25" x14ac:dyDescent="0.2">
      <c r="A49">
        <v>13</v>
      </c>
      <c r="B49">
        <v>46</v>
      </c>
      <c r="C49" s="111">
        <v>12000</v>
      </c>
      <c r="D49" s="111">
        <v>12000</v>
      </c>
      <c r="E49" s="111">
        <v>2000</v>
      </c>
      <c r="F49" s="111">
        <v>3500</v>
      </c>
    </row>
    <row r="50" spans="1:6" ht="14.25" x14ac:dyDescent="0.2">
      <c r="A50">
        <v>36</v>
      </c>
      <c r="B50">
        <v>45</v>
      </c>
      <c r="C50" s="111">
        <v>12912.54</v>
      </c>
      <c r="D50" s="111">
        <v>12912.54</v>
      </c>
      <c r="E50" s="111">
        <v>1970</v>
      </c>
      <c r="F50" s="111">
        <v>5320</v>
      </c>
    </row>
    <row r="51" spans="1:6" ht="14.25" x14ac:dyDescent="0.2">
      <c r="A51">
        <v>15</v>
      </c>
      <c r="B51">
        <v>66</v>
      </c>
      <c r="C51" s="111">
        <v>13348</v>
      </c>
      <c r="D51" s="111">
        <v>13348</v>
      </c>
      <c r="E51" s="111">
        <v>2990</v>
      </c>
      <c r="F51" s="111">
        <v>10000</v>
      </c>
    </row>
    <row r="52" spans="1:6" ht="14.25" x14ac:dyDescent="0.2">
      <c r="A52">
        <v>43</v>
      </c>
      <c r="B52">
        <v>70</v>
      </c>
      <c r="C52" s="111">
        <v>13500</v>
      </c>
      <c r="D52" s="111">
        <v>13500</v>
      </c>
      <c r="E52" s="111">
        <v>3100</v>
      </c>
      <c r="F52" s="111">
        <v>13000</v>
      </c>
    </row>
    <row r="53" spans="1:6" ht="14.25" x14ac:dyDescent="0.2">
      <c r="A53">
        <v>25</v>
      </c>
      <c r="B53">
        <v>62</v>
      </c>
      <c r="C53" s="111">
        <v>17800</v>
      </c>
      <c r="D53" s="111">
        <v>14800</v>
      </c>
      <c r="E53" s="111">
        <v>3000</v>
      </c>
      <c r="F53" s="111">
        <v>6000</v>
      </c>
    </row>
    <row r="54" spans="1:6" ht="14.25" x14ac:dyDescent="0.2">
      <c r="A54">
        <v>6</v>
      </c>
      <c r="B54">
        <v>64</v>
      </c>
      <c r="C54" s="111">
        <v>15000</v>
      </c>
      <c r="D54" s="111">
        <v>15000</v>
      </c>
      <c r="E54" s="111">
        <v>3000</v>
      </c>
      <c r="F54" s="111">
        <v>10000</v>
      </c>
    </row>
    <row r="55" spans="1:6" ht="14.25" x14ac:dyDescent="0.2">
      <c r="A55">
        <v>28</v>
      </c>
      <c r="B55">
        <v>68</v>
      </c>
      <c r="C55" s="111">
        <v>21950</v>
      </c>
      <c r="D55" s="111">
        <v>21000</v>
      </c>
      <c r="E55" s="111">
        <v>3000</v>
      </c>
      <c r="F55" s="111">
        <v>10000</v>
      </c>
    </row>
    <row r="56" spans="1:6" ht="14.25" x14ac:dyDescent="0.2">
      <c r="A56">
        <v>7</v>
      </c>
      <c r="B56">
        <v>69</v>
      </c>
      <c r="C56" s="111">
        <v>37000</v>
      </c>
      <c r="D56" s="111">
        <v>22000</v>
      </c>
      <c r="E56" s="111">
        <v>1000</v>
      </c>
      <c r="F56" s="111">
        <v>4000</v>
      </c>
    </row>
    <row r="57" spans="1:6" ht="14.25" x14ac:dyDescent="0.2">
      <c r="A57">
        <v>40</v>
      </c>
      <c r="B57">
        <v>67</v>
      </c>
      <c r="C57" s="111">
        <v>30000</v>
      </c>
      <c r="D57" s="111">
        <v>30000</v>
      </c>
      <c r="E57" s="111">
        <v>900</v>
      </c>
      <c r="F57" s="111">
        <v>20000</v>
      </c>
    </row>
    <row r="58" spans="1:6" ht="14.25" x14ac:dyDescent="0.2">
      <c r="A58">
        <v>32</v>
      </c>
      <c r="B58">
        <v>66</v>
      </c>
      <c r="C58" s="111">
        <v>40000</v>
      </c>
      <c r="D58" s="111">
        <v>40000</v>
      </c>
      <c r="E58" s="111">
        <v>3000</v>
      </c>
      <c r="F58" s="111">
        <v>18185</v>
      </c>
    </row>
    <row r="59" spans="1:6" ht="14.25" x14ac:dyDescent="0.2">
      <c r="A59">
        <v>23</v>
      </c>
      <c r="B59">
        <v>57</v>
      </c>
      <c r="C59" s="111">
        <v>81000</v>
      </c>
      <c r="D59" s="111">
        <v>54500</v>
      </c>
      <c r="E59" s="111">
        <v>2000</v>
      </c>
      <c r="F59" s="111">
        <v>35000</v>
      </c>
    </row>
    <row r="60" spans="1:6" ht="14.25" x14ac:dyDescent="0.2">
      <c r="A60"/>
      <c r="B60"/>
      <c r="C60"/>
      <c r="D60"/>
      <c r="E60"/>
      <c r="F60"/>
    </row>
    <row r="61" spans="1:6" ht="14.25" x14ac:dyDescent="0.2">
      <c r="A61"/>
    </row>
    <row r="62" spans="1:6" ht="14.25" x14ac:dyDescent="0.2">
      <c r="A62"/>
    </row>
    <row r="63" spans="1:6" ht="14.25" x14ac:dyDescent="0.2">
      <c r="A63"/>
    </row>
    <row r="64" spans="1:6" ht="14.25" x14ac:dyDescent="0.2">
      <c r="A64"/>
    </row>
    <row r="65" spans="1:17" ht="14.25" x14ac:dyDescent="0.2">
      <c r="A65"/>
      <c r="B65" s="137" t="s">
        <v>103</v>
      </c>
      <c r="C65" s="137"/>
      <c r="D65" s="137"/>
      <c r="E65" s="137"/>
      <c r="F65" s="137"/>
      <c r="G65" s="137"/>
      <c r="H65" s="137"/>
      <c r="I65" s="137"/>
      <c r="J65" s="137"/>
      <c r="K65" s="137"/>
      <c r="L65" s="137"/>
      <c r="M65" s="137"/>
      <c r="N65" s="137"/>
      <c r="O65" s="137"/>
      <c r="P65" s="137"/>
      <c r="Q65" s="137"/>
    </row>
    <row r="66" spans="1:17" ht="14.25" x14ac:dyDescent="0.2">
      <c r="A66"/>
      <c r="B66" s="137"/>
      <c r="C66" s="137"/>
      <c r="D66" s="137"/>
      <c r="E66" s="137"/>
      <c r="F66" s="137"/>
      <c r="G66" s="137"/>
      <c r="H66" s="137"/>
      <c r="I66" s="137"/>
      <c r="J66" s="137"/>
      <c r="K66" s="137"/>
      <c r="L66" s="137"/>
      <c r="M66" s="137"/>
      <c r="N66" s="137"/>
      <c r="O66" s="137"/>
      <c r="P66" s="137"/>
      <c r="Q66" s="137"/>
    </row>
    <row r="67" spans="1:17" ht="14.25" x14ac:dyDescent="0.2">
      <c r="A67"/>
      <c r="B67" s="137"/>
      <c r="C67" s="137"/>
      <c r="D67" s="137"/>
      <c r="E67" s="137"/>
      <c r="F67" s="137"/>
      <c r="G67" s="137"/>
      <c r="H67" s="137"/>
      <c r="I67" s="137"/>
      <c r="J67" s="137"/>
      <c r="K67" s="137"/>
      <c r="L67" s="137"/>
      <c r="M67" s="137"/>
      <c r="N67" s="137"/>
      <c r="O67" s="137"/>
      <c r="P67" s="137"/>
      <c r="Q67" s="137"/>
    </row>
    <row r="68" spans="1:17" ht="14.25" x14ac:dyDescent="0.2">
      <c r="A68"/>
      <c r="B68" s="137"/>
      <c r="C68" s="137"/>
      <c r="D68" s="137"/>
      <c r="E68" s="137"/>
      <c r="F68" s="137"/>
      <c r="G68" s="137"/>
      <c r="H68" s="137"/>
      <c r="I68" s="137"/>
      <c r="J68" s="137"/>
      <c r="K68" s="137"/>
      <c r="L68" s="137"/>
      <c r="M68" s="137"/>
      <c r="N68" s="137"/>
      <c r="O68" s="137"/>
      <c r="P68" s="137"/>
      <c r="Q68" s="137"/>
    </row>
    <row r="69" spans="1:17" ht="14.25" x14ac:dyDescent="0.2">
      <c r="A69"/>
      <c r="B69" s="137"/>
      <c r="C69" s="137"/>
      <c r="D69" s="137"/>
      <c r="E69" s="137"/>
      <c r="F69" s="137"/>
      <c r="G69" s="137"/>
      <c r="H69" s="137"/>
      <c r="I69" s="137"/>
      <c r="J69" s="137"/>
      <c r="K69" s="137"/>
      <c r="L69" s="137"/>
      <c r="M69" s="137"/>
      <c r="N69" s="137"/>
      <c r="O69" s="137"/>
      <c r="P69" s="137"/>
      <c r="Q69" s="137"/>
    </row>
    <row r="70" spans="1:17" ht="14.25" x14ac:dyDescent="0.2">
      <c r="A70"/>
      <c r="B70" s="137"/>
      <c r="C70" s="137"/>
      <c r="D70" s="137"/>
      <c r="E70" s="137"/>
      <c r="F70" s="137"/>
      <c r="G70" s="137"/>
      <c r="H70" s="137"/>
      <c r="I70" s="137"/>
      <c r="J70" s="137"/>
      <c r="K70" s="137"/>
      <c r="L70" s="137"/>
      <c r="M70" s="137"/>
      <c r="N70" s="137"/>
      <c r="O70" s="137"/>
      <c r="P70" s="137"/>
      <c r="Q70" s="137"/>
    </row>
    <row r="71" spans="1:17" ht="14.25" x14ac:dyDescent="0.2">
      <c r="A71"/>
      <c r="B71" s="137"/>
      <c r="C71" s="137"/>
      <c r="D71" s="137"/>
      <c r="E71" s="137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</row>
    <row r="72" spans="1:17" ht="14.25" x14ac:dyDescent="0.2">
      <c r="A72"/>
    </row>
    <row r="73" spans="1:17" ht="14.25" x14ac:dyDescent="0.2">
      <c r="A73"/>
    </row>
    <row r="74" spans="1:17" ht="14.25" x14ac:dyDescent="0.2">
      <c r="A74"/>
    </row>
    <row r="75" spans="1:17" ht="14.25" x14ac:dyDescent="0.2">
      <c r="A75"/>
    </row>
    <row r="76" spans="1:17" ht="14.25" x14ac:dyDescent="0.2">
      <c r="A76"/>
      <c r="O76" s="22"/>
    </row>
    <row r="77" spans="1:17" ht="14.25" x14ac:dyDescent="0.2">
      <c r="A77"/>
      <c r="E77" s="2">
        <f>48/4</f>
        <v>12</v>
      </c>
    </row>
    <row r="78" spans="1:17" ht="14.25" x14ac:dyDescent="0.2">
      <c r="A78"/>
    </row>
    <row r="79" spans="1:17" ht="14.25" x14ac:dyDescent="0.2">
      <c r="A79"/>
    </row>
    <row r="80" spans="1:17" ht="14.25" x14ac:dyDescent="0.2">
      <c r="A80"/>
      <c r="I80" s="114" t="s">
        <v>77</v>
      </c>
      <c r="J80" s="114" t="s">
        <v>104</v>
      </c>
      <c r="K80" s="114" t="s">
        <v>106</v>
      </c>
    </row>
    <row r="81" spans="1:13" ht="14.25" x14ac:dyDescent="0.2">
      <c r="A81" s="2" t="s">
        <v>16</v>
      </c>
      <c r="B81" s="2" t="s">
        <v>17</v>
      </c>
      <c r="C81" s="2" t="s">
        <v>18</v>
      </c>
      <c r="I81" s="113" t="s">
        <v>105</v>
      </c>
      <c r="J81" s="113">
        <f>AVERAGE(Tabela13[Rendimento Total])</f>
        <v>12275.073750000001</v>
      </c>
      <c r="K81" s="113">
        <f>_xlfn.MODE.SNGL(Tabela13[Rendimento Total])</f>
        <v>5000</v>
      </c>
    </row>
    <row r="82" spans="1:13" ht="14.25" x14ac:dyDescent="0.2">
      <c r="A82" s="116">
        <v>72</v>
      </c>
      <c r="B82" s="117">
        <v>4300</v>
      </c>
      <c r="C82" s="117">
        <v>4300</v>
      </c>
      <c r="I82" s="113" t="s">
        <v>18</v>
      </c>
      <c r="J82" s="113">
        <f>AVERAGE(Tabela13[Salário])</f>
        <v>10507.115416666667</v>
      </c>
      <c r="K82" s="113">
        <f>_xlfn.MODE.SNGL(Tabela13[Salário])</f>
        <v>5000</v>
      </c>
    </row>
    <row r="83" spans="1:13" ht="14.25" x14ac:dyDescent="0.2">
      <c r="A83" s="116">
        <v>75</v>
      </c>
      <c r="B83" s="117">
        <v>4400</v>
      </c>
      <c r="C83" s="117">
        <v>4400</v>
      </c>
      <c r="I83" s="113"/>
      <c r="J83" s="113"/>
    </row>
    <row r="84" spans="1:13" ht="15" thickBot="1" x14ac:dyDescent="0.25">
      <c r="A84" s="116">
        <v>66</v>
      </c>
      <c r="B84" s="117">
        <v>4800</v>
      </c>
      <c r="C84" s="117">
        <v>4800</v>
      </c>
      <c r="I84" s="135" t="s">
        <v>107</v>
      </c>
      <c r="J84" s="135"/>
      <c r="L84" s="135" t="s">
        <v>45</v>
      </c>
      <c r="M84" s="135"/>
    </row>
    <row r="85" spans="1:13" ht="14.25" x14ac:dyDescent="0.2">
      <c r="A85" s="116">
        <v>35</v>
      </c>
      <c r="B85" s="117">
        <v>5000</v>
      </c>
      <c r="C85" s="117">
        <v>5000</v>
      </c>
      <c r="I85" s="26" t="s">
        <v>27</v>
      </c>
      <c r="J85" s="39">
        <f>AVERAGE(Tabela13[Rendimento Total])</f>
        <v>12275.073750000001</v>
      </c>
      <c r="L85" s="26" t="s">
        <v>27</v>
      </c>
      <c r="M85" s="39">
        <f>AVERAGE(Tabela13[Salário])</f>
        <v>10507.115416666667</v>
      </c>
    </row>
    <row r="86" spans="1:13" ht="14.25" x14ac:dyDescent="0.2">
      <c r="A86" s="116">
        <v>47</v>
      </c>
      <c r="B86" s="117">
        <v>5000</v>
      </c>
      <c r="C86" s="117">
        <v>5000</v>
      </c>
      <c r="I86" s="26" t="s">
        <v>21</v>
      </c>
      <c r="J86" s="39">
        <f>MEDIAN(Tabela13[Rendimento Total])</f>
        <v>8400</v>
      </c>
      <c r="L86" s="26" t="s">
        <v>21</v>
      </c>
      <c r="M86" s="39">
        <f>MEDIAN(Tabela13[Salário])</f>
        <v>7400</v>
      </c>
    </row>
    <row r="87" spans="1:13" ht="14.25" x14ac:dyDescent="0.2">
      <c r="A87" s="116">
        <v>68</v>
      </c>
      <c r="B87" s="117">
        <v>5000</v>
      </c>
      <c r="C87" s="117">
        <v>5000</v>
      </c>
      <c r="I87" s="30" t="s">
        <v>28</v>
      </c>
      <c r="J87" s="40">
        <f>_xlfn.MODE.SNGL(Tabela13[Rendimento Total])</f>
        <v>5000</v>
      </c>
      <c r="L87" s="30" t="s">
        <v>28</v>
      </c>
      <c r="M87" s="40">
        <f>_xlfn.MODE.SNGL(Tabela13[Salário])</f>
        <v>5000</v>
      </c>
    </row>
    <row r="88" spans="1:13" ht="14.25" x14ac:dyDescent="0.2">
      <c r="A88" s="116">
        <v>69</v>
      </c>
      <c r="B88" s="117">
        <v>5000</v>
      </c>
      <c r="C88" s="117">
        <v>5000</v>
      </c>
      <c r="I88" s="31" t="s">
        <v>29</v>
      </c>
      <c r="J88" s="39">
        <f>QUARTILE(Tabela13[Rendimento Total],1)</f>
        <v>6380</v>
      </c>
      <c r="L88" s="31" t="s">
        <v>29</v>
      </c>
      <c r="M88" s="39">
        <f>QUARTILE(Tabela13[Salário],1)</f>
        <v>5950</v>
      </c>
    </row>
    <row r="89" spans="1:13" ht="14.25" x14ac:dyDescent="0.2">
      <c r="A89" s="116">
        <v>44</v>
      </c>
      <c r="B89" s="117">
        <v>5800</v>
      </c>
      <c r="C89" s="117">
        <v>5800</v>
      </c>
      <c r="I89" s="31" t="s">
        <v>30</v>
      </c>
      <c r="J89" s="39">
        <f>QUARTILE(Tabela13[Rendimento Total],2)</f>
        <v>8400</v>
      </c>
      <c r="L89" s="31" t="s">
        <v>30</v>
      </c>
      <c r="M89" s="39">
        <f>QUARTILE(Tabela13[Salário],2)</f>
        <v>7400</v>
      </c>
    </row>
    <row r="90" spans="1:13" ht="14.25" x14ac:dyDescent="0.2">
      <c r="A90" s="116">
        <v>32</v>
      </c>
      <c r="B90" s="117">
        <v>6000</v>
      </c>
      <c r="C90" s="117">
        <v>6000</v>
      </c>
      <c r="I90" s="30" t="s">
        <v>31</v>
      </c>
      <c r="J90" s="40">
        <f>QUARTILE(Tabela13[Rendimento Total],3)</f>
        <v>12378.135</v>
      </c>
      <c r="L90" s="30" t="s">
        <v>31</v>
      </c>
      <c r="M90" s="40">
        <f>QUARTILE(Tabela13[Salário],3)</f>
        <v>10163</v>
      </c>
    </row>
    <row r="91" spans="1:13" ht="14.25" x14ac:dyDescent="0.2">
      <c r="A91" s="116">
        <v>54</v>
      </c>
      <c r="B91" s="117">
        <v>6000</v>
      </c>
      <c r="C91" s="117">
        <v>6000</v>
      </c>
      <c r="I91" s="31" t="s">
        <v>32</v>
      </c>
      <c r="J91" s="39">
        <f>PERCENTILE(Tabela13[Rendimento Total],0.1)</f>
        <v>5000</v>
      </c>
      <c r="L91" s="31" t="s">
        <v>32</v>
      </c>
      <c r="M91" s="39">
        <f>PERCENTILE(Tabela13[Salário],0.1)</f>
        <v>5000</v>
      </c>
    </row>
    <row r="92" spans="1:13" ht="14.25" x14ac:dyDescent="0.2">
      <c r="A92" s="116">
        <v>56</v>
      </c>
      <c r="B92" s="117">
        <v>6000</v>
      </c>
      <c r="C92" s="117">
        <v>6000</v>
      </c>
      <c r="I92" s="31" t="s">
        <v>33</v>
      </c>
      <c r="J92" s="39">
        <f>MIN(Tabela13[Rendimento Total])</f>
        <v>4300</v>
      </c>
      <c r="L92" s="31" t="s">
        <v>33</v>
      </c>
      <c r="M92" s="39">
        <f>MIN(Tabela13[Salário])</f>
        <v>4027</v>
      </c>
    </row>
    <row r="93" spans="1:13" ht="14.25" x14ac:dyDescent="0.2">
      <c r="A93" s="116">
        <v>39</v>
      </c>
      <c r="B93" s="117">
        <v>6320</v>
      </c>
      <c r="C93" s="117">
        <v>6320</v>
      </c>
      <c r="I93" s="31" t="s">
        <v>34</v>
      </c>
      <c r="J93" s="39">
        <f>PERCENTILE(Tabela13[Rendimento Total],0.99)</f>
        <v>61730.000000000044</v>
      </c>
      <c r="L93" s="31" t="s">
        <v>34</v>
      </c>
      <c r="M93" s="39">
        <f>PERCENTILE(Tabela13[Salário],0.99)</f>
        <v>47685.000000000015</v>
      </c>
    </row>
    <row r="94" spans="1:13" ht="14.25" x14ac:dyDescent="0.2">
      <c r="A94" s="118">
        <v>45</v>
      </c>
      <c r="B94" s="119">
        <v>6400</v>
      </c>
      <c r="C94" s="119">
        <v>6400</v>
      </c>
      <c r="I94" s="30" t="s">
        <v>35</v>
      </c>
      <c r="J94" s="40">
        <f>MAX(Tabela13[Rendimento Total])</f>
        <v>81000</v>
      </c>
      <c r="L94" s="30" t="s">
        <v>35</v>
      </c>
      <c r="M94" s="40">
        <f>MAX(Tabela13[Salário])</f>
        <v>54500</v>
      </c>
    </row>
    <row r="95" spans="1:13" ht="14.25" x14ac:dyDescent="0.2">
      <c r="A95" s="118">
        <v>67</v>
      </c>
      <c r="B95" s="119">
        <v>6500</v>
      </c>
      <c r="C95" s="119">
        <v>6500</v>
      </c>
      <c r="I95" s="31"/>
      <c r="J95" s="39"/>
      <c r="L95" s="31"/>
      <c r="M95" s="39"/>
    </row>
    <row r="96" spans="1:13" ht="14.25" x14ac:dyDescent="0.2">
      <c r="A96" s="118">
        <v>81</v>
      </c>
      <c r="B96" s="119">
        <v>6800</v>
      </c>
      <c r="C96" s="119">
        <v>6800</v>
      </c>
      <c r="I96" s="37" t="s">
        <v>36</v>
      </c>
      <c r="J96" s="41">
        <f>J90+(1.5*J105)</f>
        <v>21375.337500000001</v>
      </c>
      <c r="L96" s="37" t="s">
        <v>36</v>
      </c>
      <c r="M96" s="41">
        <f>M90+(1.5*M105)</f>
        <v>16482.5</v>
      </c>
    </row>
    <row r="97" spans="1:13" ht="14.25" x14ac:dyDescent="0.2">
      <c r="A97" s="118">
        <v>70</v>
      </c>
      <c r="B97" s="119">
        <v>6900</v>
      </c>
      <c r="C97" s="119">
        <v>6900</v>
      </c>
      <c r="I97" s="38" t="s">
        <v>37</v>
      </c>
      <c r="J97" s="40">
        <f>J88-(1.5*J105)</f>
        <v>-2617.2024999999994</v>
      </c>
      <c r="L97" s="38" t="s">
        <v>37</v>
      </c>
      <c r="M97" s="40">
        <f>M88-(1.5*M105)</f>
        <v>-369.5</v>
      </c>
    </row>
    <row r="98" spans="1:13" ht="14.25" x14ac:dyDescent="0.2">
      <c r="A98" s="118">
        <v>31</v>
      </c>
      <c r="B98" s="119">
        <v>6927</v>
      </c>
      <c r="C98" s="119">
        <v>6927</v>
      </c>
      <c r="I98" s="31"/>
      <c r="J98" s="29"/>
      <c r="L98" s="31"/>
      <c r="M98" s="29"/>
    </row>
    <row r="99" spans="1:13" ht="14.25" x14ac:dyDescent="0.2">
      <c r="A99" s="118">
        <v>70</v>
      </c>
      <c r="B99" s="119">
        <v>7000</v>
      </c>
      <c r="C99" s="119">
        <v>5500</v>
      </c>
      <c r="I99" s="31"/>
      <c r="J99" s="29"/>
      <c r="L99" s="31"/>
      <c r="M99" s="29"/>
    </row>
    <row r="100" spans="1:13" ht="15" thickBot="1" x14ac:dyDescent="0.25">
      <c r="A100" s="118">
        <v>72</v>
      </c>
      <c r="B100" s="119">
        <v>7825</v>
      </c>
      <c r="C100" s="119">
        <v>7825</v>
      </c>
      <c r="I100" s="135" t="s">
        <v>108</v>
      </c>
      <c r="J100" s="135"/>
      <c r="L100" s="135" t="s">
        <v>108</v>
      </c>
      <c r="M100" s="135"/>
    </row>
    <row r="101" spans="1:13" ht="14.25" x14ac:dyDescent="0.2">
      <c r="A101" s="118">
        <v>73</v>
      </c>
      <c r="B101" s="119">
        <v>7890</v>
      </c>
      <c r="C101" s="119">
        <v>7000</v>
      </c>
      <c r="I101" s="25" t="s">
        <v>38</v>
      </c>
      <c r="J101" s="42">
        <f>STDEVA(Tabela13[Rendimento Total])</f>
        <v>12640.653747730423</v>
      </c>
      <c r="L101" s="25" t="s">
        <v>38</v>
      </c>
      <c r="M101" s="42">
        <f>STDEVA(Tabela13[Salário])</f>
        <v>9332.1710936019281</v>
      </c>
    </row>
    <row r="102" spans="1:13" ht="14.25" x14ac:dyDescent="0.2">
      <c r="A102" s="118">
        <v>39</v>
      </c>
      <c r="B102" s="119">
        <v>8000</v>
      </c>
      <c r="C102" s="119">
        <v>6500</v>
      </c>
      <c r="I102" s="25" t="s">
        <v>39</v>
      </c>
      <c r="J102" s="42">
        <f>J101^2</f>
        <v>159786127.17001119</v>
      </c>
      <c r="L102" s="25" t="s">
        <v>39</v>
      </c>
      <c r="M102" s="42">
        <f>M101^2</f>
        <v>87089417.320259407</v>
      </c>
    </row>
    <row r="103" spans="1:13" ht="14.25" x14ac:dyDescent="0.2">
      <c r="A103" s="118">
        <v>30</v>
      </c>
      <c r="B103" s="119">
        <v>8000</v>
      </c>
      <c r="C103" s="119">
        <v>8000</v>
      </c>
      <c r="I103" s="25" t="s">
        <v>40</v>
      </c>
      <c r="J103" s="42">
        <f>MAX(Tabela13[Rendimento Total])</f>
        <v>81000</v>
      </c>
      <c r="L103" s="25" t="s">
        <v>40</v>
      </c>
      <c r="M103" s="42">
        <f>MAX(Tabela13[Salário])</f>
        <v>54500</v>
      </c>
    </row>
    <row r="104" spans="1:13" ht="14.25" x14ac:dyDescent="0.2">
      <c r="A104" s="118">
        <v>94</v>
      </c>
      <c r="B104" s="119">
        <v>8000</v>
      </c>
      <c r="C104" s="119">
        <v>8000</v>
      </c>
      <c r="I104" s="25" t="s">
        <v>33</v>
      </c>
      <c r="J104" s="42">
        <f>MIN(Tabela13[Rendimento Total])</f>
        <v>4300</v>
      </c>
      <c r="L104" s="25" t="s">
        <v>33</v>
      </c>
      <c r="M104" s="42">
        <f>MIN(Tabela13[Salário])</f>
        <v>4027</v>
      </c>
    </row>
    <row r="105" spans="1:13" ht="14.25" x14ac:dyDescent="0.2">
      <c r="A105" s="118">
        <v>80</v>
      </c>
      <c r="B105" s="119">
        <v>8100</v>
      </c>
      <c r="C105" s="119">
        <v>8100</v>
      </c>
      <c r="I105" s="25" t="s">
        <v>41</v>
      </c>
      <c r="J105" s="42">
        <f>J90-J88</f>
        <v>5998.1350000000002</v>
      </c>
      <c r="L105" s="25" t="s">
        <v>41</v>
      </c>
      <c r="M105" s="42">
        <f>M90-M88</f>
        <v>4213</v>
      </c>
    </row>
    <row r="106" spans="1:13" ht="14.25" x14ac:dyDescent="0.2">
      <c r="A106" s="120">
        <v>63</v>
      </c>
      <c r="B106" s="121">
        <v>8700</v>
      </c>
      <c r="C106" s="121">
        <v>5700</v>
      </c>
      <c r="I106" s="25" t="s">
        <v>42</v>
      </c>
      <c r="J106" s="42">
        <f>J103-J104</f>
        <v>76700</v>
      </c>
      <c r="L106" s="25" t="s">
        <v>42</v>
      </c>
      <c r="M106" s="42">
        <f>M103-M104</f>
        <v>50473</v>
      </c>
    </row>
    <row r="107" spans="1:13" ht="14.25" x14ac:dyDescent="0.2">
      <c r="A107" s="120">
        <v>62</v>
      </c>
      <c r="B107" s="121">
        <v>8784</v>
      </c>
      <c r="C107" s="121">
        <v>8784</v>
      </c>
      <c r="I107" s="36" t="s">
        <v>43</v>
      </c>
      <c r="J107" s="43">
        <f>(J101/J85)*100</f>
        <v>102.97823056036972</v>
      </c>
      <c r="L107" s="36" t="s">
        <v>43</v>
      </c>
      <c r="M107" s="43">
        <f>(M101/M85)*100</f>
        <v>88.817631895420021</v>
      </c>
    </row>
    <row r="108" spans="1:13" ht="14.25" x14ac:dyDescent="0.2">
      <c r="A108" s="120">
        <v>65</v>
      </c>
      <c r="B108" s="121">
        <v>8800</v>
      </c>
      <c r="C108" s="121">
        <v>7300</v>
      </c>
      <c r="I108" s="24"/>
      <c r="J108" s="44"/>
      <c r="L108" s="24"/>
      <c r="M108" s="44"/>
    </row>
    <row r="109" spans="1:13" ht="14.25" x14ac:dyDescent="0.2">
      <c r="A109" s="120">
        <v>47</v>
      </c>
      <c r="B109" s="121">
        <v>10000</v>
      </c>
      <c r="C109" s="121">
        <v>10000</v>
      </c>
      <c r="I109" s="24" t="s">
        <v>44</v>
      </c>
      <c r="J109" s="44">
        <f>SKEW(Tabela13[Rendimento Total])</f>
        <v>3.9778213707175651</v>
      </c>
      <c r="L109" s="24" t="s">
        <v>44</v>
      </c>
      <c r="M109" s="44">
        <f>SKEW(Tabela13[Salário])</f>
        <v>3.2278647074102049</v>
      </c>
    </row>
    <row r="110" spans="1:13" ht="14.25" x14ac:dyDescent="0.2">
      <c r="A110" s="120">
        <v>69</v>
      </c>
      <c r="B110" s="121">
        <v>10000</v>
      </c>
      <c r="C110" s="121">
        <v>10000</v>
      </c>
    </row>
    <row r="111" spans="1:13" ht="14.25" x14ac:dyDescent="0.2">
      <c r="A111" s="120">
        <v>82</v>
      </c>
      <c r="B111" s="121">
        <v>10000</v>
      </c>
      <c r="C111" s="121">
        <v>10000</v>
      </c>
    </row>
    <row r="112" spans="1:13" ht="14.25" x14ac:dyDescent="0.2">
      <c r="A112" s="120">
        <v>68</v>
      </c>
      <c r="B112" s="121">
        <v>10527</v>
      </c>
      <c r="C112" s="121">
        <v>4027</v>
      </c>
    </row>
    <row r="113" spans="1:3" ht="14.25" x14ac:dyDescent="0.2">
      <c r="A113" s="120">
        <v>70</v>
      </c>
      <c r="B113" s="121">
        <v>10736</v>
      </c>
      <c r="C113" s="121">
        <v>5214</v>
      </c>
    </row>
    <row r="114" spans="1:3" ht="14.25" x14ac:dyDescent="0.2">
      <c r="A114" s="120">
        <v>61</v>
      </c>
      <c r="B114" s="121">
        <v>11000</v>
      </c>
      <c r="C114" s="121">
        <v>7500</v>
      </c>
    </row>
    <row r="115" spans="1:3" ht="14.25" x14ac:dyDescent="0.2">
      <c r="A115" s="120">
        <v>35</v>
      </c>
      <c r="B115" s="121">
        <v>12000</v>
      </c>
      <c r="C115" s="121">
        <v>9000</v>
      </c>
    </row>
    <row r="116" spans="1:3" ht="14.25" x14ac:dyDescent="0.2">
      <c r="A116" s="120">
        <v>46</v>
      </c>
      <c r="B116" s="121">
        <v>12000</v>
      </c>
      <c r="C116" s="121">
        <v>12000</v>
      </c>
    </row>
    <row r="117" spans="1:3" ht="14.25" x14ac:dyDescent="0.2">
      <c r="A117" s="120">
        <v>75</v>
      </c>
      <c r="B117" s="121">
        <v>12200</v>
      </c>
      <c r="C117" s="121">
        <v>9200</v>
      </c>
    </row>
    <row r="118" spans="1:3" ht="14.25" x14ac:dyDescent="0.2">
      <c r="A118" s="122">
        <v>45</v>
      </c>
      <c r="B118" s="123">
        <v>12912.54</v>
      </c>
      <c r="C118" s="123">
        <v>12912.54</v>
      </c>
    </row>
    <row r="119" spans="1:3" ht="14.25" x14ac:dyDescent="0.2">
      <c r="A119" s="122">
        <v>66</v>
      </c>
      <c r="B119" s="123">
        <v>13348</v>
      </c>
      <c r="C119" s="123">
        <v>13348</v>
      </c>
    </row>
    <row r="120" spans="1:3" ht="14.25" x14ac:dyDescent="0.2">
      <c r="A120" s="122">
        <v>70</v>
      </c>
      <c r="B120" s="123">
        <v>13500</v>
      </c>
      <c r="C120" s="123">
        <v>13500</v>
      </c>
    </row>
    <row r="121" spans="1:3" ht="14.25" x14ac:dyDescent="0.2">
      <c r="A121" s="122">
        <v>74</v>
      </c>
      <c r="B121" s="123">
        <v>14584</v>
      </c>
      <c r="C121" s="123">
        <v>10084</v>
      </c>
    </row>
    <row r="122" spans="1:3" ht="14.25" x14ac:dyDescent="0.2">
      <c r="A122" s="122">
        <v>64</v>
      </c>
      <c r="B122" s="123">
        <v>15000</v>
      </c>
      <c r="C122" s="123">
        <v>15000</v>
      </c>
    </row>
    <row r="123" spans="1:3" ht="14.25" x14ac:dyDescent="0.2">
      <c r="A123" s="122">
        <v>67</v>
      </c>
      <c r="B123" s="123">
        <v>15400</v>
      </c>
      <c r="C123" s="123">
        <v>10400</v>
      </c>
    </row>
    <row r="124" spans="1:3" ht="14.25" x14ac:dyDescent="0.2">
      <c r="A124" s="122">
        <v>62</v>
      </c>
      <c r="B124" s="123">
        <v>17800</v>
      </c>
      <c r="C124" s="123">
        <v>14800</v>
      </c>
    </row>
    <row r="125" spans="1:3" ht="14.25" x14ac:dyDescent="0.2">
      <c r="A125" s="122">
        <v>68</v>
      </c>
      <c r="B125" s="123">
        <v>21950</v>
      </c>
      <c r="C125" s="123">
        <v>21000</v>
      </c>
    </row>
    <row r="126" spans="1:3" ht="14.25" x14ac:dyDescent="0.2">
      <c r="A126" s="122">
        <v>67</v>
      </c>
      <c r="B126" s="123">
        <v>30000</v>
      </c>
      <c r="C126" s="123">
        <v>30000</v>
      </c>
    </row>
    <row r="127" spans="1:3" ht="14.25" x14ac:dyDescent="0.2">
      <c r="A127" s="122">
        <v>69</v>
      </c>
      <c r="B127" s="123">
        <v>37000</v>
      </c>
      <c r="C127" s="123">
        <v>22000</v>
      </c>
    </row>
    <row r="128" spans="1:3" ht="14.25" x14ac:dyDescent="0.2">
      <c r="A128" s="122">
        <v>66</v>
      </c>
      <c r="B128" s="123">
        <v>40000</v>
      </c>
      <c r="C128" s="123">
        <v>40000</v>
      </c>
    </row>
    <row r="129" spans="1:17" ht="14.25" x14ac:dyDescent="0.2">
      <c r="A129" s="122">
        <v>57</v>
      </c>
      <c r="B129" s="123">
        <v>81000</v>
      </c>
      <c r="C129" s="123">
        <v>54500</v>
      </c>
    </row>
    <row r="136" spans="1:17" ht="13.5" customHeight="1" x14ac:dyDescent="0.2">
      <c r="B136" s="137" t="s">
        <v>111</v>
      </c>
      <c r="C136" s="137"/>
      <c r="D136" s="137"/>
      <c r="E136" s="137"/>
      <c r="F136" s="137"/>
      <c r="G136" s="137"/>
      <c r="H136" s="137"/>
      <c r="I136" s="137"/>
      <c r="J136" s="137"/>
      <c r="K136" s="137"/>
      <c r="L136" s="137"/>
      <c r="M136" s="137"/>
      <c r="N136" s="137"/>
      <c r="O136" s="137"/>
      <c r="P136" s="137"/>
      <c r="Q136" s="137"/>
    </row>
    <row r="137" spans="1:17" ht="13.5" customHeight="1" x14ac:dyDescent="0.2">
      <c r="B137" s="137"/>
      <c r="C137" s="137"/>
      <c r="D137" s="137"/>
      <c r="E137" s="137"/>
      <c r="F137" s="137"/>
      <c r="G137" s="137"/>
      <c r="H137" s="137"/>
      <c r="I137" s="137"/>
      <c r="J137" s="137"/>
      <c r="K137" s="137"/>
      <c r="L137" s="137"/>
      <c r="M137" s="137"/>
      <c r="N137" s="137"/>
      <c r="O137" s="137"/>
      <c r="P137" s="137"/>
      <c r="Q137" s="137"/>
    </row>
    <row r="138" spans="1:17" ht="13.5" customHeight="1" x14ac:dyDescent="0.2">
      <c r="B138" s="137"/>
      <c r="C138" s="137"/>
      <c r="D138" s="137"/>
      <c r="E138" s="137"/>
      <c r="F138" s="137"/>
      <c r="G138" s="137"/>
      <c r="H138" s="137"/>
      <c r="I138" s="137"/>
      <c r="J138" s="137"/>
      <c r="K138" s="137"/>
      <c r="L138" s="137"/>
      <c r="M138" s="137"/>
      <c r="N138" s="137"/>
      <c r="O138" s="137"/>
      <c r="P138" s="137"/>
      <c r="Q138" s="137"/>
    </row>
    <row r="139" spans="1:17" ht="13.5" customHeight="1" x14ac:dyDescent="0.2">
      <c r="B139" s="137"/>
      <c r="C139" s="137"/>
      <c r="D139" s="137"/>
      <c r="E139" s="137"/>
      <c r="F139" s="137"/>
      <c r="G139" s="137"/>
      <c r="H139" s="137"/>
      <c r="I139" s="137"/>
      <c r="J139" s="137"/>
      <c r="K139" s="137"/>
      <c r="L139" s="137"/>
      <c r="M139" s="137"/>
      <c r="N139" s="137"/>
      <c r="O139" s="137"/>
      <c r="P139" s="137"/>
      <c r="Q139" s="137"/>
    </row>
    <row r="140" spans="1:17" ht="13.5" customHeight="1" x14ac:dyDescent="0.2">
      <c r="B140" s="137"/>
      <c r="C140" s="137"/>
      <c r="D140" s="137"/>
      <c r="E140" s="137"/>
      <c r="F140" s="137"/>
      <c r="G140" s="137"/>
      <c r="H140" s="137"/>
      <c r="I140" s="137"/>
      <c r="J140" s="137"/>
      <c r="K140" s="137"/>
      <c r="L140" s="137"/>
      <c r="M140" s="137"/>
      <c r="N140" s="137"/>
      <c r="O140" s="137"/>
      <c r="P140" s="137"/>
      <c r="Q140" s="137"/>
    </row>
    <row r="141" spans="1:17" ht="13.5" customHeight="1" x14ac:dyDescent="0.2">
      <c r="B141" s="137"/>
      <c r="C141" s="137"/>
      <c r="D141" s="137"/>
      <c r="E141" s="137"/>
      <c r="F141" s="137"/>
      <c r="G141" s="137"/>
      <c r="H141" s="137"/>
      <c r="I141" s="137"/>
      <c r="J141" s="137"/>
      <c r="K141" s="137"/>
      <c r="L141" s="137"/>
      <c r="M141" s="137"/>
      <c r="N141" s="137"/>
      <c r="O141" s="137"/>
      <c r="P141" s="137"/>
      <c r="Q141" s="137"/>
    </row>
    <row r="142" spans="1:17" ht="13.5" customHeight="1" x14ac:dyDescent="0.2">
      <c r="B142" s="137"/>
      <c r="C142" s="137"/>
      <c r="D142" s="137"/>
      <c r="E142" s="137"/>
      <c r="F142" s="137"/>
      <c r="G142" s="137"/>
      <c r="H142" s="137"/>
      <c r="I142" s="137"/>
      <c r="J142" s="137"/>
      <c r="K142" s="137"/>
      <c r="L142" s="137"/>
      <c r="M142" s="137"/>
      <c r="N142" s="137"/>
      <c r="O142" s="137"/>
      <c r="P142" s="137"/>
      <c r="Q142" s="137"/>
    </row>
    <row r="147" spans="1:15" ht="13.5" customHeight="1" x14ac:dyDescent="0.2">
      <c r="O147" s="22"/>
    </row>
    <row r="151" spans="1:15" ht="13.5" customHeight="1" x14ac:dyDescent="0.2">
      <c r="A151" s="2" t="s">
        <v>16</v>
      </c>
      <c r="B151" s="2" t="s">
        <v>17</v>
      </c>
      <c r="C151" s="2" t="s">
        <v>18</v>
      </c>
    </row>
    <row r="152" spans="1:15" ht="13.5" customHeight="1" x14ac:dyDescent="0.2">
      <c r="A152" s="116">
        <v>72</v>
      </c>
      <c r="B152" s="117">
        <v>4300</v>
      </c>
      <c r="C152" s="117">
        <v>4300</v>
      </c>
    </row>
    <row r="153" spans="1:15" ht="13.5" customHeight="1" x14ac:dyDescent="0.2">
      <c r="A153" s="116">
        <v>75</v>
      </c>
      <c r="B153" s="117">
        <v>4400</v>
      </c>
      <c r="C153" s="117">
        <v>4400</v>
      </c>
    </row>
    <row r="154" spans="1:15" ht="13.5" customHeight="1" x14ac:dyDescent="0.2">
      <c r="A154" s="116">
        <v>66</v>
      </c>
      <c r="B154" s="117">
        <v>4800</v>
      </c>
      <c r="C154" s="117">
        <v>4800</v>
      </c>
    </row>
    <row r="155" spans="1:15" ht="13.5" customHeight="1" x14ac:dyDescent="0.2">
      <c r="A155" s="116">
        <v>35</v>
      </c>
      <c r="B155" s="117">
        <v>5000</v>
      </c>
      <c r="C155" s="117">
        <v>5000</v>
      </c>
    </row>
    <row r="156" spans="1:15" ht="13.5" customHeight="1" x14ac:dyDescent="0.2">
      <c r="A156" s="116">
        <v>47</v>
      </c>
      <c r="B156" s="117">
        <v>5000</v>
      </c>
      <c r="C156" s="117">
        <v>5000</v>
      </c>
    </row>
    <row r="157" spans="1:15" ht="13.5" customHeight="1" x14ac:dyDescent="0.2">
      <c r="A157" s="116">
        <v>68</v>
      </c>
      <c r="B157" s="117">
        <v>5000</v>
      </c>
      <c r="C157" s="117">
        <v>5000</v>
      </c>
    </row>
    <row r="158" spans="1:15" ht="13.5" customHeight="1" x14ac:dyDescent="0.2">
      <c r="A158" s="116">
        <v>69</v>
      </c>
      <c r="B158" s="117">
        <v>5000</v>
      </c>
      <c r="C158" s="117">
        <v>5000</v>
      </c>
    </row>
    <row r="159" spans="1:15" ht="13.5" customHeight="1" x14ac:dyDescent="0.2">
      <c r="A159" s="116">
        <v>44</v>
      </c>
      <c r="B159" s="117">
        <v>5800</v>
      </c>
      <c r="C159" s="117">
        <v>5800</v>
      </c>
    </row>
    <row r="160" spans="1:15" ht="13.5" customHeight="1" x14ac:dyDescent="0.2">
      <c r="A160" s="116">
        <v>32</v>
      </c>
      <c r="B160" s="117">
        <v>6000</v>
      </c>
      <c r="C160" s="117">
        <v>6000</v>
      </c>
    </row>
    <row r="161" spans="1:6" ht="13.5" customHeight="1" x14ac:dyDescent="0.2">
      <c r="A161" s="116">
        <v>54</v>
      </c>
      <c r="B161" s="117">
        <v>6000</v>
      </c>
      <c r="C161" s="117">
        <v>6000</v>
      </c>
    </row>
    <row r="162" spans="1:6" ht="13.5" customHeight="1" x14ac:dyDescent="0.2">
      <c r="A162" s="116">
        <v>56</v>
      </c>
      <c r="B162" s="117">
        <v>6000</v>
      </c>
      <c r="C162" s="117">
        <v>6000</v>
      </c>
    </row>
    <row r="163" spans="1:6" ht="13.5" customHeight="1" x14ac:dyDescent="0.2">
      <c r="A163" s="116">
        <v>39</v>
      </c>
      <c r="B163" s="117">
        <v>6320</v>
      </c>
      <c r="C163" s="117">
        <v>6320</v>
      </c>
    </row>
    <row r="164" spans="1:6" ht="13.5" customHeight="1" x14ac:dyDescent="0.2">
      <c r="A164" s="118">
        <v>45</v>
      </c>
      <c r="B164" s="119">
        <v>6400</v>
      </c>
      <c r="C164" s="119">
        <v>6400</v>
      </c>
    </row>
    <row r="165" spans="1:6" ht="13.5" customHeight="1" x14ac:dyDescent="0.2">
      <c r="A165" s="118">
        <v>67</v>
      </c>
      <c r="B165" s="119">
        <v>6500</v>
      </c>
      <c r="C165" s="119">
        <v>6500</v>
      </c>
    </row>
    <row r="166" spans="1:6" ht="13.5" customHeight="1" x14ac:dyDescent="0.2">
      <c r="A166" s="118">
        <v>81</v>
      </c>
      <c r="B166" s="119">
        <v>6800</v>
      </c>
      <c r="C166" s="119">
        <v>6800</v>
      </c>
    </row>
    <row r="167" spans="1:6" ht="13.5" customHeight="1" x14ac:dyDescent="0.2">
      <c r="A167" s="118">
        <v>70</v>
      </c>
      <c r="B167" s="119">
        <v>6900</v>
      </c>
      <c r="C167" s="119">
        <v>6900</v>
      </c>
    </row>
    <row r="168" spans="1:6" ht="13.5" customHeight="1" thickBot="1" x14ac:dyDescent="0.25">
      <c r="A168" s="118">
        <v>31</v>
      </c>
      <c r="B168" s="119">
        <v>6927</v>
      </c>
      <c r="C168" s="119">
        <v>6927</v>
      </c>
      <c r="E168" s="135" t="s">
        <v>109</v>
      </c>
      <c r="F168" s="135"/>
    </row>
    <row r="169" spans="1:6" ht="13.5" customHeight="1" x14ac:dyDescent="0.2">
      <c r="A169" s="118">
        <v>70</v>
      </c>
      <c r="B169" s="119">
        <v>7000</v>
      </c>
      <c r="C169" s="119">
        <v>5500</v>
      </c>
      <c r="E169" s="25" t="s">
        <v>110</v>
      </c>
      <c r="F169" s="115">
        <f>CORREL(Tabela13[Rendimento Total],Tabela13[Salário])</f>
        <v>0.96055078960235296</v>
      </c>
    </row>
    <row r="170" spans="1:6" ht="13.5" customHeight="1" x14ac:dyDescent="0.2">
      <c r="A170" s="118">
        <v>72</v>
      </c>
      <c r="B170" s="119">
        <v>7825</v>
      </c>
      <c r="C170" s="119">
        <v>7825</v>
      </c>
    </row>
    <row r="171" spans="1:6" ht="13.5" customHeight="1" x14ac:dyDescent="0.2">
      <c r="A171" s="118">
        <v>73</v>
      </c>
      <c r="B171" s="119">
        <v>7890</v>
      </c>
      <c r="C171" s="119">
        <v>7000</v>
      </c>
    </row>
    <row r="172" spans="1:6" ht="13.5" customHeight="1" x14ac:dyDescent="0.2">
      <c r="A172" s="118">
        <v>39</v>
      </c>
      <c r="B172" s="119">
        <v>8000</v>
      </c>
      <c r="C172" s="119">
        <v>6500</v>
      </c>
    </row>
    <row r="173" spans="1:6" ht="13.5" customHeight="1" x14ac:dyDescent="0.2">
      <c r="A173" s="118">
        <v>30</v>
      </c>
      <c r="B173" s="119">
        <v>8000</v>
      </c>
      <c r="C173" s="119">
        <v>8000</v>
      </c>
    </row>
    <row r="174" spans="1:6" ht="13.5" customHeight="1" x14ac:dyDescent="0.2">
      <c r="A174" s="118">
        <v>94</v>
      </c>
      <c r="B174" s="119">
        <v>8000</v>
      </c>
      <c r="C174" s="119">
        <v>8000</v>
      </c>
    </row>
    <row r="175" spans="1:6" ht="13.5" customHeight="1" x14ac:dyDescent="0.2">
      <c r="A175" s="118">
        <v>80</v>
      </c>
      <c r="B175" s="119">
        <v>8100</v>
      </c>
      <c r="C175" s="119">
        <v>8100</v>
      </c>
    </row>
    <row r="176" spans="1:6" ht="13.5" customHeight="1" x14ac:dyDescent="0.2">
      <c r="A176" s="120">
        <v>63</v>
      </c>
      <c r="B176" s="121">
        <v>8700</v>
      </c>
      <c r="C176" s="121">
        <v>5700</v>
      </c>
    </row>
    <row r="177" spans="1:3" ht="13.5" customHeight="1" x14ac:dyDescent="0.2">
      <c r="A177" s="120">
        <v>62</v>
      </c>
      <c r="B177" s="121">
        <v>8784</v>
      </c>
      <c r="C177" s="121">
        <v>8784</v>
      </c>
    </row>
    <row r="178" spans="1:3" ht="13.5" customHeight="1" x14ac:dyDescent="0.2">
      <c r="A178" s="120">
        <v>65</v>
      </c>
      <c r="B178" s="121">
        <v>8800</v>
      </c>
      <c r="C178" s="121">
        <v>7300</v>
      </c>
    </row>
    <row r="179" spans="1:3" ht="13.5" customHeight="1" x14ac:dyDescent="0.2">
      <c r="A179" s="120">
        <v>47</v>
      </c>
      <c r="B179" s="121">
        <v>10000</v>
      </c>
      <c r="C179" s="121">
        <v>10000</v>
      </c>
    </row>
    <row r="180" spans="1:3" ht="13.5" customHeight="1" x14ac:dyDescent="0.2">
      <c r="A180" s="120">
        <v>69</v>
      </c>
      <c r="B180" s="121">
        <v>10000</v>
      </c>
      <c r="C180" s="121">
        <v>10000</v>
      </c>
    </row>
    <row r="181" spans="1:3" ht="13.5" customHeight="1" x14ac:dyDescent="0.2">
      <c r="A181" s="120">
        <v>82</v>
      </c>
      <c r="B181" s="121">
        <v>10000</v>
      </c>
      <c r="C181" s="121">
        <v>10000</v>
      </c>
    </row>
    <row r="182" spans="1:3" ht="13.5" customHeight="1" x14ac:dyDescent="0.2">
      <c r="A182" s="120">
        <v>68</v>
      </c>
      <c r="B182" s="121">
        <v>10527</v>
      </c>
      <c r="C182" s="121">
        <v>4027</v>
      </c>
    </row>
    <row r="183" spans="1:3" ht="13.5" customHeight="1" x14ac:dyDescent="0.2">
      <c r="A183" s="120">
        <v>70</v>
      </c>
      <c r="B183" s="121">
        <v>10736</v>
      </c>
      <c r="C183" s="121">
        <v>5214</v>
      </c>
    </row>
    <row r="184" spans="1:3" ht="13.5" customHeight="1" x14ac:dyDescent="0.2">
      <c r="A184" s="120">
        <v>61</v>
      </c>
      <c r="B184" s="121">
        <v>11000</v>
      </c>
      <c r="C184" s="121">
        <v>7500</v>
      </c>
    </row>
    <row r="185" spans="1:3" ht="13.5" customHeight="1" x14ac:dyDescent="0.2">
      <c r="A185" s="120">
        <v>35</v>
      </c>
      <c r="B185" s="121">
        <v>12000</v>
      </c>
      <c r="C185" s="121">
        <v>9000</v>
      </c>
    </row>
    <row r="186" spans="1:3" ht="13.5" customHeight="1" x14ac:dyDescent="0.2">
      <c r="A186" s="120">
        <v>46</v>
      </c>
      <c r="B186" s="121">
        <v>12000</v>
      </c>
      <c r="C186" s="121">
        <v>12000</v>
      </c>
    </row>
    <row r="187" spans="1:3" ht="13.5" customHeight="1" x14ac:dyDescent="0.2">
      <c r="A187" s="120">
        <v>75</v>
      </c>
      <c r="B187" s="121">
        <v>12200</v>
      </c>
      <c r="C187" s="121">
        <v>9200</v>
      </c>
    </row>
    <row r="188" spans="1:3" ht="13.5" customHeight="1" x14ac:dyDescent="0.2">
      <c r="A188" s="122">
        <v>45</v>
      </c>
      <c r="B188" s="123">
        <v>12912.54</v>
      </c>
      <c r="C188" s="123">
        <v>12912.54</v>
      </c>
    </row>
    <row r="189" spans="1:3" ht="13.5" customHeight="1" x14ac:dyDescent="0.2">
      <c r="A189" s="122">
        <v>66</v>
      </c>
      <c r="B189" s="123">
        <v>13348</v>
      </c>
      <c r="C189" s="123">
        <v>13348</v>
      </c>
    </row>
    <row r="190" spans="1:3" ht="13.5" customHeight="1" x14ac:dyDescent="0.2">
      <c r="A190" s="122">
        <v>70</v>
      </c>
      <c r="B190" s="123">
        <v>13500</v>
      </c>
      <c r="C190" s="123">
        <v>13500</v>
      </c>
    </row>
    <row r="191" spans="1:3" ht="13.5" customHeight="1" x14ac:dyDescent="0.2">
      <c r="A191" s="122">
        <v>74</v>
      </c>
      <c r="B191" s="123">
        <v>14584</v>
      </c>
      <c r="C191" s="123">
        <v>10084</v>
      </c>
    </row>
    <row r="192" spans="1:3" ht="13.5" customHeight="1" x14ac:dyDescent="0.2">
      <c r="A192" s="122">
        <v>64</v>
      </c>
      <c r="B192" s="123">
        <v>15000</v>
      </c>
      <c r="C192" s="123">
        <v>15000</v>
      </c>
    </row>
    <row r="193" spans="1:17" ht="13.5" customHeight="1" x14ac:dyDescent="0.2">
      <c r="A193" s="122">
        <v>67</v>
      </c>
      <c r="B193" s="123">
        <v>15400</v>
      </c>
      <c r="C193" s="123">
        <v>10400</v>
      </c>
    </row>
    <row r="194" spans="1:17" ht="13.5" customHeight="1" x14ac:dyDescent="0.2">
      <c r="A194" s="122">
        <v>62</v>
      </c>
      <c r="B194" s="123">
        <v>17800</v>
      </c>
      <c r="C194" s="123">
        <v>14800</v>
      </c>
    </row>
    <row r="195" spans="1:17" ht="13.5" customHeight="1" x14ac:dyDescent="0.2">
      <c r="A195" s="122">
        <v>68</v>
      </c>
      <c r="B195" s="123">
        <v>21950</v>
      </c>
      <c r="C195" s="123">
        <v>21000</v>
      </c>
    </row>
    <row r="196" spans="1:17" ht="13.5" customHeight="1" x14ac:dyDescent="0.2">
      <c r="A196" s="122">
        <v>67</v>
      </c>
      <c r="B196" s="123">
        <v>30000</v>
      </c>
      <c r="C196" s="123">
        <v>30000</v>
      </c>
      <c r="D196" s="23"/>
      <c r="E196" s="23"/>
      <c r="F196" s="23"/>
      <c r="G196" s="23"/>
      <c r="H196" s="23"/>
      <c r="I196" s="23"/>
      <c r="J196" s="23"/>
      <c r="K196" s="23"/>
      <c r="L196" s="23"/>
      <c r="M196" s="23"/>
    </row>
    <row r="197" spans="1:17" ht="13.5" customHeight="1" x14ac:dyDescent="0.2">
      <c r="A197" s="122">
        <v>69</v>
      </c>
      <c r="B197" s="123">
        <v>37000</v>
      </c>
      <c r="C197" s="123">
        <v>22000</v>
      </c>
      <c r="D197" s="23"/>
      <c r="E197" s="23"/>
      <c r="F197" s="23"/>
      <c r="G197" s="23"/>
      <c r="H197" s="23"/>
      <c r="I197" s="23"/>
      <c r="J197" s="23"/>
      <c r="K197" s="23"/>
      <c r="L197" s="23"/>
      <c r="M197" s="23"/>
    </row>
    <row r="198" spans="1:17" ht="13.5" customHeight="1" x14ac:dyDescent="0.2">
      <c r="A198" s="122">
        <v>66</v>
      </c>
      <c r="B198" s="123">
        <v>40000</v>
      </c>
      <c r="C198" s="123">
        <v>40000</v>
      </c>
      <c r="D198" s="23"/>
      <c r="E198" s="23"/>
      <c r="F198" s="23"/>
      <c r="G198" s="23"/>
      <c r="H198" s="23"/>
      <c r="I198" s="23"/>
      <c r="J198" s="23"/>
      <c r="K198" s="23"/>
      <c r="L198" s="23"/>
      <c r="M198" s="23"/>
    </row>
    <row r="199" spans="1:17" ht="13.5" customHeight="1" x14ac:dyDescent="0.2">
      <c r="A199" s="122">
        <v>57</v>
      </c>
      <c r="B199" s="123">
        <v>81000</v>
      </c>
      <c r="C199" s="123">
        <v>54500</v>
      </c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O199" s="22"/>
    </row>
    <row r="201" spans="1:17" ht="13.5" customHeight="1" x14ac:dyDescent="0.2">
      <c r="B201" s="137" t="s">
        <v>112</v>
      </c>
      <c r="C201" s="137"/>
      <c r="D201" s="137"/>
      <c r="E201" s="137"/>
      <c r="F201" s="137"/>
      <c r="G201" s="137"/>
      <c r="H201" s="137"/>
      <c r="I201" s="137"/>
      <c r="J201" s="137"/>
      <c r="K201" s="137"/>
      <c r="L201" s="137"/>
      <c r="M201" s="137"/>
      <c r="N201" s="137"/>
      <c r="O201" s="137"/>
      <c r="P201" s="137"/>
      <c r="Q201" s="137"/>
    </row>
    <row r="202" spans="1:17" ht="13.5" customHeight="1" x14ac:dyDescent="0.2">
      <c r="B202" s="137"/>
      <c r="C202" s="137"/>
      <c r="D202" s="137"/>
      <c r="E202" s="137"/>
      <c r="F202" s="137"/>
      <c r="G202" s="137"/>
      <c r="H202" s="137"/>
      <c r="I202" s="137"/>
      <c r="J202" s="137"/>
      <c r="K202" s="137"/>
      <c r="L202" s="137"/>
      <c r="M202" s="137"/>
      <c r="N202" s="137"/>
      <c r="O202" s="137"/>
      <c r="P202" s="137"/>
      <c r="Q202" s="137"/>
    </row>
    <row r="203" spans="1:17" ht="13.5" customHeight="1" x14ac:dyDescent="0.2">
      <c r="B203" s="137"/>
      <c r="C203" s="137"/>
      <c r="D203" s="137"/>
      <c r="E203" s="137"/>
      <c r="F203" s="137"/>
      <c r="G203" s="137"/>
      <c r="H203" s="137"/>
      <c r="I203" s="137"/>
      <c r="J203" s="137"/>
      <c r="K203" s="137"/>
      <c r="L203" s="137"/>
      <c r="M203" s="137"/>
      <c r="N203" s="137"/>
      <c r="O203" s="137"/>
      <c r="P203" s="137"/>
      <c r="Q203" s="137"/>
    </row>
    <row r="204" spans="1:17" ht="13.5" customHeight="1" x14ac:dyDescent="0.2">
      <c r="B204" s="137"/>
      <c r="C204" s="137"/>
      <c r="D204" s="137"/>
      <c r="E204" s="137"/>
      <c r="F204" s="137"/>
      <c r="G204" s="137"/>
      <c r="H204" s="137"/>
      <c r="I204" s="137"/>
      <c r="J204" s="137"/>
      <c r="K204" s="137"/>
      <c r="L204" s="137"/>
      <c r="M204" s="137"/>
      <c r="N204" s="137"/>
      <c r="O204" s="137"/>
      <c r="P204" s="137"/>
      <c r="Q204" s="137"/>
    </row>
    <row r="205" spans="1:17" ht="13.5" customHeight="1" x14ac:dyDescent="0.2">
      <c r="B205" s="137"/>
      <c r="C205" s="137"/>
      <c r="D205" s="137"/>
      <c r="E205" s="137"/>
      <c r="F205" s="137"/>
      <c r="G205" s="137"/>
      <c r="H205" s="137"/>
      <c r="I205" s="137"/>
      <c r="J205" s="137"/>
      <c r="K205" s="137"/>
      <c r="L205" s="137"/>
      <c r="M205" s="137"/>
      <c r="N205" s="137"/>
      <c r="O205" s="137"/>
      <c r="P205" s="137"/>
      <c r="Q205" s="137"/>
    </row>
    <row r="206" spans="1:17" ht="13.5" customHeight="1" x14ac:dyDescent="0.2">
      <c r="B206" s="137"/>
      <c r="C206" s="137"/>
      <c r="D206" s="137"/>
      <c r="E206" s="137"/>
      <c r="F206" s="137"/>
      <c r="G206" s="137"/>
      <c r="H206" s="137"/>
      <c r="I206" s="137"/>
      <c r="J206" s="137"/>
      <c r="K206" s="137"/>
      <c r="L206" s="137"/>
      <c r="M206" s="137"/>
      <c r="N206" s="137"/>
      <c r="O206" s="137"/>
      <c r="P206" s="137"/>
      <c r="Q206" s="137"/>
    </row>
    <row r="207" spans="1:17" ht="13.5" customHeight="1" x14ac:dyDescent="0.2">
      <c r="B207" s="137"/>
      <c r="C207" s="137"/>
      <c r="D207" s="137"/>
      <c r="E207" s="137"/>
      <c r="F207" s="137"/>
      <c r="G207" s="137"/>
      <c r="H207" s="137"/>
      <c r="I207" s="137"/>
      <c r="J207" s="137"/>
      <c r="K207" s="137"/>
      <c r="L207" s="137"/>
      <c r="M207" s="137"/>
      <c r="N207" s="137"/>
      <c r="O207" s="137"/>
      <c r="P207" s="137"/>
      <c r="Q207" s="137"/>
    </row>
    <row r="212" spans="1:15" ht="13.5" customHeight="1" x14ac:dyDescent="0.2">
      <c r="O212" s="22"/>
    </row>
    <row r="217" spans="1:15" ht="13.5" customHeight="1" x14ac:dyDescent="0.2">
      <c r="A217" s="2" t="s">
        <v>16</v>
      </c>
      <c r="B217" s="2" t="s">
        <v>18</v>
      </c>
    </row>
    <row r="218" spans="1:15" ht="13.5" customHeight="1" x14ac:dyDescent="0.2">
      <c r="A218" s="120">
        <v>68</v>
      </c>
      <c r="B218" s="121">
        <v>4027</v>
      </c>
    </row>
    <row r="219" spans="1:15" ht="13.5" customHeight="1" x14ac:dyDescent="0.2">
      <c r="A219" s="116">
        <v>72</v>
      </c>
      <c r="B219" s="117">
        <v>4300</v>
      </c>
    </row>
    <row r="220" spans="1:15" ht="13.5" customHeight="1" x14ac:dyDescent="0.2">
      <c r="A220" s="116">
        <v>75</v>
      </c>
      <c r="B220" s="117">
        <v>4400</v>
      </c>
    </row>
    <row r="221" spans="1:15" ht="13.5" customHeight="1" x14ac:dyDescent="0.2">
      <c r="A221" s="116">
        <v>66</v>
      </c>
      <c r="B221" s="117">
        <v>4800</v>
      </c>
    </row>
    <row r="222" spans="1:15" ht="13.5" customHeight="1" x14ac:dyDescent="0.2">
      <c r="A222" s="116">
        <v>35</v>
      </c>
      <c r="B222" s="117">
        <v>5000</v>
      </c>
    </row>
    <row r="223" spans="1:15" ht="13.5" customHeight="1" x14ac:dyDescent="0.2">
      <c r="A223" s="116">
        <v>47</v>
      </c>
      <c r="B223" s="117">
        <v>5000</v>
      </c>
    </row>
    <row r="224" spans="1:15" ht="13.5" customHeight="1" x14ac:dyDescent="0.2">
      <c r="A224" s="116">
        <v>68</v>
      </c>
      <c r="B224" s="117">
        <v>5000</v>
      </c>
    </row>
    <row r="225" spans="1:5" ht="13.5" customHeight="1" x14ac:dyDescent="0.2">
      <c r="A225" s="116">
        <v>69</v>
      </c>
      <c r="B225" s="117">
        <v>5000</v>
      </c>
    </row>
    <row r="226" spans="1:5" ht="13.5" customHeight="1" x14ac:dyDescent="0.2">
      <c r="A226" s="120">
        <v>70</v>
      </c>
      <c r="B226" s="121">
        <v>5214</v>
      </c>
    </row>
    <row r="227" spans="1:5" ht="13.5" customHeight="1" x14ac:dyDescent="0.2">
      <c r="A227" s="118">
        <v>70</v>
      </c>
      <c r="B227" s="119">
        <v>5500</v>
      </c>
    </row>
    <row r="228" spans="1:5" ht="13.5" customHeight="1" x14ac:dyDescent="0.2">
      <c r="A228" s="120">
        <v>63</v>
      </c>
      <c r="B228" s="121">
        <v>5700</v>
      </c>
    </row>
    <row r="229" spans="1:5" ht="13.5" customHeight="1" x14ac:dyDescent="0.2">
      <c r="A229" s="116">
        <v>44</v>
      </c>
      <c r="B229" s="117">
        <v>5800</v>
      </c>
    </row>
    <row r="230" spans="1:5" ht="13.5" customHeight="1" x14ac:dyDescent="0.2">
      <c r="A230" s="116">
        <v>32</v>
      </c>
      <c r="B230" s="117">
        <v>6000</v>
      </c>
    </row>
    <row r="231" spans="1:5" ht="13.5" customHeight="1" x14ac:dyDescent="0.2">
      <c r="A231" s="116">
        <v>54</v>
      </c>
      <c r="B231" s="117">
        <v>6000</v>
      </c>
    </row>
    <row r="232" spans="1:5" ht="13.5" customHeight="1" x14ac:dyDescent="0.2">
      <c r="A232" s="116">
        <v>56</v>
      </c>
      <c r="B232" s="117">
        <v>6000</v>
      </c>
    </row>
    <row r="233" spans="1:5" ht="13.5" customHeight="1" x14ac:dyDescent="0.2">
      <c r="A233" s="116">
        <v>39</v>
      </c>
      <c r="B233" s="117">
        <v>6320</v>
      </c>
    </row>
    <row r="234" spans="1:5" ht="13.5" customHeight="1" x14ac:dyDescent="0.2">
      <c r="A234" s="118">
        <v>45</v>
      </c>
      <c r="B234" s="119">
        <v>6400</v>
      </c>
      <c r="D234" s="2" t="s">
        <v>110</v>
      </c>
      <c r="E234" s="115">
        <f>CORREL(Tabela131617[Idade],Tabela131617[Salário])</f>
        <v>6.3227989172764454E-2</v>
      </c>
    </row>
    <row r="235" spans="1:5" ht="13.5" customHeight="1" x14ac:dyDescent="0.2">
      <c r="A235" s="118">
        <v>39</v>
      </c>
      <c r="B235" s="119">
        <v>6500</v>
      </c>
    </row>
    <row r="236" spans="1:5" ht="13.5" customHeight="1" x14ac:dyDescent="0.2">
      <c r="A236" s="118">
        <v>67</v>
      </c>
      <c r="B236" s="119">
        <v>6500</v>
      </c>
    </row>
    <row r="237" spans="1:5" ht="13.5" customHeight="1" x14ac:dyDescent="0.2">
      <c r="A237" s="118">
        <v>81</v>
      </c>
      <c r="B237" s="119">
        <v>6800</v>
      </c>
    </row>
    <row r="238" spans="1:5" ht="13.5" customHeight="1" thickBot="1" x14ac:dyDescent="0.25">
      <c r="A238" s="118">
        <v>70</v>
      </c>
      <c r="B238" s="119">
        <v>6900</v>
      </c>
      <c r="D238" s="135" t="s">
        <v>107</v>
      </c>
      <c r="E238" s="135"/>
    </row>
    <row r="239" spans="1:5" ht="13.5" customHeight="1" x14ac:dyDescent="0.2">
      <c r="A239" s="118">
        <v>31</v>
      </c>
      <c r="B239" s="119">
        <v>6927</v>
      </c>
      <c r="D239" s="26" t="s">
        <v>27</v>
      </c>
      <c r="E239" s="39">
        <f>AVERAGE(Tabela131617[Salário])</f>
        <v>10507.115416666666</v>
      </c>
    </row>
    <row r="240" spans="1:5" ht="13.5" customHeight="1" x14ac:dyDescent="0.2">
      <c r="A240" s="118">
        <v>73</v>
      </c>
      <c r="B240" s="119">
        <v>7000</v>
      </c>
      <c r="D240" s="26" t="s">
        <v>21</v>
      </c>
      <c r="E240" s="39">
        <f>MEDIAN(Tabela131617[Salário])</f>
        <v>7400</v>
      </c>
    </row>
    <row r="241" spans="1:14" ht="13.5" customHeight="1" x14ac:dyDescent="0.2">
      <c r="A241" s="120">
        <v>65</v>
      </c>
      <c r="B241" s="121">
        <v>7300</v>
      </c>
      <c r="D241" s="30" t="s">
        <v>28</v>
      </c>
      <c r="E241" s="40">
        <f>_xlfn.MODE.SNGL(Tabela131617[Salário])</f>
        <v>5000</v>
      </c>
    </row>
    <row r="242" spans="1:14" ht="13.5" customHeight="1" x14ac:dyDescent="0.2">
      <c r="A242" s="120">
        <v>61</v>
      </c>
      <c r="B242" s="121">
        <v>7500</v>
      </c>
      <c r="D242" s="31" t="s">
        <v>29</v>
      </c>
      <c r="E242" s="39">
        <f>QUARTILE(Tabela131617[Salário],1)</f>
        <v>5950</v>
      </c>
    </row>
    <row r="243" spans="1:14" ht="13.5" customHeight="1" x14ac:dyDescent="0.2">
      <c r="A243" s="118">
        <v>72</v>
      </c>
      <c r="B243" s="119">
        <v>7825</v>
      </c>
      <c r="D243" s="31" t="s">
        <v>30</v>
      </c>
      <c r="E243" s="39">
        <f>QUARTILE(Tabela131617[Salário],2)</f>
        <v>7400</v>
      </c>
    </row>
    <row r="244" spans="1:14" ht="13.5" customHeight="1" x14ac:dyDescent="0.2">
      <c r="A244" s="118">
        <v>30</v>
      </c>
      <c r="B244" s="119">
        <v>8000</v>
      </c>
      <c r="D244" s="30" t="s">
        <v>31</v>
      </c>
      <c r="E244" s="40">
        <f>QUARTILE(Tabela131617[Salário],3)</f>
        <v>10163</v>
      </c>
    </row>
    <row r="245" spans="1:14" ht="13.5" customHeight="1" x14ac:dyDescent="0.2">
      <c r="A245" s="118">
        <v>94</v>
      </c>
      <c r="B245" s="119">
        <v>8000</v>
      </c>
      <c r="C245" s="23"/>
      <c r="D245" s="31" t="s">
        <v>32</v>
      </c>
      <c r="E245" s="39">
        <f>PERCENTILE(Tabela131617[Salário],0.1)</f>
        <v>5000</v>
      </c>
      <c r="F245" s="23"/>
      <c r="G245" s="23"/>
      <c r="H245" s="23"/>
      <c r="I245" s="23"/>
      <c r="J245" s="23"/>
      <c r="K245" s="23"/>
      <c r="L245" s="23"/>
    </row>
    <row r="246" spans="1:14" ht="13.5" customHeight="1" x14ac:dyDescent="0.2">
      <c r="A246" s="118">
        <v>80</v>
      </c>
      <c r="B246" s="119">
        <v>8100</v>
      </c>
      <c r="D246" s="31" t="s">
        <v>33</v>
      </c>
      <c r="E246" s="39">
        <f>MIN(Tabela131617[Salário])</f>
        <v>4027</v>
      </c>
    </row>
    <row r="247" spans="1:14" ht="13.5" customHeight="1" x14ac:dyDescent="0.2">
      <c r="A247" s="120">
        <v>62</v>
      </c>
      <c r="B247" s="121">
        <v>8784</v>
      </c>
      <c r="D247" s="31" t="s">
        <v>34</v>
      </c>
      <c r="E247" s="39">
        <f>PERCENTILE(Tabela131617[Salário],0.99)</f>
        <v>47685.000000000015</v>
      </c>
    </row>
    <row r="248" spans="1:14" ht="13.5" customHeight="1" x14ac:dyDescent="0.2">
      <c r="A248" s="120">
        <v>35</v>
      </c>
      <c r="B248" s="121">
        <v>9000</v>
      </c>
      <c r="D248" s="30" t="s">
        <v>35</v>
      </c>
      <c r="E248" s="40">
        <f>MAX(Tabela131617[Salário])</f>
        <v>54500</v>
      </c>
    </row>
    <row r="249" spans="1:14" ht="13.5" customHeight="1" x14ac:dyDescent="0.2">
      <c r="A249" s="120">
        <v>75</v>
      </c>
      <c r="B249" s="121">
        <v>9200</v>
      </c>
      <c r="D249" s="31"/>
      <c r="E249" s="39"/>
    </row>
    <row r="250" spans="1:14" ht="13.5" customHeight="1" x14ac:dyDescent="0.2">
      <c r="A250" s="120">
        <v>47</v>
      </c>
      <c r="B250" s="121">
        <v>10000</v>
      </c>
      <c r="D250" s="37" t="s">
        <v>36</v>
      </c>
      <c r="E250" s="41">
        <f>E244+(1.5*E259)</f>
        <v>16482.5</v>
      </c>
    </row>
    <row r="251" spans="1:14" ht="13.5" customHeight="1" x14ac:dyDescent="0.2">
      <c r="A251" s="120">
        <v>69</v>
      </c>
      <c r="B251" s="121">
        <v>10000</v>
      </c>
      <c r="D251" s="38" t="s">
        <v>37</v>
      </c>
      <c r="E251" s="40">
        <f>E242-(1.5*E259)</f>
        <v>-369.5</v>
      </c>
    </row>
    <row r="252" spans="1:14" ht="13.5" customHeight="1" x14ac:dyDescent="0.2">
      <c r="A252" s="120">
        <v>82</v>
      </c>
      <c r="B252" s="121">
        <v>10000</v>
      </c>
      <c r="C252" s="23"/>
      <c r="D252" s="31"/>
      <c r="E252" s="29"/>
      <c r="F252" s="23"/>
      <c r="G252" s="23"/>
      <c r="H252" s="23"/>
      <c r="I252" s="23"/>
      <c r="J252" s="23"/>
    </row>
    <row r="253" spans="1:14" ht="13.5" customHeight="1" x14ac:dyDescent="0.2">
      <c r="A253" s="122">
        <v>74</v>
      </c>
      <c r="B253" s="123">
        <v>10084</v>
      </c>
      <c r="C253" s="23"/>
      <c r="D253" s="31"/>
      <c r="E253" s="29"/>
      <c r="F253" s="23"/>
      <c r="G253" s="23"/>
      <c r="H253" s="23"/>
      <c r="I253" s="23"/>
      <c r="J253" s="23"/>
      <c r="K253" s="23"/>
      <c r="L253" s="23"/>
      <c r="N253" s="22"/>
    </row>
    <row r="254" spans="1:14" ht="13.5" customHeight="1" thickBot="1" x14ac:dyDescent="0.25">
      <c r="A254" s="122">
        <v>67</v>
      </c>
      <c r="B254" s="123">
        <v>10400</v>
      </c>
      <c r="C254" s="23"/>
      <c r="D254" s="135" t="s">
        <v>108</v>
      </c>
      <c r="E254" s="135"/>
      <c r="F254" s="23"/>
      <c r="G254" s="23"/>
      <c r="H254" s="23"/>
      <c r="I254" s="23"/>
      <c r="J254" s="23"/>
      <c r="K254" s="23"/>
      <c r="L254" s="23"/>
    </row>
    <row r="255" spans="1:14" ht="13.5" customHeight="1" x14ac:dyDescent="0.2">
      <c r="A255" s="120">
        <v>46</v>
      </c>
      <c r="B255" s="121">
        <v>12000</v>
      </c>
      <c r="C255" s="23"/>
      <c r="D255" s="25" t="s">
        <v>38</v>
      </c>
      <c r="E255" s="42">
        <f>STDEVA(Tabela131617[Salário])</f>
        <v>9332.1710936019281</v>
      </c>
      <c r="F255" s="23"/>
      <c r="G255" s="23"/>
      <c r="H255" s="23"/>
      <c r="I255" s="23"/>
      <c r="J255" s="23"/>
      <c r="K255" s="23"/>
      <c r="L255" s="23"/>
    </row>
    <row r="256" spans="1:14" ht="13.5" customHeight="1" x14ac:dyDescent="0.2">
      <c r="A256" s="122">
        <v>45</v>
      </c>
      <c r="B256" s="123">
        <v>12912.54</v>
      </c>
      <c r="C256" s="23"/>
      <c r="D256" s="25" t="s">
        <v>39</v>
      </c>
      <c r="E256" s="42">
        <f>E255^2</f>
        <v>87089417.320259407</v>
      </c>
      <c r="F256" s="23"/>
      <c r="G256" s="23"/>
      <c r="H256" s="23"/>
      <c r="I256" s="23"/>
      <c r="J256" s="23"/>
      <c r="K256" s="23"/>
      <c r="L256" s="23"/>
    </row>
    <row r="257" spans="1:17" ht="13.5" customHeight="1" x14ac:dyDescent="0.2">
      <c r="A257" s="122">
        <v>66</v>
      </c>
      <c r="B257" s="123">
        <v>13348</v>
      </c>
      <c r="C257" s="23"/>
      <c r="D257" s="25" t="s">
        <v>40</v>
      </c>
      <c r="E257" s="42">
        <f>MAX(Tabela131617[Salário])</f>
        <v>54500</v>
      </c>
      <c r="F257" s="23"/>
      <c r="G257" s="23"/>
      <c r="H257" s="23"/>
      <c r="I257" s="23"/>
    </row>
    <row r="258" spans="1:17" ht="13.5" customHeight="1" x14ac:dyDescent="0.2">
      <c r="A258" s="122">
        <v>70</v>
      </c>
      <c r="B258" s="123">
        <v>13500</v>
      </c>
      <c r="C258" s="23"/>
      <c r="D258" s="25" t="s">
        <v>33</v>
      </c>
      <c r="E258" s="42">
        <f>MIN(Tabela131617[Salário])</f>
        <v>4027</v>
      </c>
      <c r="F258" s="23"/>
      <c r="G258" s="23"/>
      <c r="H258" s="23"/>
      <c r="I258" s="23"/>
    </row>
    <row r="259" spans="1:17" ht="13.5" customHeight="1" x14ac:dyDescent="0.2">
      <c r="A259" s="122">
        <v>62</v>
      </c>
      <c r="B259" s="123">
        <v>14800</v>
      </c>
      <c r="C259" s="23"/>
      <c r="D259" s="25" t="s">
        <v>41</v>
      </c>
      <c r="E259" s="42">
        <f>E244-E242</f>
        <v>4213</v>
      </c>
      <c r="F259" s="23"/>
      <c r="G259" s="23"/>
      <c r="H259" s="23"/>
      <c r="I259" s="23"/>
      <c r="J259" s="23"/>
      <c r="K259" s="23"/>
      <c r="L259" s="23"/>
    </row>
    <row r="260" spans="1:17" ht="13.5" customHeight="1" x14ac:dyDescent="0.2">
      <c r="A260" s="122">
        <v>64</v>
      </c>
      <c r="B260" s="123">
        <v>15000</v>
      </c>
      <c r="C260" s="23"/>
      <c r="D260" s="25" t="s">
        <v>42</v>
      </c>
      <c r="E260" s="42">
        <f>E257-E258</f>
        <v>50473</v>
      </c>
      <c r="F260" s="23"/>
      <c r="G260" s="23"/>
      <c r="H260" s="23"/>
      <c r="I260" s="23"/>
      <c r="J260" s="23"/>
      <c r="K260" s="23"/>
      <c r="L260" s="23"/>
    </row>
    <row r="261" spans="1:17" ht="13.5" customHeight="1" x14ac:dyDescent="0.2">
      <c r="A261" s="122">
        <v>68</v>
      </c>
      <c r="B261" s="123">
        <v>21000</v>
      </c>
      <c r="C261" s="23"/>
      <c r="D261" s="36" t="s">
        <v>43</v>
      </c>
      <c r="E261" s="43">
        <f>(E255/E239)*100</f>
        <v>88.817631895420035</v>
      </c>
      <c r="F261" s="23"/>
      <c r="G261" s="23"/>
      <c r="H261" s="23"/>
      <c r="I261" s="23"/>
      <c r="J261" s="23"/>
      <c r="K261" s="23"/>
      <c r="L261" s="23"/>
    </row>
    <row r="262" spans="1:17" ht="13.5" customHeight="1" x14ac:dyDescent="0.2">
      <c r="A262" s="122">
        <v>69</v>
      </c>
      <c r="B262" s="123">
        <v>22000</v>
      </c>
      <c r="C262" s="23"/>
      <c r="D262" s="24"/>
      <c r="E262" s="44"/>
      <c r="F262" s="23"/>
      <c r="G262" s="23"/>
      <c r="H262" s="23"/>
      <c r="I262" s="23"/>
      <c r="J262" s="23"/>
      <c r="K262" s="23"/>
      <c r="L262" s="23"/>
    </row>
    <row r="263" spans="1:17" ht="13.5" customHeight="1" x14ac:dyDescent="0.2">
      <c r="A263" s="122">
        <v>67</v>
      </c>
      <c r="B263" s="123">
        <v>30000</v>
      </c>
      <c r="C263" s="23"/>
      <c r="D263" s="24" t="s">
        <v>44</v>
      </c>
      <c r="E263" s="44">
        <f>SKEW(Tabela131617[Salário])</f>
        <v>3.2278647074102049</v>
      </c>
      <c r="F263" s="23"/>
      <c r="G263" s="23"/>
      <c r="H263" s="23"/>
      <c r="I263" s="23"/>
      <c r="J263" s="23"/>
      <c r="K263" s="23"/>
      <c r="L263" s="23"/>
    </row>
    <row r="264" spans="1:17" ht="13.5" customHeight="1" x14ac:dyDescent="0.2">
      <c r="A264" s="122">
        <v>66</v>
      </c>
      <c r="B264" s="123">
        <v>40000</v>
      </c>
      <c r="C264" s="23"/>
      <c r="D264" s="23"/>
      <c r="E264" s="23"/>
      <c r="F264" s="23"/>
      <c r="G264" s="23"/>
      <c r="H264" s="23"/>
      <c r="I264" s="23"/>
      <c r="J264" s="23"/>
      <c r="K264" s="23"/>
      <c r="L264" s="23"/>
    </row>
    <row r="265" spans="1:17" ht="13.5" customHeight="1" x14ac:dyDescent="0.2">
      <c r="A265" s="122">
        <v>57</v>
      </c>
      <c r="B265" s="123">
        <v>54500</v>
      </c>
    </row>
    <row r="267" spans="1:17" ht="13.5" customHeight="1" x14ac:dyDescent="0.2">
      <c r="B267" s="137" t="s">
        <v>113</v>
      </c>
      <c r="C267" s="137"/>
      <c r="D267" s="137"/>
      <c r="E267" s="137"/>
      <c r="F267" s="137"/>
      <c r="G267" s="137"/>
      <c r="H267" s="137"/>
      <c r="I267" s="137"/>
      <c r="J267" s="137"/>
      <c r="K267" s="137"/>
      <c r="L267" s="137"/>
      <c r="M267" s="137"/>
      <c r="N267" s="137"/>
      <c r="O267" s="137"/>
      <c r="P267" s="137"/>
      <c r="Q267" s="137"/>
    </row>
    <row r="268" spans="1:17" ht="13.5" customHeight="1" x14ac:dyDescent="0.2">
      <c r="B268" s="137"/>
      <c r="C268" s="137"/>
      <c r="D268" s="137"/>
      <c r="E268" s="137"/>
      <c r="F268" s="137"/>
      <c r="G268" s="137"/>
      <c r="H268" s="137"/>
      <c r="I268" s="137"/>
      <c r="J268" s="137"/>
      <c r="K268" s="137"/>
      <c r="L268" s="137"/>
      <c r="M268" s="137"/>
      <c r="N268" s="137"/>
      <c r="O268" s="137"/>
      <c r="P268" s="137"/>
      <c r="Q268" s="137"/>
    </row>
    <row r="269" spans="1:17" ht="13.5" customHeight="1" x14ac:dyDescent="0.2">
      <c r="B269" s="137"/>
      <c r="C269" s="137"/>
      <c r="D269" s="137"/>
      <c r="E269" s="137"/>
      <c r="F269" s="137"/>
      <c r="G269" s="137"/>
      <c r="H269" s="137"/>
      <c r="I269" s="137"/>
      <c r="J269" s="137"/>
      <c r="K269" s="137"/>
      <c r="L269" s="137"/>
      <c r="M269" s="137"/>
      <c r="N269" s="137"/>
      <c r="O269" s="137"/>
      <c r="P269" s="137"/>
      <c r="Q269" s="137"/>
    </row>
    <row r="270" spans="1:17" ht="13.5" customHeight="1" x14ac:dyDescent="0.2">
      <c r="B270" s="137"/>
      <c r="C270" s="137"/>
      <c r="D270" s="137"/>
      <c r="E270" s="137"/>
      <c r="F270" s="137"/>
      <c r="G270" s="137"/>
      <c r="H270" s="137"/>
      <c r="I270" s="137"/>
      <c r="J270" s="137"/>
      <c r="K270" s="137"/>
      <c r="L270" s="137"/>
      <c r="M270" s="137"/>
      <c r="N270" s="137"/>
      <c r="O270" s="137"/>
      <c r="P270" s="137"/>
      <c r="Q270" s="137"/>
    </row>
    <row r="271" spans="1:17" ht="13.5" customHeight="1" x14ac:dyDescent="0.2">
      <c r="B271" s="137"/>
      <c r="C271" s="137"/>
      <c r="D271" s="137"/>
      <c r="E271" s="137"/>
      <c r="F271" s="137"/>
      <c r="G271" s="137"/>
      <c r="H271" s="137"/>
      <c r="I271" s="137"/>
      <c r="J271" s="137"/>
      <c r="K271" s="137"/>
      <c r="L271" s="137"/>
      <c r="M271" s="137"/>
      <c r="N271" s="137"/>
      <c r="O271" s="137"/>
      <c r="P271" s="137"/>
      <c r="Q271" s="137"/>
    </row>
    <row r="272" spans="1:17" ht="13.5" customHeight="1" x14ac:dyDescent="0.2">
      <c r="B272" s="137"/>
      <c r="C272" s="137"/>
      <c r="D272" s="137"/>
      <c r="E272" s="137"/>
      <c r="F272" s="137"/>
      <c r="G272" s="137"/>
      <c r="H272" s="137"/>
      <c r="I272" s="137"/>
      <c r="J272" s="137"/>
      <c r="K272" s="137"/>
      <c r="L272" s="137"/>
      <c r="M272" s="137"/>
      <c r="N272" s="137"/>
      <c r="O272" s="137"/>
      <c r="P272" s="137"/>
      <c r="Q272" s="137"/>
    </row>
    <row r="273" spans="1:17" ht="13.5" customHeight="1" x14ac:dyDescent="0.2">
      <c r="B273" s="137"/>
      <c r="C273" s="137"/>
      <c r="D273" s="137"/>
      <c r="E273" s="137"/>
      <c r="F273" s="137"/>
      <c r="G273" s="137"/>
      <c r="H273" s="137"/>
      <c r="I273" s="137"/>
      <c r="J273" s="137"/>
      <c r="K273" s="137"/>
      <c r="L273" s="137"/>
      <c r="M273" s="137"/>
      <c r="N273" s="137"/>
      <c r="O273" s="137"/>
      <c r="P273" s="137"/>
      <c r="Q273" s="137"/>
    </row>
    <row r="278" spans="1:17" ht="13.5" customHeight="1" x14ac:dyDescent="0.2">
      <c r="O278" s="22"/>
    </row>
    <row r="283" spans="1:17" ht="13.5" customHeight="1" x14ac:dyDescent="0.2">
      <c r="A283" s="124" t="s">
        <v>18</v>
      </c>
      <c r="B283" s="125" t="s">
        <v>19</v>
      </c>
    </row>
    <row r="284" spans="1:17" ht="13.5" customHeight="1" x14ac:dyDescent="0.3">
      <c r="A284" s="126">
        <v>4027</v>
      </c>
      <c r="B284" s="127">
        <v>3000</v>
      </c>
    </row>
    <row r="285" spans="1:17" ht="13.5" customHeight="1" x14ac:dyDescent="0.3">
      <c r="A285" s="126">
        <v>4300</v>
      </c>
      <c r="B285" s="127">
        <v>2000</v>
      </c>
    </row>
    <row r="286" spans="1:17" ht="13.5" customHeight="1" x14ac:dyDescent="0.3">
      <c r="A286" s="126">
        <v>4400</v>
      </c>
      <c r="B286" s="127">
        <v>3000</v>
      </c>
    </row>
    <row r="287" spans="1:17" ht="13.5" customHeight="1" x14ac:dyDescent="0.3">
      <c r="A287" s="126">
        <v>4800</v>
      </c>
      <c r="B287" s="127">
        <v>440</v>
      </c>
    </row>
    <row r="288" spans="1:17" ht="13.5" customHeight="1" x14ac:dyDescent="0.3">
      <c r="A288" s="126">
        <v>5000</v>
      </c>
      <c r="B288" s="127">
        <v>1000</v>
      </c>
    </row>
    <row r="289" spans="1:4" ht="13.5" customHeight="1" x14ac:dyDescent="0.3">
      <c r="A289" s="126">
        <v>5000</v>
      </c>
      <c r="B289" s="127">
        <v>2000</v>
      </c>
    </row>
    <row r="290" spans="1:4" ht="13.5" customHeight="1" x14ac:dyDescent="0.3">
      <c r="A290" s="126">
        <v>5000</v>
      </c>
      <c r="B290" s="127">
        <v>2000</v>
      </c>
    </row>
    <row r="291" spans="1:4" ht="13.5" customHeight="1" x14ac:dyDescent="0.3">
      <c r="A291" s="126">
        <v>5000</v>
      </c>
      <c r="B291" s="127">
        <v>380</v>
      </c>
    </row>
    <row r="292" spans="1:4" ht="13.5" customHeight="1" x14ac:dyDescent="0.3">
      <c r="A292" s="126">
        <v>5214</v>
      </c>
      <c r="B292" s="127">
        <v>400</v>
      </c>
    </row>
    <row r="293" spans="1:4" ht="13.5" customHeight="1" x14ac:dyDescent="0.3">
      <c r="A293" s="126">
        <v>5500</v>
      </c>
      <c r="B293" s="127">
        <v>340</v>
      </c>
    </row>
    <row r="294" spans="1:4" ht="13.5" customHeight="1" x14ac:dyDescent="0.3">
      <c r="A294" s="126">
        <v>5700</v>
      </c>
      <c r="B294" s="127">
        <v>3000</v>
      </c>
    </row>
    <row r="295" spans="1:4" ht="13.5" customHeight="1" x14ac:dyDescent="0.3">
      <c r="A295" s="126">
        <v>5800</v>
      </c>
      <c r="B295" s="127">
        <v>500</v>
      </c>
    </row>
    <row r="296" spans="1:4" ht="13.5" customHeight="1" x14ac:dyDescent="0.3">
      <c r="A296" s="126">
        <v>6000</v>
      </c>
      <c r="B296" s="127">
        <v>1790</v>
      </c>
    </row>
    <row r="297" spans="1:4" ht="13.5" customHeight="1" x14ac:dyDescent="0.3">
      <c r="A297" s="126">
        <v>6000</v>
      </c>
      <c r="B297" s="127">
        <v>2000</v>
      </c>
    </row>
    <row r="298" spans="1:4" ht="13.5" customHeight="1" x14ac:dyDescent="0.3">
      <c r="A298" s="126">
        <v>6000</v>
      </c>
      <c r="B298" s="127">
        <v>2000</v>
      </c>
    </row>
    <row r="299" spans="1:4" ht="13.5" customHeight="1" x14ac:dyDescent="0.3">
      <c r="A299" s="126">
        <v>6320</v>
      </c>
      <c r="B299" s="127">
        <v>1550</v>
      </c>
    </row>
    <row r="300" spans="1:4" ht="13.5" customHeight="1" x14ac:dyDescent="0.3">
      <c r="A300" s="126">
        <v>6400</v>
      </c>
      <c r="B300" s="127">
        <v>2000</v>
      </c>
      <c r="D300" s="2" t="s">
        <v>110</v>
      </c>
    </row>
    <row r="301" spans="1:4" ht="13.5" customHeight="1" x14ac:dyDescent="0.3">
      <c r="A301" s="126">
        <v>6500</v>
      </c>
      <c r="B301" s="127">
        <v>3000</v>
      </c>
      <c r="D301" s="115">
        <f>CORREL(Tabela17[Salário],Tabela17[Limite de Crédito Imediato])</f>
        <v>8.1792207241774537E-2</v>
      </c>
    </row>
    <row r="302" spans="1:4" ht="13.5" customHeight="1" x14ac:dyDescent="0.3">
      <c r="A302" s="126">
        <v>6500</v>
      </c>
      <c r="B302" s="127">
        <v>2000</v>
      </c>
    </row>
    <row r="303" spans="1:4" ht="13.5" customHeight="1" x14ac:dyDescent="0.3">
      <c r="A303" s="126">
        <v>6800</v>
      </c>
      <c r="B303" s="127">
        <v>380</v>
      </c>
    </row>
    <row r="304" spans="1:4" ht="13.5" customHeight="1" x14ac:dyDescent="0.3">
      <c r="A304" s="126">
        <v>6900</v>
      </c>
      <c r="B304" s="127">
        <v>3000</v>
      </c>
    </row>
    <row r="305" spans="1:13" ht="13.5" customHeight="1" x14ac:dyDescent="0.3">
      <c r="A305" s="126">
        <v>6927</v>
      </c>
      <c r="B305" s="127">
        <v>3000</v>
      </c>
    </row>
    <row r="306" spans="1:13" ht="13.5" customHeight="1" x14ac:dyDescent="0.3">
      <c r="A306" s="126">
        <v>7000</v>
      </c>
      <c r="B306" s="127">
        <v>3000</v>
      </c>
    </row>
    <row r="307" spans="1:13" ht="13.5" customHeight="1" x14ac:dyDescent="0.3">
      <c r="A307" s="126">
        <v>7300</v>
      </c>
      <c r="B307" s="127">
        <v>2000</v>
      </c>
    </row>
    <row r="308" spans="1:13" ht="13.5" customHeight="1" x14ac:dyDescent="0.3">
      <c r="A308" s="126">
        <v>7500</v>
      </c>
      <c r="B308" s="127">
        <v>2000</v>
      </c>
    </row>
    <row r="309" spans="1:13" ht="13.5" customHeight="1" x14ac:dyDescent="0.3">
      <c r="A309" s="126">
        <v>7825</v>
      </c>
      <c r="B309" s="127">
        <v>3000</v>
      </c>
    </row>
    <row r="310" spans="1:13" ht="13.5" customHeight="1" x14ac:dyDescent="0.3">
      <c r="A310" s="126">
        <v>8000</v>
      </c>
      <c r="B310" s="127">
        <v>3000</v>
      </c>
    </row>
    <row r="311" spans="1:13" ht="13.5" customHeight="1" x14ac:dyDescent="0.3">
      <c r="A311" s="126">
        <v>8000</v>
      </c>
      <c r="B311" s="127">
        <v>2000</v>
      </c>
    </row>
    <row r="312" spans="1:13" ht="13.5" customHeight="1" x14ac:dyDescent="0.3">
      <c r="A312" s="126">
        <v>8100</v>
      </c>
      <c r="B312" s="127">
        <v>3500</v>
      </c>
    </row>
    <row r="313" spans="1:13" ht="13.5" customHeight="1" x14ac:dyDescent="0.3">
      <c r="A313" s="126">
        <v>8784</v>
      </c>
      <c r="B313" s="127">
        <v>1170</v>
      </c>
    </row>
    <row r="314" spans="1:13" ht="13.5" customHeight="1" x14ac:dyDescent="0.3">
      <c r="A314" s="126">
        <v>9000</v>
      </c>
      <c r="B314" s="127">
        <v>3000</v>
      </c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</row>
    <row r="315" spans="1:13" ht="13.5" customHeight="1" x14ac:dyDescent="0.3">
      <c r="A315" s="126">
        <v>9200</v>
      </c>
      <c r="B315" s="127">
        <v>3000</v>
      </c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</row>
    <row r="316" spans="1:13" ht="13.5" customHeight="1" x14ac:dyDescent="0.3">
      <c r="A316" s="126">
        <v>10000</v>
      </c>
      <c r="B316" s="127">
        <v>3000</v>
      </c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</row>
    <row r="317" spans="1:13" ht="13.5" customHeight="1" x14ac:dyDescent="0.3">
      <c r="A317" s="126">
        <v>10000</v>
      </c>
      <c r="B317" s="127">
        <v>3000</v>
      </c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</row>
    <row r="318" spans="1:13" ht="13.5" customHeight="1" x14ac:dyDescent="0.3">
      <c r="A318" s="126">
        <v>10000</v>
      </c>
      <c r="B318" s="127">
        <v>3000</v>
      </c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</row>
    <row r="319" spans="1:13" ht="13.5" customHeight="1" x14ac:dyDescent="0.3">
      <c r="A319" s="126">
        <v>10084</v>
      </c>
      <c r="B319" s="127">
        <v>3000</v>
      </c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</row>
    <row r="320" spans="1:13" ht="13.5" customHeight="1" x14ac:dyDescent="0.3">
      <c r="A320" s="126">
        <v>10400</v>
      </c>
      <c r="B320" s="127">
        <v>2000</v>
      </c>
      <c r="C320" s="23"/>
      <c r="D320" s="23"/>
      <c r="E320" s="23"/>
      <c r="F320" s="23"/>
      <c r="G320" s="23"/>
      <c r="H320" s="23"/>
      <c r="I320" s="23"/>
      <c r="J320" s="23"/>
    </row>
    <row r="321" spans="1:17" ht="13.5" customHeight="1" x14ac:dyDescent="0.3">
      <c r="A321" s="126">
        <v>12000</v>
      </c>
      <c r="B321" s="127">
        <v>2000</v>
      </c>
      <c r="C321" s="23"/>
      <c r="D321" s="23"/>
      <c r="E321" s="23"/>
      <c r="F321" s="23"/>
      <c r="G321" s="23"/>
      <c r="H321" s="23"/>
      <c r="I321" s="23"/>
      <c r="J321" s="23"/>
    </row>
    <row r="322" spans="1:17" ht="13.5" customHeight="1" x14ac:dyDescent="0.3">
      <c r="A322" s="126">
        <v>12912.54</v>
      </c>
      <c r="B322" s="127">
        <v>1970</v>
      </c>
      <c r="C322" s="23"/>
      <c r="D322" s="23"/>
      <c r="E322" s="23"/>
      <c r="F322" s="23"/>
      <c r="G322" s="23"/>
      <c r="H322" s="23"/>
      <c r="I322" s="23"/>
      <c r="J322" s="23"/>
    </row>
    <row r="323" spans="1:17" ht="13.5" customHeight="1" x14ac:dyDescent="0.3">
      <c r="A323" s="126">
        <v>13348</v>
      </c>
      <c r="B323" s="127">
        <v>2990</v>
      </c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O323" s="22"/>
    </row>
    <row r="324" spans="1:17" ht="13.5" customHeight="1" x14ac:dyDescent="0.3">
      <c r="A324" s="126">
        <v>13500</v>
      </c>
      <c r="B324" s="127">
        <v>3100</v>
      </c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</row>
    <row r="325" spans="1:17" ht="13.5" customHeight="1" x14ac:dyDescent="0.3">
      <c r="A325" s="126">
        <v>14800</v>
      </c>
      <c r="B325" s="127">
        <v>3000</v>
      </c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</row>
    <row r="326" spans="1:17" ht="13.5" customHeight="1" x14ac:dyDescent="0.3">
      <c r="A326" s="126">
        <v>15000</v>
      </c>
      <c r="B326" s="127">
        <v>3000</v>
      </c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</row>
    <row r="327" spans="1:17" ht="13.5" customHeight="1" x14ac:dyDescent="0.3">
      <c r="A327" s="126">
        <v>21000</v>
      </c>
      <c r="B327" s="127">
        <v>3000</v>
      </c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</row>
    <row r="328" spans="1:17" ht="13.5" customHeight="1" x14ac:dyDescent="0.3">
      <c r="A328" s="126">
        <v>22000</v>
      </c>
      <c r="B328" s="127">
        <v>1000</v>
      </c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</row>
    <row r="329" spans="1:17" ht="13.5" customHeight="1" x14ac:dyDescent="0.3">
      <c r="A329" s="126">
        <v>30000</v>
      </c>
      <c r="B329" s="127">
        <v>900</v>
      </c>
    </row>
    <row r="330" spans="1:17" ht="13.5" customHeight="1" x14ac:dyDescent="0.3">
      <c r="A330" s="126">
        <v>40000</v>
      </c>
      <c r="B330" s="127">
        <v>3000</v>
      </c>
    </row>
    <row r="331" spans="1:17" ht="13.5" customHeight="1" x14ac:dyDescent="0.3">
      <c r="A331" s="128">
        <v>54500</v>
      </c>
      <c r="B331" s="129">
        <v>2000</v>
      </c>
    </row>
    <row r="335" spans="1:17" ht="13.5" customHeight="1" x14ac:dyDescent="0.2">
      <c r="B335" s="137" t="s">
        <v>114</v>
      </c>
      <c r="C335" s="137"/>
      <c r="D335" s="137"/>
      <c r="E335" s="137"/>
      <c r="F335" s="137"/>
      <c r="G335" s="137"/>
      <c r="H335" s="137"/>
      <c r="I335" s="137"/>
      <c r="J335" s="137"/>
      <c r="K335" s="137"/>
      <c r="L335" s="137"/>
      <c r="M335" s="137"/>
      <c r="N335" s="137"/>
      <c r="O335" s="137"/>
      <c r="P335" s="137"/>
      <c r="Q335" s="137"/>
    </row>
    <row r="336" spans="1:17" ht="13.5" customHeight="1" x14ac:dyDescent="0.2">
      <c r="B336" s="137"/>
      <c r="C336" s="137"/>
      <c r="D336" s="137"/>
      <c r="E336" s="137"/>
      <c r="F336" s="137"/>
      <c r="G336" s="137"/>
      <c r="H336" s="137"/>
      <c r="I336" s="137"/>
      <c r="J336" s="137"/>
      <c r="K336" s="137"/>
      <c r="L336" s="137"/>
      <c r="M336" s="137"/>
      <c r="N336" s="137"/>
      <c r="O336" s="137"/>
      <c r="P336" s="137"/>
      <c r="Q336" s="137"/>
    </row>
    <row r="337" spans="1:17" ht="13.5" customHeight="1" x14ac:dyDescent="0.2">
      <c r="B337" s="137"/>
      <c r="C337" s="137"/>
      <c r="D337" s="137"/>
      <c r="E337" s="137"/>
      <c r="F337" s="137"/>
      <c r="G337" s="137"/>
      <c r="H337" s="137"/>
      <c r="I337" s="137"/>
      <c r="J337" s="137"/>
      <c r="K337" s="137"/>
      <c r="L337" s="137"/>
      <c r="M337" s="137"/>
      <c r="N337" s="137"/>
      <c r="O337" s="137"/>
      <c r="P337" s="137"/>
      <c r="Q337" s="137"/>
    </row>
    <row r="338" spans="1:17" ht="13.5" customHeight="1" x14ac:dyDescent="0.2">
      <c r="B338" s="137"/>
      <c r="C338" s="137"/>
      <c r="D338" s="137"/>
      <c r="E338" s="137"/>
      <c r="F338" s="137"/>
      <c r="G338" s="137"/>
      <c r="H338" s="137"/>
      <c r="I338" s="137"/>
      <c r="J338" s="137"/>
      <c r="K338" s="137"/>
      <c r="L338" s="137"/>
      <c r="M338" s="137"/>
      <c r="N338" s="137"/>
      <c r="O338" s="137"/>
      <c r="P338" s="137"/>
      <c r="Q338" s="137"/>
    </row>
    <row r="339" spans="1:17" ht="13.5" customHeight="1" x14ac:dyDescent="0.2">
      <c r="B339" s="137"/>
      <c r="C339" s="137"/>
      <c r="D339" s="137"/>
      <c r="E339" s="137"/>
      <c r="F339" s="137"/>
      <c r="G339" s="137"/>
      <c r="H339" s="137"/>
      <c r="I339" s="137"/>
      <c r="J339" s="137"/>
      <c r="K339" s="137"/>
      <c r="L339" s="137"/>
      <c r="M339" s="137"/>
      <c r="N339" s="137"/>
      <c r="O339" s="137"/>
      <c r="P339" s="137"/>
      <c r="Q339" s="137"/>
    </row>
    <row r="340" spans="1:17" ht="13.5" customHeight="1" x14ac:dyDescent="0.2">
      <c r="B340" s="137"/>
      <c r="C340" s="137"/>
      <c r="D340" s="137"/>
      <c r="E340" s="137"/>
      <c r="F340" s="137"/>
      <c r="G340" s="137"/>
      <c r="H340" s="137"/>
      <c r="I340" s="137"/>
      <c r="J340" s="137"/>
      <c r="K340" s="137"/>
      <c r="L340" s="137"/>
      <c r="M340" s="137"/>
      <c r="N340" s="137"/>
      <c r="O340" s="137"/>
      <c r="P340" s="137"/>
      <c r="Q340" s="137"/>
    </row>
    <row r="341" spans="1:17" ht="13.5" customHeight="1" x14ac:dyDescent="0.2">
      <c r="B341" s="137"/>
      <c r="C341" s="137"/>
      <c r="D341" s="137"/>
      <c r="E341" s="137"/>
      <c r="F341" s="137"/>
      <c r="G341" s="137"/>
      <c r="H341" s="137"/>
      <c r="I341" s="137"/>
      <c r="J341" s="137"/>
      <c r="K341" s="137"/>
      <c r="L341" s="137"/>
      <c r="M341" s="137"/>
      <c r="N341" s="137"/>
      <c r="O341" s="137"/>
      <c r="P341" s="137"/>
      <c r="Q341" s="137"/>
    </row>
    <row r="346" spans="1:17" ht="13.5" customHeight="1" x14ac:dyDescent="0.2">
      <c r="O346" s="22"/>
    </row>
    <row r="350" spans="1:17" ht="13.5" customHeight="1" x14ac:dyDescent="0.2">
      <c r="A350" s="130" t="s">
        <v>18</v>
      </c>
      <c r="B350" s="131" t="s">
        <v>20</v>
      </c>
      <c r="C350" s="132" t="s">
        <v>77</v>
      </c>
      <c r="G350" s="2" t="s">
        <v>110</v>
      </c>
      <c r="H350" s="134">
        <f>CORREL(Tabela18[Salário],Tabela18[Limite do Cheque Especial])</f>
        <v>0.88883888741739281</v>
      </c>
    </row>
    <row r="351" spans="1:17" ht="13.5" customHeight="1" x14ac:dyDescent="0.3">
      <c r="A351" s="126">
        <v>5214</v>
      </c>
      <c r="B351" s="127">
        <v>500</v>
      </c>
      <c r="C351" s="133">
        <f>Tabela18[[#This Row],[Limite do Cheque Especial]]/Tabela18[[#This Row],[Salário]]</f>
        <v>9.5895665515918674E-2</v>
      </c>
    </row>
    <row r="352" spans="1:17" ht="13.5" customHeight="1" x14ac:dyDescent="0.3">
      <c r="A352" s="126">
        <v>5000</v>
      </c>
      <c r="B352" s="127">
        <v>600</v>
      </c>
      <c r="C352" s="133">
        <f>Tabela18[[#This Row],[Limite do Cheque Especial]]/Tabela18[[#This Row],[Salário]]</f>
        <v>0.12</v>
      </c>
    </row>
    <row r="353" spans="1:3" ht="13.5" customHeight="1" x14ac:dyDescent="0.3">
      <c r="A353" s="126">
        <v>5800</v>
      </c>
      <c r="B353" s="127">
        <v>800</v>
      </c>
      <c r="C353" s="133">
        <f>Tabela18[[#This Row],[Limite do Cheque Especial]]/Tabela18[[#This Row],[Salário]]</f>
        <v>0.13793103448275862</v>
      </c>
    </row>
    <row r="354" spans="1:3" ht="13.5" customHeight="1" x14ac:dyDescent="0.3">
      <c r="A354" s="126">
        <v>8100</v>
      </c>
      <c r="B354" s="127">
        <v>1000</v>
      </c>
      <c r="C354" s="133">
        <f>Tabela18[[#This Row],[Limite do Cheque Especial]]/Tabela18[[#This Row],[Salário]]</f>
        <v>0.12345679012345678</v>
      </c>
    </row>
    <row r="355" spans="1:3" ht="13.5" customHeight="1" x14ac:dyDescent="0.3">
      <c r="A355" s="126">
        <v>5000</v>
      </c>
      <c r="B355" s="127">
        <v>1000</v>
      </c>
      <c r="C355" s="133">
        <f>Tabela18[[#This Row],[Limite do Cheque Especial]]/Tabela18[[#This Row],[Salário]]</f>
        <v>0.2</v>
      </c>
    </row>
    <row r="356" spans="1:3" ht="13.5" customHeight="1" x14ac:dyDescent="0.3">
      <c r="A356" s="126">
        <v>4400</v>
      </c>
      <c r="B356" s="127">
        <v>1000</v>
      </c>
      <c r="C356" s="133">
        <f>Tabela18[[#This Row],[Limite do Cheque Especial]]/Tabela18[[#This Row],[Salário]]</f>
        <v>0.22727272727272727</v>
      </c>
    </row>
    <row r="357" spans="1:3" ht="13.5" customHeight="1" x14ac:dyDescent="0.3">
      <c r="A357" s="126">
        <v>4300</v>
      </c>
      <c r="B357" s="127">
        <v>1000</v>
      </c>
      <c r="C357" s="133">
        <f>Tabela18[[#This Row],[Limite do Cheque Especial]]/Tabela18[[#This Row],[Salário]]</f>
        <v>0.23255813953488372</v>
      </c>
    </row>
    <row r="358" spans="1:3" ht="13.5" customHeight="1" x14ac:dyDescent="0.3">
      <c r="A358" s="126">
        <v>4800</v>
      </c>
      <c r="B358" s="127">
        <v>1500</v>
      </c>
      <c r="C358" s="133">
        <f>Tabela18[[#This Row],[Limite do Cheque Especial]]/Tabela18[[#This Row],[Salário]]</f>
        <v>0.3125</v>
      </c>
    </row>
    <row r="359" spans="1:3" ht="13.5" customHeight="1" x14ac:dyDescent="0.3">
      <c r="A359" s="126">
        <v>6320</v>
      </c>
      <c r="B359" s="127">
        <v>1640</v>
      </c>
      <c r="C359" s="133">
        <f>Tabela18[[#This Row],[Limite do Cheque Especial]]/Tabela18[[#This Row],[Salário]]</f>
        <v>0.25949367088607594</v>
      </c>
    </row>
    <row r="360" spans="1:3" ht="13.5" customHeight="1" x14ac:dyDescent="0.3">
      <c r="A360" s="126">
        <v>5000</v>
      </c>
      <c r="B360" s="127">
        <v>1700</v>
      </c>
      <c r="C360" s="133">
        <f>Tabela18[[#This Row],[Limite do Cheque Especial]]/Tabela18[[#This Row],[Salário]]</f>
        <v>0.34</v>
      </c>
    </row>
    <row r="361" spans="1:3" ht="13.5" customHeight="1" x14ac:dyDescent="0.3">
      <c r="A361" s="126">
        <v>7300</v>
      </c>
      <c r="B361" s="127">
        <v>1780</v>
      </c>
      <c r="C361" s="133">
        <f>Tabela18[[#This Row],[Limite do Cheque Especial]]/Tabela18[[#This Row],[Salário]]</f>
        <v>0.24383561643835616</v>
      </c>
    </row>
    <row r="362" spans="1:3" ht="13.5" customHeight="1" x14ac:dyDescent="0.3">
      <c r="A362" s="126">
        <v>6800</v>
      </c>
      <c r="B362" s="127">
        <v>2000</v>
      </c>
      <c r="C362" s="133">
        <f>Tabela18[[#This Row],[Limite do Cheque Especial]]/Tabela18[[#This Row],[Salário]]</f>
        <v>0.29411764705882354</v>
      </c>
    </row>
    <row r="363" spans="1:3" ht="13.5" customHeight="1" x14ac:dyDescent="0.3">
      <c r="A363" s="126">
        <v>8784</v>
      </c>
      <c r="B363" s="127">
        <v>2350</v>
      </c>
      <c r="C363" s="133">
        <f>Tabela18[[#This Row],[Limite do Cheque Especial]]/Tabela18[[#This Row],[Salário]]</f>
        <v>0.26753187613843349</v>
      </c>
    </row>
    <row r="364" spans="1:3" ht="13.5" customHeight="1" x14ac:dyDescent="0.3">
      <c r="A364" s="126">
        <v>10084</v>
      </c>
      <c r="B364" s="127">
        <v>2500</v>
      </c>
      <c r="C364" s="133">
        <f>Tabela18[[#This Row],[Limite do Cheque Especial]]/Tabela18[[#This Row],[Salário]]</f>
        <v>0.24791749305831021</v>
      </c>
    </row>
    <row r="365" spans="1:3" ht="13.5" customHeight="1" x14ac:dyDescent="0.3">
      <c r="A365" s="126">
        <v>6400</v>
      </c>
      <c r="B365" s="127">
        <v>2500</v>
      </c>
      <c r="C365" s="133">
        <f>Tabela18[[#This Row],[Limite do Cheque Especial]]/Tabela18[[#This Row],[Salário]]</f>
        <v>0.390625</v>
      </c>
    </row>
    <row r="366" spans="1:3" ht="13.5" customHeight="1" x14ac:dyDescent="0.3">
      <c r="A366" s="126">
        <v>6000</v>
      </c>
      <c r="B366" s="127">
        <v>2500</v>
      </c>
      <c r="C366" s="133">
        <f>Tabela18[[#This Row],[Limite do Cheque Especial]]/Tabela18[[#This Row],[Salário]]</f>
        <v>0.41666666666666669</v>
      </c>
    </row>
    <row r="367" spans="1:3" ht="13.5" customHeight="1" x14ac:dyDescent="0.3">
      <c r="A367" s="126">
        <v>5000</v>
      </c>
      <c r="B367" s="127">
        <v>2500</v>
      </c>
      <c r="C367" s="133">
        <f>Tabela18[[#This Row],[Limite do Cheque Especial]]/Tabela18[[#This Row],[Salário]]</f>
        <v>0.5</v>
      </c>
    </row>
    <row r="368" spans="1:3" ht="13.5" customHeight="1" x14ac:dyDescent="0.3">
      <c r="A368" s="126">
        <v>8000</v>
      </c>
      <c r="B368" s="127">
        <v>3000</v>
      </c>
      <c r="C368" s="133">
        <f>Tabela18[[#This Row],[Limite do Cheque Especial]]/Tabela18[[#This Row],[Salário]]</f>
        <v>0.375</v>
      </c>
    </row>
    <row r="369" spans="1:13" ht="13.5" customHeight="1" x14ac:dyDescent="0.3">
      <c r="A369" s="126">
        <v>7825</v>
      </c>
      <c r="B369" s="127">
        <v>3000</v>
      </c>
      <c r="C369" s="133">
        <f>Tabela18[[#This Row],[Limite do Cheque Especial]]/Tabela18[[#This Row],[Salário]]</f>
        <v>0.38338658146964855</v>
      </c>
    </row>
    <row r="370" spans="1:13" ht="13.5" customHeight="1" x14ac:dyDescent="0.3">
      <c r="A370" s="126">
        <v>6500</v>
      </c>
      <c r="B370" s="127">
        <v>3000</v>
      </c>
      <c r="C370" s="133">
        <f>Tabela18[[#This Row],[Limite do Cheque Especial]]/Tabela18[[#This Row],[Salário]]</f>
        <v>0.46153846153846156</v>
      </c>
    </row>
    <row r="371" spans="1:13" ht="13.5" customHeight="1" x14ac:dyDescent="0.3">
      <c r="A371" s="126">
        <v>6000</v>
      </c>
      <c r="B371" s="127">
        <v>3000</v>
      </c>
      <c r="C371" s="133">
        <f>Tabela18[[#This Row],[Limite do Cheque Especial]]/Tabela18[[#This Row],[Salário]]</f>
        <v>0.5</v>
      </c>
    </row>
    <row r="372" spans="1:13" ht="13.5" customHeight="1" x14ac:dyDescent="0.3">
      <c r="A372" s="126">
        <v>5500</v>
      </c>
      <c r="B372" s="127">
        <v>3000</v>
      </c>
      <c r="C372" s="133">
        <f>Tabela18[[#This Row],[Limite do Cheque Especial]]/Tabela18[[#This Row],[Salário]]</f>
        <v>0.54545454545454541</v>
      </c>
    </row>
    <row r="373" spans="1:13" ht="13.5" customHeight="1" x14ac:dyDescent="0.3">
      <c r="A373" s="126">
        <v>8000</v>
      </c>
      <c r="B373" s="127">
        <v>3350</v>
      </c>
      <c r="C373" s="133">
        <f>Tabela18[[#This Row],[Limite do Cheque Especial]]/Tabela18[[#This Row],[Salário]]</f>
        <v>0.41875000000000001</v>
      </c>
    </row>
    <row r="374" spans="1:13" ht="13.5" customHeight="1" x14ac:dyDescent="0.3">
      <c r="A374" s="126">
        <v>12000</v>
      </c>
      <c r="B374" s="127">
        <v>3500</v>
      </c>
      <c r="C374" s="133">
        <f>Tabela18[[#This Row],[Limite do Cheque Especial]]/Tabela18[[#This Row],[Salário]]</f>
        <v>0.29166666666666669</v>
      </c>
    </row>
    <row r="375" spans="1:13" ht="13.5" customHeight="1" x14ac:dyDescent="0.3">
      <c r="A375" s="126">
        <v>6000</v>
      </c>
      <c r="B375" s="127">
        <v>3600</v>
      </c>
      <c r="C375" s="133">
        <f>Tabela18[[#This Row],[Limite do Cheque Especial]]/Tabela18[[#This Row],[Salário]]</f>
        <v>0.6</v>
      </c>
    </row>
    <row r="376" spans="1:13" ht="13.5" customHeight="1" x14ac:dyDescent="0.3">
      <c r="A376" s="126">
        <v>22000</v>
      </c>
      <c r="B376" s="127">
        <v>4000</v>
      </c>
      <c r="C376" s="133">
        <f>Tabela18[[#This Row],[Limite do Cheque Especial]]/Tabela18[[#This Row],[Salário]]</f>
        <v>0.18181818181818182</v>
      </c>
    </row>
    <row r="377" spans="1:13" ht="13.5" customHeight="1" x14ac:dyDescent="0.3">
      <c r="A377" s="126">
        <v>6927</v>
      </c>
      <c r="B377" s="127">
        <v>4000</v>
      </c>
      <c r="C377" s="133">
        <f>Tabela18[[#This Row],[Limite do Cheque Especial]]/Tabela18[[#This Row],[Salário]]</f>
        <v>0.57745055579616</v>
      </c>
    </row>
    <row r="378" spans="1:13" ht="13.5" customHeight="1" x14ac:dyDescent="0.3">
      <c r="A378" s="126">
        <v>6500</v>
      </c>
      <c r="B378" s="127">
        <v>4000</v>
      </c>
      <c r="C378" s="133">
        <f>Tabela18[[#This Row],[Limite do Cheque Especial]]/Tabela18[[#This Row],[Salário]]</f>
        <v>0.61538461538461542</v>
      </c>
      <c r="D378" s="23"/>
      <c r="E378" s="23"/>
      <c r="F378" s="23"/>
      <c r="G378" s="23"/>
      <c r="H378" s="23"/>
      <c r="I378" s="23"/>
      <c r="J378" s="23"/>
      <c r="K378" s="23"/>
      <c r="L378" s="23"/>
      <c r="M378" s="23"/>
    </row>
    <row r="379" spans="1:13" ht="13.5" customHeight="1" x14ac:dyDescent="0.3">
      <c r="A379" s="126">
        <v>6900</v>
      </c>
      <c r="B379" s="127">
        <v>4140</v>
      </c>
      <c r="C379" s="133">
        <f>Tabela18[[#This Row],[Limite do Cheque Especial]]/Tabela18[[#This Row],[Salário]]</f>
        <v>0.6</v>
      </c>
      <c r="D379" s="23"/>
      <c r="E379" s="23"/>
      <c r="F379" s="23"/>
      <c r="G379" s="23"/>
      <c r="H379" s="23"/>
      <c r="I379" s="23"/>
      <c r="J379" s="23"/>
      <c r="K379" s="23"/>
      <c r="L379" s="23"/>
      <c r="M379" s="23"/>
    </row>
    <row r="380" spans="1:13" ht="13.5" customHeight="1" x14ac:dyDescent="0.3">
      <c r="A380" s="126">
        <v>7500</v>
      </c>
      <c r="B380" s="127">
        <v>4930</v>
      </c>
      <c r="C380" s="133">
        <f>Tabela18[[#This Row],[Limite do Cheque Especial]]/Tabela18[[#This Row],[Salário]]</f>
        <v>0.65733333333333333</v>
      </c>
      <c r="D380" s="23"/>
      <c r="E380" s="23"/>
      <c r="F380" s="23"/>
      <c r="G380" s="23"/>
      <c r="H380" s="23"/>
      <c r="I380" s="23"/>
      <c r="J380" s="23"/>
      <c r="K380" s="23"/>
      <c r="L380" s="23"/>
      <c r="M380" s="23"/>
    </row>
    <row r="381" spans="1:13" ht="13.5" customHeight="1" x14ac:dyDescent="0.3">
      <c r="A381" s="126">
        <v>10000</v>
      </c>
      <c r="B381" s="127">
        <v>5000</v>
      </c>
      <c r="C381" s="133">
        <f>Tabela18[[#This Row],[Limite do Cheque Especial]]/Tabela18[[#This Row],[Salário]]</f>
        <v>0.5</v>
      </c>
      <c r="D381" s="23"/>
      <c r="E381" s="23"/>
      <c r="F381" s="23"/>
      <c r="G381" s="23"/>
      <c r="H381" s="23"/>
      <c r="I381" s="23"/>
      <c r="K381" s="22"/>
    </row>
    <row r="382" spans="1:13" ht="13.5" customHeight="1" x14ac:dyDescent="0.3">
      <c r="A382" s="126">
        <v>7000</v>
      </c>
      <c r="B382" s="127">
        <v>5000</v>
      </c>
      <c r="C382" s="133">
        <f>Tabela18[[#This Row],[Limite do Cheque Especial]]/Tabela18[[#This Row],[Salário]]</f>
        <v>0.7142857142857143</v>
      </c>
      <c r="D382" s="23"/>
      <c r="E382" s="23"/>
      <c r="F382" s="23"/>
      <c r="G382" s="23"/>
      <c r="H382" s="23"/>
      <c r="I382" s="23"/>
      <c r="K382" s="22"/>
    </row>
    <row r="383" spans="1:13" ht="13.5" customHeight="1" x14ac:dyDescent="0.3">
      <c r="A383" s="126">
        <v>4027</v>
      </c>
      <c r="B383" s="127">
        <v>5000</v>
      </c>
      <c r="C383" s="133">
        <f>Tabela18[[#This Row],[Limite do Cheque Especial]]/Tabela18[[#This Row],[Salário]]</f>
        <v>1.2416190712689348</v>
      </c>
      <c r="D383" s="23"/>
      <c r="E383" s="23"/>
      <c r="F383" s="23"/>
      <c r="G383" s="23"/>
      <c r="H383" s="23"/>
      <c r="I383" s="23"/>
      <c r="K383" s="22"/>
    </row>
    <row r="384" spans="1:13" ht="13.5" customHeight="1" x14ac:dyDescent="0.3">
      <c r="A384" s="126">
        <v>12912.54</v>
      </c>
      <c r="B384" s="127">
        <v>5320</v>
      </c>
      <c r="C384" s="133">
        <f>Tabela18[[#This Row],[Limite do Cheque Especial]]/Tabela18[[#This Row],[Salário]]</f>
        <v>0.4120025959261307</v>
      </c>
      <c r="D384" s="23"/>
      <c r="E384" s="23"/>
      <c r="F384" s="23"/>
      <c r="G384" s="23"/>
      <c r="H384" s="23"/>
      <c r="I384" s="23"/>
      <c r="K384" s="22"/>
    </row>
    <row r="385" spans="1:13" ht="13.5" customHeight="1" x14ac:dyDescent="0.3">
      <c r="A385" s="126">
        <v>14800</v>
      </c>
      <c r="B385" s="127">
        <v>6000</v>
      </c>
      <c r="C385" s="133">
        <f>Tabela18[[#This Row],[Limite do Cheque Especial]]/Tabela18[[#This Row],[Salário]]</f>
        <v>0.40540540540540543</v>
      </c>
      <c r="D385" s="23"/>
      <c r="E385" s="23"/>
      <c r="F385" s="23"/>
      <c r="G385" s="23"/>
      <c r="H385" s="23"/>
      <c r="I385" s="23"/>
      <c r="K385" s="22"/>
    </row>
    <row r="386" spans="1:13" ht="13.5" customHeight="1" x14ac:dyDescent="0.3">
      <c r="A386" s="126">
        <v>9000</v>
      </c>
      <c r="B386" s="127">
        <v>6000</v>
      </c>
      <c r="C386" s="133">
        <f>Tabela18[[#This Row],[Limite do Cheque Especial]]/Tabela18[[#This Row],[Salário]]</f>
        <v>0.66666666666666663</v>
      </c>
      <c r="D386" s="23"/>
      <c r="E386" s="23"/>
      <c r="F386" s="23"/>
      <c r="G386" s="23"/>
      <c r="H386" s="23"/>
      <c r="I386" s="23"/>
      <c r="K386" s="22"/>
    </row>
    <row r="387" spans="1:13" ht="13.5" customHeight="1" x14ac:dyDescent="0.3">
      <c r="A387" s="126">
        <v>10400</v>
      </c>
      <c r="B387" s="127">
        <v>8000</v>
      </c>
      <c r="C387" s="133">
        <f>Tabela18[[#This Row],[Limite do Cheque Especial]]/Tabela18[[#This Row],[Salário]]</f>
        <v>0.76923076923076927</v>
      </c>
      <c r="D387" s="23"/>
      <c r="E387" s="23"/>
      <c r="F387" s="23"/>
      <c r="G387" s="23"/>
      <c r="H387" s="23"/>
      <c r="I387" s="23"/>
      <c r="K387" s="22"/>
    </row>
    <row r="388" spans="1:13" ht="13.5" customHeight="1" x14ac:dyDescent="0.3">
      <c r="A388" s="126">
        <v>5700</v>
      </c>
      <c r="B388" s="127">
        <v>9900</v>
      </c>
      <c r="C388" s="133">
        <f>Tabela18[[#This Row],[Limite do Cheque Especial]]/Tabela18[[#This Row],[Salário]]</f>
        <v>1.736842105263158</v>
      </c>
      <c r="D388" s="23"/>
      <c r="E388" s="23"/>
      <c r="F388" s="23"/>
      <c r="G388" s="23"/>
      <c r="H388" s="23"/>
      <c r="I388" s="23"/>
      <c r="J388" s="23"/>
      <c r="K388" s="23"/>
      <c r="L388" s="23"/>
      <c r="M388" s="23"/>
    </row>
    <row r="389" spans="1:13" ht="13.5" customHeight="1" x14ac:dyDescent="0.3">
      <c r="A389" s="126">
        <v>21000</v>
      </c>
      <c r="B389" s="127">
        <v>10000</v>
      </c>
      <c r="C389" s="133">
        <f>Tabela18[[#This Row],[Limite do Cheque Especial]]/Tabela18[[#This Row],[Salário]]</f>
        <v>0.47619047619047616</v>
      </c>
      <c r="D389" s="23"/>
      <c r="E389" s="23"/>
      <c r="F389" s="23"/>
      <c r="G389" s="23"/>
      <c r="H389" s="23"/>
      <c r="I389" s="23"/>
      <c r="J389" s="23"/>
      <c r="K389" s="23"/>
      <c r="L389" s="23"/>
      <c r="M389" s="23"/>
    </row>
    <row r="390" spans="1:13" ht="13.5" customHeight="1" x14ac:dyDescent="0.3">
      <c r="A390" s="126">
        <v>15000</v>
      </c>
      <c r="B390" s="127">
        <v>10000</v>
      </c>
      <c r="C390" s="133">
        <f>Tabela18[[#This Row],[Limite do Cheque Especial]]/Tabela18[[#This Row],[Salário]]</f>
        <v>0.66666666666666663</v>
      </c>
      <c r="D390" s="23"/>
      <c r="E390" s="23"/>
      <c r="F390" s="23"/>
      <c r="G390" s="23"/>
      <c r="H390" s="23"/>
      <c r="I390" s="23"/>
      <c r="J390" s="23"/>
      <c r="K390" s="23"/>
      <c r="L390" s="23"/>
      <c r="M390" s="23"/>
    </row>
    <row r="391" spans="1:13" ht="13.5" customHeight="1" x14ac:dyDescent="0.3">
      <c r="A391" s="126">
        <v>13348</v>
      </c>
      <c r="B391" s="127">
        <v>10000</v>
      </c>
      <c r="C391" s="133">
        <f>Tabela18[[#This Row],[Limite do Cheque Especial]]/Tabela18[[#This Row],[Salário]]</f>
        <v>0.74917590650284682</v>
      </c>
      <c r="D391" s="23"/>
      <c r="E391" s="23"/>
      <c r="F391" s="23"/>
      <c r="G391" s="23"/>
      <c r="H391" s="23"/>
      <c r="I391" s="23"/>
      <c r="J391" s="23"/>
      <c r="K391" s="23"/>
      <c r="L391" s="23"/>
      <c r="M391" s="23"/>
    </row>
    <row r="392" spans="1:13" ht="13.5" customHeight="1" x14ac:dyDescent="0.3">
      <c r="A392" s="126">
        <v>10000</v>
      </c>
      <c r="B392" s="127">
        <v>10000</v>
      </c>
      <c r="C392" s="133">
        <f>Tabela18[[#This Row],[Limite do Cheque Especial]]/Tabela18[[#This Row],[Salário]]</f>
        <v>1</v>
      </c>
      <c r="D392" s="23"/>
      <c r="E392" s="23"/>
      <c r="F392" s="23"/>
      <c r="G392" s="23"/>
      <c r="H392" s="23"/>
      <c r="I392" s="23"/>
      <c r="J392" s="23"/>
      <c r="K392" s="23"/>
      <c r="L392" s="23"/>
      <c r="M392" s="23"/>
    </row>
    <row r="393" spans="1:13" ht="13.5" customHeight="1" x14ac:dyDescent="0.3">
      <c r="A393" s="126">
        <v>10000</v>
      </c>
      <c r="B393" s="127">
        <v>10000</v>
      </c>
      <c r="C393" s="133">
        <f>Tabela18[[#This Row],[Limite do Cheque Especial]]/Tabela18[[#This Row],[Salário]]</f>
        <v>1</v>
      </c>
      <c r="D393" s="23"/>
      <c r="E393" s="23"/>
      <c r="F393" s="23"/>
      <c r="G393" s="23"/>
      <c r="H393" s="23"/>
      <c r="I393" s="23"/>
      <c r="J393" s="23"/>
      <c r="K393" s="23"/>
      <c r="L393" s="23"/>
      <c r="M393" s="23"/>
    </row>
    <row r="394" spans="1:13" ht="13.5" customHeight="1" x14ac:dyDescent="0.3">
      <c r="A394" s="126">
        <v>9200</v>
      </c>
      <c r="B394" s="127">
        <v>10000</v>
      </c>
      <c r="C394" s="133">
        <f>Tabela18[[#This Row],[Limite do Cheque Especial]]/Tabela18[[#This Row],[Salário]]</f>
        <v>1.0869565217391304</v>
      </c>
    </row>
    <row r="395" spans="1:13" ht="13.5" customHeight="1" x14ac:dyDescent="0.3">
      <c r="A395" s="126">
        <v>13500</v>
      </c>
      <c r="B395" s="127">
        <v>13000</v>
      </c>
      <c r="C395" s="133">
        <f>Tabela18[[#This Row],[Limite do Cheque Especial]]/Tabela18[[#This Row],[Salário]]</f>
        <v>0.96296296296296291</v>
      </c>
    </row>
    <row r="396" spans="1:13" ht="13.5" customHeight="1" x14ac:dyDescent="0.3">
      <c r="A396" s="126">
        <v>40000</v>
      </c>
      <c r="B396" s="127">
        <v>18185</v>
      </c>
      <c r="C396" s="133">
        <f>Tabela18[[#This Row],[Limite do Cheque Especial]]/Tabela18[[#This Row],[Salário]]</f>
        <v>0.454625</v>
      </c>
    </row>
    <row r="397" spans="1:13" ht="13.5" customHeight="1" x14ac:dyDescent="0.3">
      <c r="A397" s="126">
        <v>30000</v>
      </c>
      <c r="B397" s="127">
        <v>20000</v>
      </c>
      <c r="C397" s="133">
        <f>Tabela18[[#This Row],[Limite do Cheque Especial]]/Tabela18[[#This Row],[Salário]]</f>
        <v>0.66666666666666663</v>
      </c>
    </row>
    <row r="398" spans="1:13" ht="13.5" customHeight="1" x14ac:dyDescent="0.3">
      <c r="A398" s="128">
        <v>54500</v>
      </c>
      <c r="B398" s="129">
        <v>35000</v>
      </c>
      <c r="C398" s="133">
        <f>Tabela18[[#This Row],[Limite do Cheque Especial]]/Tabela18[[#This Row],[Salário]]</f>
        <v>0.64220183486238536</v>
      </c>
    </row>
    <row r="407" spans="2:17" ht="13.5" customHeight="1" x14ac:dyDescent="0.2">
      <c r="B407" s="137" t="s">
        <v>115</v>
      </c>
      <c r="C407" s="137"/>
      <c r="D407" s="137"/>
      <c r="E407" s="137"/>
      <c r="F407" s="137"/>
      <c r="G407" s="137"/>
      <c r="H407" s="137"/>
      <c r="I407" s="137"/>
      <c r="J407" s="137"/>
      <c r="K407" s="137"/>
      <c r="L407" s="137"/>
      <c r="M407" s="137"/>
      <c r="N407" s="137"/>
      <c r="O407" s="137"/>
      <c r="P407" s="137"/>
      <c r="Q407" s="137"/>
    </row>
    <row r="408" spans="2:17" ht="13.5" customHeight="1" x14ac:dyDescent="0.2">
      <c r="B408" s="137"/>
      <c r="C408" s="137"/>
      <c r="D408" s="137"/>
      <c r="E408" s="137"/>
      <c r="F408" s="137"/>
      <c r="G408" s="137"/>
      <c r="H408" s="137"/>
      <c r="I408" s="137"/>
      <c r="J408" s="137"/>
      <c r="K408" s="137"/>
      <c r="L408" s="137"/>
      <c r="M408" s="137"/>
      <c r="N408" s="137"/>
      <c r="O408" s="137"/>
      <c r="P408" s="137"/>
      <c r="Q408" s="137"/>
    </row>
    <row r="409" spans="2:17" ht="13.5" customHeight="1" x14ac:dyDescent="0.2">
      <c r="B409" s="137"/>
      <c r="C409" s="137"/>
      <c r="D409" s="137"/>
      <c r="E409" s="137"/>
      <c r="F409" s="137"/>
      <c r="G409" s="137"/>
      <c r="H409" s="137"/>
      <c r="I409" s="137"/>
      <c r="J409" s="137"/>
      <c r="K409" s="137"/>
      <c r="L409" s="137"/>
      <c r="M409" s="137"/>
      <c r="N409" s="137"/>
      <c r="O409" s="137"/>
      <c r="P409" s="137"/>
      <c r="Q409" s="137"/>
    </row>
    <row r="410" spans="2:17" ht="13.5" customHeight="1" x14ac:dyDescent="0.2">
      <c r="B410" s="137"/>
      <c r="C410" s="137"/>
      <c r="D410" s="137"/>
      <c r="E410" s="137"/>
      <c r="F410" s="137"/>
      <c r="G410" s="137"/>
      <c r="H410" s="137"/>
      <c r="I410" s="137"/>
      <c r="J410" s="137"/>
      <c r="K410" s="137"/>
      <c r="L410" s="137"/>
      <c r="M410" s="137"/>
      <c r="N410" s="137"/>
      <c r="O410" s="137"/>
      <c r="P410" s="137"/>
      <c r="Q410" s="137"/>
    </row>
    <row r="411" spans="2:17" ht="13.5" customHeight="1" x14ac:dyDescent="0.2">
      <c r="B411" s="137"/>
      <c r="C411" s="137"/>
      <c r="D411" s="137"/>
      <c r="E411" s="137"/>
      <c r="F411" s="137"/>
      <c r="G411" s="137"/>
      <c r="H411" s="137"/>
      <c r="I411" s="137"/>
      <c r="J411" s="137"/>
      <c r="K411" s="137"/>
      <c r="L411" s="137"/>
      <c r="M411" s="137"/>
      <c r="N411" s="137"/>
      <c r="O411" s="137"/>
      <c r="P411" s="137"/>
      <c r="Q411" s="137"/>
    </row>
    <row r="412" spans="2:17" ht="13.5" customHeight="1" x14ac:dyDescent="0.2">
      <c r="B412" s="137"/>
      <c r="C412" s="137"/>
      <c r="D412" s="137"/>
      <c r="E412" s="137"/>
      <c r="F412" s="137"/>
      <c r="G412" s="137"/>
      <c r="H412" s="137"/>
      <c r="I412" s="137"/>
      <c r="J412" s="137"/>
      <c r="K412" s="137"/>
      <c r="L412" s="137"/>
      <c r="M412" s="137"/>
      <c r="N412" s="137"/>
      <c r="O412" s="137"/>
      <c r="P412" s="137"/>
      <c r="Q412" s="137"/>
    </row>
    <row r="413" spans="2:17" ht="13.5" customHeight="1" x14ac:dyDescent="0.2">
      <c r="B413" s="137"/>
      <c r="C413" s="137"/>
      <c r="D413" s="137"/>
      <c r="E413" s="137"/>
      <c r="F413" s="137"/>
      <c r="G413" s="137"/>
      <c r="H413" s="137"/>
      <c r="I413" s="137"/>
      <c r="J413" s="137"/>
      <c r="K413" s="137"/>
      <c r="L413" s="137"/>
      <c r="M413" s="137"/>
      <c r="N413" s="137"/>
      <c r="O413" s="137"/>
      <c r="P413" s="137"/>
      <c r="Q413" s="137"/>
    </row>
  </sheetData>
  <mergeCells count="13">
    <mergeCell ref="B407:Q413"/>
    <mergeCell ref="B136:Q142"/>
    <mergeCell ref="B201:Q207"/>
    <mergeCell ref="B267:Q273"/>
    <mergeCell ref="B335:Q341"/>
    <mergeCell ref="D238:E238"/>
    <mergeCell ref="D254:E254"/>
    <mergeCell ref="B65:Q71"/>
    <mergeCell ref="I84:J84"/>
    <mergeCell ref="I100:J100"/>
    <mergeCell ref="E168:F168"/>
    <mergeCell ref="L84:M84"/>
    <mergeCell ref="L100:M100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7">
    <tablePart r:id="rId3"/>
    <tablePart r:id="rId4"/>
    <tablePart r:id="rId5"/>
    <tablePart r:id="rId6"/>
    <tablePart r:id="rId7"/>
    <tablePart r:id="rId8"/>
    <tablePart r:id="rId9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1D594-4863-43E3-8F74-0216F495F936}">
  <sheetPr>
    <tabColor rgb="FF79DDDB"/>
  </sheetPr>
  <dimension ref="A1"/>
  <sheetViews>
    <sheetView showGridLines="0" showRowColHeaders="0" workbookViewId="0">
      <selection activeCell="O16" sqref="O16"/>
    </sheetView>
  </sheetViews>
  <sheetFormatPr defaultRowHeight="12.75" x14ac:dyDescent="0.2"/>
  <sheetData/>
  <pageMargins left="0.511811024" right="0.511811024" top="0.78740157499999996" bottom="0.78740157499999996" header="0.31496062000000002" footer="0.3149606200000000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77D65-F5D0-4989-BD43-899A25165022}">
  <sheetPr>
    <tabColor rgb="FFC7F1F0"/>
  </sheetPr>
  <dimension ref="A1"/>
  <sheetViews>
    <sheetView showGridLines="0" showRowColHeaders="0" zoomScaleNormal="100" workbookViewId="0">
      <pane ySplit="3" topLeftCell="A4" activePane="bottomLeft" state="frozen"/>
      <selection activeCell="K154" sqref="K154"/>
      <selection pane="bottomLeft" activeCell="E18" sqref="E18"/>
    </sheetView>
  </sheetViews>
  <sheetFormatPr defaultRowHeight="13.5" customHeight="1" x14ac:dyDescent="0.2"/>
  <cols>
    <col min="1" max="3" width="9.140625" style="1" customWidth="1"/>
    <col min="4" max="4" width="9.140625" style="1"/>
    <col min="5" max="13" width="9.140625" style="1" customWidth="1"/>
    <col min="14" max="17" width="9.140625" style="1"/>
    <col min="18" max="18" width="9.140625" style="1" customWidth="1"/>
    <col min="19" max="16384" width="9.140625" style="1"/>
  </cols>
  <sheetData/>
  <pageMargins left="0.511811024" right="0.511811024" top="0.78740157499999996" bottom="0.78740157499999996" header="0.31496062000000002" footer="0.31496062000000002"/>
  <pageSetup paperSize="9"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ECBA6-4BC7-465E-9235-FC623087AD1C}">
  <sheetPr>
    <tabColor rgb="FFC7F1F0"/>
  </sheetPr>
  <dimension ref="A1"/>
  <sheetViews>
    <sheetView showGridLines="0" showRowColHeaders="0" zoomScaleNormal="100" workbookViewId="0">
      <pane ySplit="3" topLeftCell="A4" activePane="bottomLeft" state="frozen"/>
      <selection activeCell="K154" sqref="K154"/>
      <selection pane="bottomLeft" activeCell="H9" sqref="H9"/>
    </sheetView>
  </sheetViews>
  <sheetFormatPr defaultRowHeight="13.5" customHeight="1" x14ac:dyDescent="0.2"/>
  <cols>
    <col min="1" max="1" width="9.140625" style="2"/>
    <col min="2" max="12" width="9.140625" style="2" customWidth="1"/>
    <col min="13" max="13" width="9.140625" style="2"/>
    <col min="14" max="14" width="9.140625" style="2" customWidth="1"/>
    <col min="15" max="16384" width="9.140625" style="2"/>
  </cols>
  <sheetData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Capa</vt:lpstr>
      <vt:lpstr>Problema 6.i.</vt:lpstr>
      <vt:lpstr>Problema 6.ii.</vt:lpstr>
      <vt:lpstr>Banco de dados &gt;&gt;</vt:lpstr>
      <vt:lpstr>6.i. Companhia_MB</vt:lpstr>
      <vt:lpstr>6.ii. LimiteCredito</vt:lpstr>
      <vt:lpstr>Resoluções &gt;&gt;</vt:lpstr>
      <vt:lpstr>6.i.</vt:lpstr>
      <vt:lpstr>6.ii.</vt:lpstr>
      <vt:lpstr>Códigos &gt;&gt;</vt:lpstr>
      <vt:lpstr>Código 6.i.</vt:lpstr>
      <vt:lpstr>Código 6.ii.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 hsu</dc:creator>
  <cp:lastModifiedBy>Wilber Linhares</cp:lastModifiedBy>
  <dcterms:created xsi:type="dcterms:W3CDTF">2020-08-12T01:31:46Z</dcterms:created>
  <dcterms:modified xsi:type="dcterms:W3CDTF">2020-09-05T23:18:24Z</dcterms:modified>
</cp:coreProperties>
</file>