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search\Telecom_Indicators\India\Spectrum\"/>
    </mc:Choice>
  </mc:AlternateContent>
  <bookViews>
    <workbookView xWindow="0" yWindow="0" windowWidth="20490" windowHeight="7760" firstSheet="4" activeTab="7"/>
  </bookViews>
  <sheets>
    <sheet name="3G BWA Auction Results" sheetId="1" r:id="rId1"/>
    <sheet name="HHI" sheetId="2" r:id="rId2"/>
    <sheet name="Sheet3" sheetId="3" r:id="rId3"/>
    <sheet name="1800 MHz - Nov 2012" sheetId="4" r:id="rId4"/>
    <sheet name="800 MHz - Mar 2013" sheetId="5" r:id="rId5"/>
    <sheet name="1800 MHz - Feb 2014" sheetId="7" r:id="rId6"/>
    <sheet name="Mar 2015" sheetId="9" r:id="rId7"/>
    <sheet name="Oct 2016" sheetId="11" r:id="rId8"/>
    <sheet name="Price per MHz per pop" sheetId="8" r:id="rId9"/>
  </sheets>
  <externalReferences>
    <externalReference r:id="rId10"/>
  </externalReferences>
  <definedNames>
    <definedName name="_xlnm.Print_Titles" localSheetId="0">'3G BWA Auction Results'!$1:$2</definedName>
  </definedNames>
  <calcPr calcId="162913"/>
</workbook>
</file>

<file path=xl/calcChain.xml><?xml version="1.0" encoding="utf-8"?>
<calcChain xmlns="http://schemas.openxmlformats.org/spreadsheetml/2006/main">
  <c r="AY24" i="11" l="1"/>
  <c r="AY23" i="11"/>
  <c r="AY22" i="11"/>
  <c r="AY21" i="11"/>
  <c r="AY20" i="11"/>
  <c r="AY19" i="11"/>
  <c r="AY18" i="11"/>
  <c r="AY17" i="11"/>
  <c r="AY16" i="11"/>
  <c r="AY27" i="11" s="1"/>
  <c r="AY15" i="11"/>
  <c r="AY4" i="11"/>
  <c r="AY5" i="11"/>
  <c r="AY6" i="11"/>
  <c r="AY7" i="11"/>
  <c r="AY8" i="11"/>
  <c r="AY9" i="11"/>
  <c r="AY10" i="11"/>
  <c r="AY11" i="11"/>
  <c r="AY12" i="11"/>
  <c r="AY13" i="11"/>
  <c r="AY14" i="11"/>
  <c r="AY3" i="11"/>
  <c r="BA29" i="11"/>
  <c r="AZ29" i="11"/>
  <c r="AY29" i="11"/>
  <c r="AY26" i="11" l="1"/>
  <c r="AY30" i="11"/>
  <c r="O7" i="11"/>
  <c r="AC33" i="9" l="1"/>
  <c r="O26" i="9"/>
  <c r="O28" i="9" s="1"/>
  <c r="V26" i="9"/>
  <c r="V28" i="9" s="1"/>
  <c r="AC7" i="9"/>
  <c r="AB30" i="9"/>
  <c r="AB31" i="9" s="1"/>
  <c r="X26" i="9"/>
  <c r="AA28" i="9"/>
  <c r="O32" i="11"/>
  <c r="AC27" i="9"/>
  <c r="AC30" i="9" s="1"/>
  <c r="AX32" i="11"/>
  <c r="AQ32" i="11"/>
  <c r="AJ32" i="11"/>
  <c r="AC32" i="11"/>
  <c r="AC28" i="9" l="1"/>
  <c r="AB26" i="9" l="1"/>
  <c r="AS25" i="8" l="1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29" i="8" s="1"/>
  <c r="AS8" i="8"/>
  <c r="AS7" i="8"/>
  <c r="AS27" i="8" s="1"/>
  <c r="AS6" i="8"/>
  <c r="AS5" i="8"/>
  <c r="AS30" i="8" s="1"/>
  <c r="AS4" i="8"/>
  <c r="AS28" i="8" s="1"/>
  <c r="AQ25" i="8"/>
  <c r="AQ22" i="8"/>
  <c r="AQ19" i="8"/>
  <c r="AQ18" i="8"/>
  <c r="AQ17" i="8"/>
  <c r="AQ16" i="8"/>
  <c r="AQ29" i="8" s="1"/>
  <c r="AQ15" i="8"/>
  <c r="AQ14" i="8"/>
  <c r="AQ13" i="8"/>
  <c r="AQ12" i="8"/>
  <c r="AQ10" i="8"/>
  <c r="AQ8" i="8"/>
  <c r="AQ7" i="8"/>
  <c r="AQ27" i="8" s="1"/>
  <c r="AQ6" i="8"/>
  <c r="AQ5" i="8"/>
  <c r="AQ30" i="8" s="1"/>
  <c r="AQ4" i="8"/>
  <c r="AQ28" i="8" s="1"/>
  <c r="AS31" i="8" l="1"/>
  <c r="AQ31" i="8"/>
  <c r="AV27" i="11"/>
  <c r="AX27" i="11" s="1"/>
  <c r="AO27" i="11"/>
  <c r="AQ27" i="11" s="1"/>
  <c r="AH27" i="11"/>
  <c r="AD28" i="11"/>
  <c r="M27" i="11"/>
  <c r="O27" i="11" s="1"/>
  <c r="J27" i="11"/>
  <c r="AV26" i="11"/>
  <c r="AO26" i="11"/>
  <c r="AQ26" i="11" s="1"/>
  <c r="AH26" i="11"/>
  <c r="AJ26" i="11" s="1"/>
  <c r="M26" i="11"/>
  <c r="J26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8" i="11"/>
  <c r="AX29" i="11"/>
  <c r="AX30" i="11"/>
  <c r="AX31" i="11"/>
  <c r="AX33" i="11"/>
  <c r="AX34" i="11"/>
  <c r="AX35" i="11"/>
  <c r="AX36" i="11"/>
  <c r="AX37" i="11"/>
  <c r="AX38" i="11"/>
  <c r="AX39" i="11"/>
  <c r="AX40" i="11"/>
  <c r="AX41" i="11"/>
  <c r="AX3" i="11"/>
  <c r="AW6" i="11"/>
  <c r="AW7" i="11"/>
  <c r="AW11" i="11"/>
  <c r="AW13" i="11"/>
  <c r="AW14" i="11"/>
  <c r="AW15" i="11"/>
  <c r="AW16" i="11"/>
  <c r="AW21" i="11"/>
  <c r="AW25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3" i="11"/>
  <c r="AS24" i="11"/>
  <c r="AW24" i="11" s="1"/>
  <c r="AS23" i="11"/>
  <c r="AW23" i="11" s="1"/>
  <c r="AS22" i="11"/>
  <c r="AW22" i="11" s="1"/>
  <c r="AS20" i="11"/>
  <c r="AW20" i="11" s="1"/>
  <c r="AS19" i="11"/>
  <c r="AW19" i="11" s="1"/>
  <c r="AS18" i="11"/>
  <c r="AW18" i="11" s="1"/>
  <c r="AS17" i="11"/>
  <c r="AW17" i="11" s="1"/>
  <c r="AS12" i="11"/>
  <c r="AW12" i="11" s="1"/>
  <c r="AS10" i="11"/>
  <c r="AW10" i="11" s="1"/>
  <c r="AS9" i="11"/>
  <c r="AW9" i="11" s="1"/>
  <c r="AS8" i="11"/>
  <c r="AW8" i="11" s="1"/>
  <c r="AS7" i="11"/>
  <c r="AS5" i="11"/>
  <c r="AW5" i="11" s="1"/>
  <c r="AS4" i="11"/>
  <c r="AQ4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8" i="11"/>
  <c r="AQ29" i="11"/>
  <c r="AQ30" i="11"/>
  <c r="AQ31" i="11"/>
  <c r="AQ33" i="11"/>
  <c r="AQ34" i="11"/>
  <c r="AQ35" i="11"/>
  <c r="AQ36" i="11"/>
  <c r="AQ37" i="11"/>
  <c r="AQ38" i="11"/>
  <c r="AQ39" i="11"/>
  <c r="AQ40" i="11"/>
  <c r="AQ41" i="11"/>
  <c r="AQ3" i="11"/>
  <c r="AP6" i="11"/>
  <c r="AP8" i="11"/>
  <c r="AP10" i="11"/>
  <c r="AP11" i="11"/>
  <c r="AP15" i="11"/>
  <c r="AP18" i="11"/>
  <c r="AP19" i="11"/>
  <c r="AP20" i="11"/>
  <c r="AP22" i="11"/>
  <c r="AP23" i="11"/>
  <c r="AP25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L24" i="11"/>
  <c r="AP24" i="11" s="1"/>
  <c r="AL21" i="11"/>
  <c r="AP21" i="11" s="1"/>
  <c r="AL18" i="11"/>
  <c r="AL17" i="11"/>
  <c r="AP17" i="11" s="1"/>
  <c r="AL16" i="11"/>
  <c r="AP16" i="11" s="1"/>
  <c r="AL14" i="11"/>
  <c r="AP14" i="11" s="1"/>
  <c r="AL13" i="11"/>
  <c r="AP13" i="11" s="1"/>
  <c r="AL12" i="11"/>
  <c r="AP12" i="11" s="1"/>
  <c r="AL11" i="11"/>
  <c r="AL9" i="11"/>
  <c r="AP9" i="11" s="1"/>
  <c r="AL7" i="11"/>
  <c r="AP7" i="11" s="1"/>
  <c r="AL5" i="11"/>
  <c r="AP5" i="11" s="1"/>
  <c r="AL4" i="11"/>
  <c r="AP4" i="11" s="1"/>
  <c r="AL3" i="11"/>
  <c r="AL26" i="11" s="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7" i="11"/>
  <c r="AJ28" i="11"/>
  <c r="AJ29" i="11"/>
  <c r="AJ30" i="11"/>
  <c r="AJ31" i="11"/>
  <c r="AJ33" i="11"/>
  <c r="AJ34" i="11"/>
  <c r="AJ35" i="11"/>
  <c r="AJ36" i="11"/>
  <c r="AJ37" i="11"/>
  <c r="AJ38" i="11"/>
  <c r="AJ39" i="11"/>
  <c r="AJ40" i="11"/>
  <c r="AJ41" i="11"/>
  <c r="AJ5" i="11"/>
  <c r="AI7" i="11"/>
  <c r="AI9" i="11"/>
  <c r="AI11" i="11"/>
  <c r="AI13" i="11"/>
  <c r="AI14" i="11"/>
  <c r="AI17" i="11"/>
  <c r="AI21" i="11"/>
  <c r="AI22" i="11"/>
  <c r="AI23" i="11"/>
  <c r="AI24" i="11"/>
  <c r="AI25" i="11"/>
  <c r="BA25" i="11" s="1"/>
  <c r="AI28" i="11"/>
  <c r="AI29" i="11"/>
  <c r="AI30" i="11"/>
  <c r="AI31" i="11"/>
  <c r="AI32" i="11"/>
  <c r="AI33" i="11"/>
  <c r="AI34" i="11"/>
  <c r="AI35" i="11"/>
  <c r="BA35" i="11" s="1"/>
  <c r="AI36" i="11"/>
  <c r="AI37" i="11"/>
  <c r="AI38" i="11"/>
  <c r="AI39" i="11"/>
  <c r="AI40" i="11"/>
  <c r="AI41" i="11"/>
  <c r="AB11" i="11"/>
  <c r="AB18" i="11"/>
  <c r="AB21" i="11"/>
  <c r="AB25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" i="11"/>
  <c r="AC4" i="11" s="1"/>
  <c r="X4" i="11"/>
  <c r="O9" i="11"/>
  <c r="O10" i="11"/>
  <c r="O11" i="11"/>
  <c r="O12" i="11"/>
  <c r="O13" i="11"/>
  <c r="O28" i="11" s="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30" i="11"/>
  <c r="O31" i="11"/>
  <c r="O33" i="11"/>
  <c r="O34" i="11"/>
  <c r="O35" i="11"/>
  <c r="O36" i="11"/>
  <c r="O37" i="11"/>
  <c r="O38" i="11"/>
  <c r="O39" i="11"/>
  <c r="N20" i="11"/>
  <c r="N19" i="11"/>
  <c r="N7" i="11"/>
  <c r="BA36" i="11" l="1"/>
  <c r="BA11" i="11"/>
  <c r="BA34" i="11"/>
  <c r="BA21" i="11"/>
  <c r="AS27" i="11"/>
  <c r="AW27" i="11" s="1"/>
  <c r="BA40" i="11"/>
  <c r="BA32" i="11"/>
  <c r="BA33" i="11"/>
  <c r="N26" i="11"/>
  <c r="BA39" i="11"/>
  <c r="BA31" i="11"/>
  <c r="BA41" i="11"/>
  <c r="BA38" i="11"/>
  <c r="BA30" i="11"/>
  <c r="BA28" i="11"/>
  <c r="BA37" i="11"/>
  <c r="BA13" i="11"/>
  <c r="BA17" i="11"/>
  <c r="AL27" i="11"/>
  <c r="AP27" i="11" s="1"/>
  <c r="N27" i="11"/>
  <c r="AS26" i="11"/>
  <c r="AP3" i="11"/>
  <c r="AW4" i="11"/>
  <c r="BA4" i="11" s="1"/>
  <c r="AW26" i="11"/>
  <c r="AP26" i="11"/>
  <c r="AE20" i="11"/>
  <c r="AI20" i="11" s="1"/>
  <c r="BA20" i="11" s="1"/>
  <c r="AE19" i="11"/>
  <c r="AI19" i="11" s="1"/>
  <c r="AE18" i="11"/>
  <c r="AI18" i="11" s="1"/>
  <c r="BA18" i="11" s="1"/>
  <c r="AE16" i="11"/>
  <c r="AI16" i="11" s="1"/>
  <c r="AE12" i="11"/>
  <c r="AI12" i="11" s="1"/>
  <c r="BA12" i="11" s="1"/>
  <c r="AE15" i="11"/>
  <c r="AI15" i="11" s="1"/>
  <c r="BA15" i="11" s="1"/>
  <c r="AE10" i="11"/>
  <c r="AI10" i="11" s="1"/>
  <c r="AE8" i="11"/>
  <c r="AI8" i="11" s="1"/>
  <c r="BA8" i="11" s="1"/>
  <c r="AE6" i="11"/>
  <c r="AI6" i="11" s="1"/>
  <c r="BA6" i="11" s="1"/>
  <c r="AE5" i="11"/>
  <c r="X24" i="11"/>
  <c r="AB24" i="11" s="1"/>
  <c r="AC24" i="11" s="1"/>
  <c r="X17" i="11"/>
  <c r="AB17" i="11" s="1"/>
  <c r="AC17" i="11" s="1"/>
  <c r="X22" i="11"/>
  <c r="AB22" i="11" s="1"/>
  <c r="AC22" i="11" s="1"/>
  <c r="X23" i="11"/>
  <c r="AB23" i="11" s="1"/>
  <c r="AC23" i="11" s="1"/>
  <c r="X20" i="11"/>
  <c r="AB20" i="11" s="1"/>
  <c r="AC20" i="11" s="1"/>
  <c r="X19" i="11"/>
  <c r="AB19" i="11" s="1"/>
  <c r="AC19" i="11" s="1"/>
  <c r="X16" i="11"/>
  <c r="AB16" i="11" s="1"/>
  <c r="AC16" i="11" s="1"/>
  <c r="X15" i="11"/>
  <c r="AB15" i="11" s="1"/>
  <c r="AC15" i="11" s="1"/>
  <c r="X14" i="11"/>
  <c r="AB14" i="11" s="1"/>
  <c r="AC14" i="11" s="1"/>
  <c r="X13" i="11"/>
  <c r="AB13" i="11" s="1"/>
  <c r="AC13" i="11" s="1"/>
  <c r="X12" i="11"/>
  <c r="AB12" i="11" s="1"/>
  <c r="AC12" i="11" s="1"/>
  <c r="X10" i="11"/>
  <c r="AB10" i="11" s="1"/>
  <c r="AC10" i="11" s="1"/>
  <c r="X9" i="11"/>
  <c r="AB9" i="11" s="1"/>
  <c r="AC9" i="11" s="1"/>
  <c r="X8" i="11"/>
  <c r="AB8" i="11" s="1"/>
  <c r="AC8" i="11" s="1"/>
  <c r="X7" i="11"/>
  <c r="AA7" i="11"/>
  <c r="X6" i="11"/>
  <c r="AB6" i="11" s="1"/>
  <c r="AC6" i="11" s="1"/>
  <c r="X3" i="11"/>
  <c r="X5" i="11"/>
  <c r="AB5" i="11" s="1"/>
  <c r="AC5" i="11" s="1"/>
  <c r="BA16" i="11" l="1"/>
  <c r="BA10" i="11"/>
  <c r="BA23" i="11"/>
  <c r="BA19" i="11"/>
  <c r="AB7" i="11"/>
  <c r="BA24" i="11"/>
  <c r="BA9" i="11"/>
  <c r="BA14" i="11"/>
  <c r="AA27" i="11"/>
  <c r="AA26" i="11"/>
  <c r="AE27" i="11"/>
  <c r="AI27" i="11" s="1"/>
  <c r="AE26" i="11"/>
  <c r="AI26" i="11" s="1"/>
  <c r="AI5" i="11"/>
  <c r="BA5" i="11" s="1"/>
  <c r="AB3" i="11"/>
  <c r="X26" i="11"/>
  <c r="AB26" i="11" s="1"/>
  <c r="BA22" i="11"/>
  <c r="AD15" i="9"/>
  <c r="X27" i="11" l="1"/>
  <c r="AB27" i="11" s="1"/>
  <c r="AC3" i="11"/>
  <c r="BA3" i="11"/>
  <c r="AC7" i="11"/>
  <c r="BA7" i="11"/>
  <c r="Y26" i="11"/>
  <c r="BA26" i="11" l="1"/>
  <c r="AC26" i="11"/>
  <c r="AC27" i="11"/>
  <c r="AR30" i="8"/>
  <c r="AP30" i="8"/>
  <c r="AK30" i="8"/>
  <c r="AR29" i="8"/>
  <c r="AP29" i="8"/>
  <c r="AI29" i="8"/>
  <c r="AR28" i="8"/>
  <c r="AP28" i="8"/>
  <c r="AI28" i="8"/>
  <c r="AR27" i="8"/>
  <c r="AP27" i="8"/>
  <c r="AI27" i="8"/>
  <c r="AR31" i="8" l="1"/>
  <c r="AP31" i="8"/>
  <c r="AK29" i="8"/>
  <c r="AK28" i="8"/>
  <c r="AK27" i="8"/>
  <c r="AK31" i="8" l="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AT27" i="11"/>
  <c r="AT28" i="11" s="1"/>
  <c r="AT26" i="11"/>
  <c r="AR27" i="11"/>
  <c r="AR28" i="11" s="1"/>
  <c r="AR26" i="11"/>
  <c r="AU4" i="11"/>
  <c r="AU5" i="11"/>
  <c r="AU6" i="11"/>
  <c r="AU3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7" i="11"/>
  <c r="AM27" i="11"/>
  <c r="AM28" i="11" s="1"/>
  <c r="AM26" i="11"/>
  <c r="AN4" i="11"/>
  <c r="AN5" i="11"/>
  <c r="AN6" i="11"/>
  <c r="AN7" i="11"/>
  <c r="AN9" i="11"/>
  <c r="AN11" i="11"/>
  <c r="AN12" i="11"/>
  <c r="AN13" i="11"/>
  <c r="AN14" i="11"/>
  <c r="AN15" i="11"/>
  <c r="AN16" i="11"/>
  <c r="AN17" i="11"/>
  <c r="AN18" i="11"/>
  <c r="AN21" i="11"/>
  <c r="AN24" i="11"/>
  <c r="AN3" i="11"/>
  <c r="AK27" i="11"/>
  <c r="AK28" i="11" s="1"/>
  <c r="AK26" i="11"/>
  <c r="E3429" i="11"/>
  <c r="E3430" i="11"/>
  <c r="E3431" i="11"/>
  <c r="E3432" i="11"/>
  <c r="E3433" i="11"/>
  <c r="E3434" i="11"/>
  <c r="E3435" i="11"/>
  <c r="E3436" i="11"/>
  <c r="E3437" i="11"/>
  <c r="E3438" i="11"/>
  <c r="E3439" i="11"/>
  <c r="E3440" i="11"/>
  <c r="E3441" i="11"/>
  <c r="E3442" i="11"/>
  <c r="E3443" i="11"/>
  <c r="E3444" i="11"/>
  <c r="E3445" i="11"/>
  <c r="E3446" i="11"/>
  <c r="E3447" i="11"/>
  <c r="E3448" i="11"/>
  <c r="E3449" i="11"/>
  <c r="E3450" i="11"/>
  <c r="B3452" i="11"/>
  <c r="D3452" i="11"/>
  <c r="B3453" i="11"/>
  <c r="D3453" i="11"/>
  <c r="D27" i="11"/>
  <c r="D26" i="11"/>
  <c r="E4" i="11"/>
  <c r="E5" i="11"/>
  <c r="E6" i="11"/>
  <c r="E3" i="11"/>
  <c r="B27" i="11"/>
  <c r="B26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7" i="11"/>
  <c r="C26" i="8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3" i="11"/>
  <c r="S5" i="11"/>
  <c r="S7" i="11"/>
  <c r="S22" i="11"/>
  <c r="S23" i="11"/>
  <c r="L5" i="11"/>
  <c r="L6" i="11"/>
  <c r="L7" i="11"/>
  <c r="L8" i="11"/>
  <c r="L9" i="11"/>
  <c r="L11" i="11"/>
  <c r="L12" i="11"/>
  <c r="L13" i="11"/>
  <c r="L14" i="11"/>
  <c r="L15" i="11"/>
  <c r="L16" i="11"/>
  <c r="L18" i="11"/>
  <c r="L19" i="11"/>
  <c r="L20" i="11"/>
  <c r="L21" i="11"/>
  <c r="L22" i="11"/>
  <c r="L23" i="11"/>
  <c r="L24" i="11"/>
  <c r="L3" i="11"/>
  <c r="AF27" i="11"/>
  <c r="AD27" i="11"/>
  <c r="Y27" i="11"/>
  <c r="W27" i="11"/>
  <c r="R27" i="11"/>
  <c r="P27" i="11"/>
  <c r="K27" i="11"/>
  <c r="I27" i="11"/>
  <c r="AF26" i="11"/>
  <c r="AD26" i="11"/>
  <c r="W26" i="11"/>
  <c r="R26" i="11"/>
  <c r="P26" i="11"/>
  <c r="K26" i="11"/>
  <c r="I26" i="11"/>
  <c r="AC23" i="9"/>
  <c r="AC22" i="9"/>
  <c r="AC21" i="9"/>
  <c r="AC20" i="9"/>
  <c r="AC18" i="9"/>
  <c r="AC17" i="9"/>
  <c r="AC15" i="9"/>
  <c r="AC14" i="9"/>
  <c r="AC13" i="9"/>
  <c r="AC12" i="9"/>
  <c r="AC11" i="9"/>
  <c r="AC8" i="9"/>
  <c r="AC4" i="9"/>
  <c r="V24" i="9"/>
  <c r="V23" i="9"/>
  <c r="AA24" i="8" s="1"/>
  <c r="AB24" i="8" s="1"/>
  <c r="V22" i="9"/>
  <c r="V21" i="9"/>
  <c r="V20" i="9"/>
  <c r="AA21" i="8" s="1"/>
  <c r="AB21" i="8" s="1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O24" i="9"/>
  <c r="P25" i="8" s="1"/>
  <c r="Q25" i="8" s="1"/>
  <c r="O23" i="9"/>
  <c r="O22" i="9"/>
  <c r="P23" i="8" s="1"/>
  <c r="Q23" i="8" s="1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P6" i="8" s="1"/>
  <c r="Q6" i="8" s="1"/>
  <c r="O4" i="9"/>
  <c r="O3" i="9"/>
  <c r="I30" i="8"/>
  <c r="H30" i="8"/>
  <c r="H24" i="9"/>
  <c r="H23" i="9"/>
  <c r="H22" i="9"/>
  <c r="J23" i="8" s="1"/>
  <c r="K23" i="8" s="1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AF23" i="9"/>
  <c r="AF22" i="9"/>
  <c r="AF21" i="9"/>
  <c r="AF20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F3" i="9"/>
  <c r="AD23" i="9"/>
  <c r="AD22" i="9"/>
  <c r="AD21" i="9"/>
  <c r="AD20" i="9"/>
  <c r="AD19" i="9"/>
  <c r="AD18" i="9"/>
  <c r="AD17" i="9"/>
  <c r="AD16" i="9"/>
  <c r="AD14" i="9"/>
  <c r="AD13" i="9"/>
  <c r="AD12" i="9"/>
  <c r="AD11" i="9"/>
  <c r="AD10" i="9"/>
  <c r="AD9" i="9"/>
  <c r="AD8" i="9"/>
  <c r="AD7" i="9"/>
  <c r="AD6" i="9"/>
  <c r="AD5" i="9"/>
  <c r="AD4" i="9"/>
  <c r="AD3" i="9"/>
  <c r="Y27" i="9"/>
  <c r="W27" i="9"/>
  <c r="Y26" i="9"/>
  <c r="W26" i="9"/>
  <c r="Z23" i="9"/>
  <c r="Z22" i="9"/>
  <c r="Z21" i="9"/>
  <c r="Z20" i="9"/>
  <c r="Z18" i="9"/>
  <c r="Z17" i="9"/>
  <c r="Z16" i="9"/>
  <c r="Z15" i="9"/>
  <c r="Z14" i="9"/>
  <c r="Z13" i="9"/>
  <c r="Z12" i="9"/>
  <c r="Z11" i="9"/>
  <c r="Z8" i="9"/>
  <c r="Z7" i="9"/>
  <c r="Z6" i="9"/>
  <c r="Z4" i="9"/>
  <c r="Z3" i="9"/>
  <c r="D27" i="9"/>
  <c r="B27" i="9"/>
  <c r="D26" i="9"/>
  <c r="B26" i="9"/>
  <c r="E24" i="9"/>
  <c r="E23" i="9"/>
  <c r="E22" i="9"/>
  <c r="E21" i="9"/>
  <c r="E20" i="9"/>
  <c r="E19" i="9"/>
  <c r="E18" i="9"/>
  <c r="E17" i="9"/>
  <c r="E16" i="9"/>
  <c r="AE16" i="9" s="1"/>
  <c r="E15" i="9"/>
  <c r="E14" i="9"/>
  <c r="E13" i="9"/>
  <c r="E12" i="9"/>
  <c r="E11" i="9"/>
  <c r="E10" i="9"/>
  <c r="AE10" i="9" s="1"/>
  <c r="E9" i="9"/>
  <c r="E8" i="9"/>
  <c r="E7" i="9"/>
  <c r="E6" i="9"/>
  <c r="E5" i="9"/>
  <c r="E4" i="9"/>
  <c r="E3" i="9"/>
  <c r="K27" i="9"/>
  <c r="I27" i="9"/>
  <c r="K26" i="9"/>
  <c r="I26" i="9"/>
  <c r="L20" i="9"/>
  <c r="L24" i="9"/>
  <c r="L23" i="9"/>
  <c r="L22" i="9"/>
  <c r="L19" i="9"/>
  <c r="L18" i="9"/>
  <c r="L17" i="9"/>
  <c r="L15" i="9"/>
  <c r="AE15" i="9" s="1"/>
  <c r="L14" i="9"/>
  <c r="L12" i="9"/>
  <c r="L11" i="9"/>
  <c r="L9" i="9"/>
  <c r="AE9" i="9" s="1"/>
  <c r="L8" i="9"/>
  <c r="L7" i="9"/>
  <c r="L5" i="9"/>
  <c r="L4" i="9"/>
  <c r="L3" i="9"/>
  <c r="R27" i="9"/>
  <c r="P27" i="9"/>
  <c r="P26" i="9"/>
  <c r="S21" i="9"/>
  <c r="S23" i="9"/>
  <c r="AE23" i="9" s="1"/>
  <c r="S22" i="9"/>
  <c r="S20" i="9"/>
  <c r="S19" i="9"/>
  <c r="S18" i="9"/>
  <c r="S17" i="9"/>
  <c r="S13" i="9"/>
  <c r="AE13" i="9" s="1"/>
  <c r="S12" i="9"/>
  <c r="S11" i="9"/>
  <c r="S9" i="9"/>
  <c r="S8" i="9"/>
  <c r="S7" i="9"/>
  <c r="S5" i="9"/>
  <c r="S3" i="9"/>
  <c r="E24" i="7"/>
  <c r="H24" i="7" s="1"/>
  <c r="Y25" i="8" s="1"/>
  <c r="Z25" i="8" s="1"/>
  <c r="E23" i="7"/>
  <c r="E22" i="7"/>
  <c r="H22" i="7" s="1"/>
  <c r="E21" i="7"/>
  <c r="H21" i="7"/>
  <c r="E20" i="7"/>
  <c r="H20" i="7" s="1"/>
  <c r="Y21" i="8" s="1"/>
  <c r="Z21" i="8" s="1"/>
  <c r="E19" i="7"/>
  <c r="H19" i="7" s="1"/>
  <c r="E18" i="7"/>
  <c r="E17" i="7"/>
  <c r="H17" i="7" s="1"/>
  <c r="E16" i="7"/>
  <c r="H16" i="7" s="1"/>
  <c r="E15" i="7"/>
  <c r="H15" i="7" s="1"/>
  <c r="E14" i="7"/>
  <c r="H14" i="7" s="1"/>
  <c r="E13" i="7"/>
  <c r="H13" i="7" s="1"/>
  <c r="E12" i="7"/>
  <c r="H12" i="7" s="1"/>
  <c r="E11" i="7"/>
  <c r="E10" i="7"/>
  <c r="H10" i="7" s="1"/>
  <c r="E9" i="7"/>
  <c r="H9" i="7" s="1"/>
  <c r="E8" i="7"/>
  <c r="H8" i="7" s="1"/>
  <c r="E7" i="7"/>
  <c r="H7" i="7" s="1"/>
  <c r="E6" i="7"/>
  <c r="H6" i="7" s="1"/>
  <c r="E5" i="7"/>
  <c r="H5" i="7" s="1"/>
  <c r="Y6" i="8" s="1"/>
  <c r="Z6" i="8" s="1"/>
  <c r="E4" i="7"/>
  <c r="H4" i="7" s="1"/>
  <c r="Y5" i="8" s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U25" i="8"/>
  <c r="V25" i="8" s="1"/>
  <c r="U24" i="8"/>
  <c r="V24" i="8" s="1"/>
  <c r="U23" i="8"/>
  <c r="V23" i="8" s="1"/>
  <c r="U21" i="8"/>
  <c r="V21" i="8" s="1"/>
  <c r="U20" i="8"/>
  <c r="V20" i="8" s="1"/>
  <c r="U19" i="8"/>
  <c r="V19" i="8" s="1"/>
  <c r="U18" i="8"/>
  <c r="V18" i="8" s="1"/>
  <c r="U17" i="8"/>
  <c r="V17" i="8" s="1"/>
  <c r="U16" i="8"/>
  <c r="U15" i="8"/>
  <c r="V15" i="8" s="1"/>
  <c r="U14" i="8"/>
  <c r="V14" i="8" s="1"/>
  <c r="U13" i="8"/>
  <c r="V13" i="8" s="1"/>
  <c r="U12" i="8"/>
  <c r="V12" i="8" s="1"/>
  <c r="U11" i="8"/>
  <c r="U10" i="8"/>
  <c r="V10" i="8" s="1"/>
  <c r="U9" i="8"/>
  <c r="U8" i="8"/>
  <c r="V8" i="8" s="1"/>
  <c r="U7" i="8"/>
  <c r="V7" i="8" s="1"/>
  <c r="U6" i="8"/>
  <c r="U5" i="8"/>
  <c r="U4" i="8"/>
  <c r="V4" i="8" s="1"/>
  <c r="G25" i="8"/>
  <c r="G24" i="8"/>
  <c r="AD24" i="8" s="1"/>
  <c r="G23" i="8"/>
  <c r="G22" i="8"/>
  <c r="AG22" i="8" s="1"/>
  <c r="AH22" i="8" s="1"/>
  <c r="AD22" i="8"/>
  <c r="G21" i="8"/>
  <c r="AM21" i="8"/>
  <c r="G20" i="8"/>
  <c r="AD20" i="8" s="1"/>
  <c r="G19" i="8"/>
  <c r="G18" i="8"/>
  <c r="AA18" i="8" s="1"/>
  <c r="AB18" i="8" s="1"/>
  <c r="G17" i="8"/>
  <c r="G16" i="8"/>
  <c r="AD16" i="8" s="1"/>
  <c r="G15" i="8"/>
  <c r="AD15" i="8" s="1"/>
  <c r="G14" i="8"/>
  <c r="AD14" i="8" s="1"/>
  <c r="AM14" i="8"/>
  <c r="G13" i="8"/>
  <c r="G12" i="8"/>
  <c r="G11" i="8"/>
  <c r="AM11" i="8"/>
  <c r="G10" i="8"/>
  <c r="AJ10" i="8" s="1"/>
  <c r="G9" i="8"/>
  <c r="AD9" i="8" s="1"/>
  <c r="G8" i="8"/>
  <c r="AD8" i="8" s="1"/>
  <c r="AM8" i="8"/>
  <c r="G7" i="8"/>
  <c r="G6" i="8"/>
  <c r="AM6" i="8" s="1"/>
  <c r="G5" i="8"/>
  <c r="G4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B22" i="8"/>
  <c r="B26" i="8" s="1"/>
  <c r="V9" i="8"/>
  <c r="V5" i="8"/>
  <c r="H23" i="7"/>
  <c r="Y24" i="8" s="1"/>
  <c r="Z24" i="8" s="1"/>
  <c r="H18" i="7"/>
  <c r="Y19" i="8" s="1"/>
  <c r="Z19" i="8" s="1"/>
  <c r="H11" i="7"/>
  <c r="G24" i="1"/>
  <c r="AE25" i="8" s="1"/>
  <c r="AF25" i="8" s="1"/>
  <c r="G23" i="1"/>
  <c r="AE24" i="8" s="1"/>
  <c r="AF24" i="8" s="1"/>
  <c r="G22" i="1"/>
  <c r="G21" i="1"/>
  <c r="AE22" i="8" s="1"/>
  <c r="AF22" i="8" s="1"/>
  <c r="G20" i="1"/>
  <c r="G19" i="1"/>
  <c r="G18" i="1"/>
  <c r="G17" i="1"/>
  <c r="G16" i="1"/>
  <c r="AE17" i="8" s="1"/>
  <c r="AF17" i="8" s="1"/>
  <c r="G15" i="1"/>
  <c r="AE16" i="8" s="1"/>
  <c r="AF16" i="8" s="1"/>
  <c r="G14" i="1"/>
  <c r="G13" i="1"/>
  <c r="AE14" i="8" s="1"/>
  <c r="G12" i="1"/>
  <c r="G11" i="1"/>
  <c r="G10" i="1"/>
  <c r="G9" i="1"/>
  <c r="G8" i="1"/>
  <c r="AE9" i="8" s="1"/>
  <c r="AF9" i="8" s="1"/>
  <c r="G7" i="1"/>
  <c r="AE8" i="8" s="1"/>
  <c r="AF8" i="8" s="1"/>
  <c r="G6" i="1"/>
  <c r="G5" i="1"/>
  <c r="G4" i="1"/>
  <c r="G3" i="1"/>
  <c r="E3" i="7"/>
  <c r="H3" i="7" s="1"/>
  <c r="Y4" i="8" s="1"/>
  <c r="M7" i="7"/>
  <c r="N5" i="7"/>
  <c r="O5" i="7" s="1"/>
  <c r="R5" i="7" s="1"/>
  <c r="N17" i="8" s="1"/>
  <c r="O17" i="8" s="1"/>
  <c r="N4" i="7"/>
  <c r="O4" i="7" s="1"/>
  <c r="R4" i="7" s="1"/>
  <c r="N14" i="8" s="1"/>
  <c r="N3" i="7"/>
  <c r="O3" i="7" s="1"/>
  <c r="R3" i="7" s="1"/>
  <c r="N7" i="8" s="1"/>
  <c r="O7" i="8" s="1"/>
  <c r="Q4" i="7"/>
  <c r="Q5" i="7"/>
  <c r="Q3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D26" i="7"/>
  <c r="D25" i="5"/>
  <c r="H12" i="5"/>
  <c r="H21" i="5"/>
  <c r="F24" i="5"/>
  <c r="E24" i="5"/>
  <c r="F23" i="5"/>
  <c r="E23" i="5"/>
  <c r="F21" i="5"/>
  <c r="E21" i="5"/>
  <c r="F13" i="5"/>
  <c r="I13" i="5" s="1"/>
  <c r="H14" i="8" s="1"/>
  <c r="I14" i="8" s="1"/>
  <c r="E13" i="5"/>
  <c r="F12" i="5"/>
  <c r="E12" i="5"/>
  <c r="F11" i="5"/>
  <c r="E11" i="5"/>
  <c r="F7" i="5"/>
  <c r="E7" i="5"/>
  <c r="E6" i="5"/>
  <c r="I6" i="5" s="1"/>
  <c r="H7" i="8" s="1"/>
  <c r="I7" i="8" s="1"/>
  <c r="F6" i="5"/>
  <c r="H23" i="5"/>
  <c r="H7" i="5"/>
  <c r="H13" i="5"/>
  <c r="H10" i="4"/>
  <c r="H17" i="4"/>
  <c r="H4" i="4"/>
  <c r="H18" i="4"/>
  <c r="H5" i="4"/>
  <c r="H9" i="4"/>
  <c r="H24" i="4"/>
  <c r="H14" i="4"/>
  <c r="H22" i="4"/>
  <c r="H23" i="4"/>
  <c r="H8" i="4"/>
  <c r="H19" i="4"/>
  <c r="H12" i="4"/>
  <c r="H21" i="4"/>
  <c r="H3" i="4"/>
  <c r="H7" i="4"/>
  <c r="H15" i="4"/>
  <c r="H13" i="4"/>
  <c r="D26" i="4"/>
  <c r="E20" i="4"/>
  <c r="E11" i="4"/>
  <c r="E16" i="4"/>
  <c r="E6" i="4"/>
  <c r="E10" i="4"/>
  <c r="E17" i="4"/>
  <c r="E4" i="4"/>
  <c r="E18" i="4"/>
  <c r="E5" i="4"/>
  <c r="E9" i="4"/>
  <c r="E24" i="4"/>
  <c r="E14" i="4"/>
  <c r="E22" i="4"/>
  <c r="E23" i="4"/>
  <c r="E8" i="4"/>
  <c r="E19" i="4"/>
  <c r="E12" i="4"/>
  <c r="E21" i="4"/>
  <c r="E3" i="4"/>
  <c r="E7" i="4"/>
  <c r="E15" i="4"/>
  <c r="I15" i="4" s="1"/>
  <c r="W16" i="8" s="1"/>
  <c r="X16" i="8" s="1"/>
  <c r="E13" i="4"/>
  <c r="F14" i="4"/>
  <c r="F10" i="4"/>
  <c r="F17" i="4"/>
  <c r="F4" i="4"/>
  <c r="F18" i="4"/>
  <c r="I18" i="4" s="1"/>
  <c r="F5" i="4"/>
  <c r="F9" i="4"/>
  <c r="I9" i="4" s="1"/>
  <c r="W10" i="8" s="1"/>
  <c r="X10" i="8" s="1"/>
  <c r="F24" i="4"/>
  <c r="F20" i="4"/>
  <c r="F22" i="4"/>
  <c r="F23" i="4"/>
  <c r="F8" i="4"/>
  <c r="F19" i="4"/>
  <c r="I19" i="4" s="1"/>
  <c r="F12" i="4"/>
  <c r="F21" i="4"/>
  <c r="F11" i="4"/>
  <c r="F7" i="4"/>
  <c r="F15" i="4"/>
  <c r="F13" i="4"/>
  <c r="F16" i="4"/>
  <c r="F6" i="4"/>
  <c r="F3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F31" i="1"/>
  <c r="O26" i="1"/>
  <c r="N26" i="1"/>
  <c r="M10" i="1"/>
  <c r="M17" i="1"/>
  <c r="M4" i="1"/>
  <c r="M18" i="1"/>
  <c r="M5" i="1"/>
  <c r="M9" i="1"/>
  <c r="M24" i="1"/>
  <c r="M14" i="1"/>
  <c r="M20" i="1"/>
  <c r="M22" i="1"/>
  <c r="M23" i="1"/>
  <c r="M8" i="1"/>
  <c r="M19" i="1"/>
  <c r="M12" i="1"/>
  <c r="M21" i="1"/>
  <c r="M11" i="1"/>
  <c r="M3" i="1"/>
  <c r="M7" i="1"/>
  <c r="M15" i="1"/>
  <c r="M13" i="1"/>
  <c r="M16" i="1"/>
  <c r="M6" i="1"/>
  <c r="I26" i="1"/>
  <c r="O27" i="1" s="1"/>
  <c r="C26" i="1"/>
  <c r="L6" i="1"/>
  <c r="L16" i="1"/>
  <c r="L13" i="1"/>
  <c r="L15" i="1"/>
  <c r="L7" i="1"/>
  <c r="L3" i="1"/>
  <c r="L11" i="1"/>
  <c r="L21" i="1"/>
  <c r="L12" i="1"/>
  <c r="L19" i="1"/>
  <c r="L8" i="1"/>
  <c r="L23" i="1"/>
  <c r="L22" i="1"/>
  <c r="L20" i="1"/>
  <c r="L14" i="1"/>
  <c r="L24" i="1"/>
  <c r="L9" i="1"/>
  <c r="L5" i="1"/>
  <c r="L18" i="1"/>
  <c r="L4" i="1"/>
  <c r="L17" i="1"/>
  <c r="L10" i="1"/>
  <c r="F6" i="1"/>
  <c r="F16" i="1"/>
  <c r="F13" i="1"/>
  <c r="F15" i="1"/>
  <c r="F7" i="1"/>
  <c r="F3" i="1"/>
  <c r="F11" i="1"/>
  <c r="F21" i="1"/>
  <c r="F12" i="1"/>
  <c r="F19" i="1"/>
  <c r="F8" i="1"/>
  <c r="F23" i="1"/>
  <c r="F22" i="1"/>
  <c r="F20" i="1"/>
  <c r="F14" i="1"/>
  <c r="F24" i="1"/>
  <c r="F9" i="1"/>
  <c r="F5" i="1"/>
  <c r="F18" i="1"/>
  <c r="F4" i="1"/>
  <c r="F17" i="1"/>
  <c r="F1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E6" i="9"/>
  <c r="AJ20" i="8"/>
  <c r="AJ16" i="8"/>
  <c r="AJ8" i="8"/>
  <c r="AJ23" i="8"/>
  <c r="AJ19" i="8"/>
  <c r="AJ11" i="8"/>
  <c r="AA19" i="8"/>
  <c r="AB19" i="8" s="1"/>
  <c r="R30" i="8"/>
  <c r="AJ22" i="8"/>
  <c r="AJ7" i="8"/>
  <c r="AG5" i="8"/>
  <c r="V6" i="8"/>
  <c r="AJ15" i="8"/>
  <c r="I27" i="1"/>
  <c r="L27" i="1" s="1"/>
  <c r="AA23" i="8"/>
  <c r="AB23" i="8" s="1"/>
  <c r="P8" i="8"/>
  <c r="Q8" i="8" s="1"/>
  <c r="AJ24" i="8"/>
  <c r="C27" i="1"/>
  <c r="F27" i="1" s="1"/>
  <c r="N27" i="1"/>
  <c r="M26" i="1"/>
  <c r="P24" i="8"/>
  <c r="Q24" i="8" s="1"/>
  <c r="V11" i="8"/>
  <c r="AJ14" i="8"/>
  <c r="J14" i="8"/>
  <c r="K14" i="8" s="1"/>
  <c r="AG14" i="8"/>
  <c r="AG27" i="8" s="1"/>
  <c r="AA14" i="8"/>
  <c r="AA27" i="8" s="1"/>
  <c r="I4" i="4"/>
  <c r="W5" i="8" s="1"/>
  <c r="AG12" i="8"/>
  <c r="AH12" i="8" s="1"/>
  <c r="P20" i="8"/>
  <c r="Q20" i="8" s="1"/>
  <c r="AJ21" i="8"/>
  <c r="AJ25" i="8"/>
  <c r="P21" i="8"/>
  <c r="Q21" i="8" s="1"/>
  <c r="Y17" i="8"/>
  <c r="Z17" i="8" s="1"/>
  <c r="AM17" i="8"/>
  <c r="AJ17" i="8"/>
  <c r="AJ9" i="8"/>
  <c r="AM22" i="8"/>
  <c r="AG8" i="8"/>
  <c r="AM23" i="8"/>
  <c r="J21" i="8"/>
  <c r="K21" i="8" s="1"/>
  <c r="AM9" i="8"/>
  <c r="AE5" i="9"/>
  <c r="AE17" i="9"/>
  <c r="AD11" i="8"/>
  <c r="AD18" i="8"/>
  <c r="AM24" i="8"/>
  <c r="R29" i="8"/>
  <c r="U29" i="8" l="1"/>
  <c r="L26" i="9"/>
  <c r="Z27" i="9"/>
  <c r="I23" i="4"/>
  <c r="W24" i="8" s="1"/>
  <c r="X24" i="8" s="1"/>
  <c r="Y13" i="8"/>
  <c r="Z13" i="8" s="1"/>
  <c r="AD27" i="9"/>
  <c r="J11" i="8"/>
  <c r="K11" i="8" s="1"/>
  <c r="P11" i="8"/>
  <c r="Q11" i="8" s="1"/>
  <c r="AG15" i="8"/>
  <c r="AH15" i="8" s="1"/>
  <c r="AG24" i="8"/>
  <c r="AH24" i="8" s="1"/>
  <c r="AE4" i="8"/>
  <c r="AF4" i="8" s="1"/>
  <c r="AE12" i="8"/>
  <c r="AF12" i="8" s="1"/>
  <c r="AE20" i="8"/>
  <c r="AF20" i="8" s="1"/>
  <c r="AE7" i="9"/>
  <c r="P15" i="8"/>
  <c r="Q15" i="8" s="1"/>
  <c r="F26" i="1"/>
  <c r="F29" i="1" s="1"/>
  <c r="I13" i="4"/>
  <c r="W14" i="8" s="1"/>
  <c r="X14" i="8" s="1"/>
  <c r="X27" i="8" s="1"/>
  <c r="I17" i="4"/>
  <c r="W18" i="8" s="1"/>
  <c r="X18" i="8" s="1"/>
  <c r="E26" i="9"/>
  <c r="E3453" i="11"/>
  <c r="AD26" i="9"/>
  <c r="I7" i="4"/>
  <c r="W8" i="8" s="1"/>
  <c r="X8" i="8" s="1"/>
  <c r="I14" i="4"/>
  <c r="AE5" i="8"/>
  <c r="AF5" i="8" s="1"/>
  <c r="AE21" i="8"/>
  <c r="AF21" i="8" s="1"/>
  <c r="E26" i="8"/>
  <c r="AF26" i="9"/>
  <c r="J15" i="8"/>
  <c r="K15" i="8" s="1"/>
  <c r="AA9" i="8"/>
  <c r="AB9" i="8" s="1"/>
  <c r="L27" i="11"/>
  <c r="U30" i="8"/>
  <c r="P9" i="8"/>
  <c r="Q9" i="8" s="1"/>
  <c r="I3" i="4"/>
  <c r="W4" i="8" s="1"/>
  <c r="J17" i="8"/>
  <c r="J9" i="8"/>
  <c r="K9" i="8" s="1"/>
  <c r="E3452" i="11"/>
  <c r="J24" i="8"/>
  <c r="K24" i="8" s="1"/>
  <c r="AE10" i="8"/>
  <c r="AF10" i="8" s="1"/>
  <c r="AE18" i="8"/>
  <c r="AF18" i="8" s="1"/>
  <c r="Y22" i="8"/>
  <c r="Z22" i="8" s="1"/>
  <c r="J7" i="8"/>
  <c r="K7" i="8" s="1"/>
  <c r="E26" i="11"/>
  <c r="I5" i="4"/>
  <c r="W6" i="8" s="1"/>
  <c r="X6" i="8" s="1"/>
  <c r="M29" i="1"/>
  <c r="AE22" i="9"/>
  <c r="AG27" i="11"/>
  <c r="P16" i="8"/>
  <c r="Q16" i="8" s="1"/>
  <c r="I7" i="5"/>
  <c r="H8" i="8" s="1"/>
  <c r="H28" i="8" s="1"/>
  <c r="I12" i="5"/>
  <c r="Y7" i="8"/>
  <c r="Z7" i="8" s="1"/>
  <c r="Z26" i="11"/>
  <c r="Z27" i="11"/>
  <c r="J22" i="8"/>
  <c r="K22" i="8" s="1"/>
  <c r="E27" i="9"/>
  <c r="N7" i="7"/>
  <c r="I8" i="4"/>
  <c r="W9" i="8" s="1"/>
  <c r="E25" i="5"/>
  <c r="AE19" i="9"/>
  <c r="AE21" i="9"/>
  <c r="AG26" i="11"/>
  <c r="E27" i="11"/>
  <c r="AA22" i="8"/>
  <c r="AB22" i="8" s="1"/>
  <c r="J16" i="8"/>
  <c r="K16" i="8" s="1"/>
  <c r="J20" i="8"/>
  <c r="K20" i="8" s="1"/>
  <c r="AE7" i="8"/>
  <c r="AF7" i="8" s="1"/>
  <c r="Y20" i="8"/>
  <c r="Z20" i="8" s="1"/>
  <c r="V16" i="8"/>
  <c r="V29" i="8" s="1"/>
  <c r="AG23" i="8"/>
  <c r="AH23" i="8" s="1"/>
  <c r="W19" i="8"/>
  <c r="X19" i="8" s="1"/>
  <c r="W15" i="8"/>
  <c r="X15" i="8" s="1"/>
  <c r="AE11" i="8"/>
  <c r="AF11" i="8" s="1"/>
  <c r="AE15" i="8"/>
  <c r="AE23" i="8"/>
  <c r="AF23" i="8" s="1"/>
  <c r="U22" i="8"/>
  <c r="AB14" i="8"/>
  <c r="AB27" i="8" s="1"/>
  <c r="H13" i="8"/>
  <c r="I27" i="8"/>
  <c r="I24" i="4"/>
  <c r="W25" i="8" s="1"/>
  <c r="X25" i="8" s="1"/>
  <c r="AG16" i="8"/>
  <c r="AH16" i="8" s="1"/>
  <c r="I21" i="5"/>
  <c r="H22" i="8" s="1"/>
  <c r="I22" i="8" s="1"/>
  <c r="G26" i="8"/>
  <c r="AE8" i="9"/>
  <c r="AE20" i="9"/>
  <c r="AZ23" i="11"/>
  <c r="AZ19" i="11"/>
  <c r="AE14" i="9"/>
  <c r="AE26" i="9" s="1"/>
  <c r="Z26" i="9"/>
  <c r="AZ22" i="11"/>
  <c r="AZ24" i="11"/>
  <c r="V30" i="8"/>
  <c r="AE4" i="9"/>
  <c r="L26" i="11"/>
  <c r="L27" i="8"/>
  <c r="L30" i="8"/>
  <c r="L28" i="8"/>
  <c r="AD7" i="8"/>
  <c r="I13" i="8"/>
  <c r="AG28" i="8"/>
  <c r="I10" i="4"/>
  <c r="W11" i="8" s="1"/>
  <c r="X11" i="8" s="1"/>
  <c r="Y8" i="8"/>
  <c r="Z8" i="8" s="1"/>
  <c r="Y16" i="8"/>
  <c r="Z16" i="8" s="1"/>
  <c r="Y23" i="8"/>
  <c r="Z23" i="8" s="1"/>
  <c r="AE11" i="9"/>
  <c r="J8" i="8"/>
  <c r="K8" i="8" s="1"/>
  <c r="AZ13" i="11"/>
  <c r="AZ7" i="11"/>
  <c r="AU26" i="11"/>
  <c r="F25" i="5"/>
  <c r="Y9" i="8"/>
  <c r="Z9" i="8" s="1"/>
  <c r="AE12" i="9"/>
  <c r="AE18" i="9"/>
  <c r="AF27" i="9"/>
  <c r="AG9" i="8"/>
  <c r="AH9" i="8" s="1"/>
  <c r="AG21" i="8"/>
  <c r="AH21" i="8" s="1"/>
  <c r="AD17" i="8"/>
  <c r="AZ3" i="11"/>
  <c r="AZ21" i="11"/>
  <c r="F26" i="4"/>
  <c r="E26" i="4"/>
  <c r="F26" i="8"/>
  <c r="AM15" i="8"/>
  <c r="AE19" i="8"/>
  <c r="AF19" i="8" s="1"/>
  <c r="Y14" i="8"/>
  <c r="Z14" i="8" s="1"/>
  <c r="Z27" i="8" s="1"/>
  <c r="Y18" i="8"/>
  <c r="Z18" i="8" s="1"/>
  <c r="AE3" i="9"/>
  <c r="J6" i="8"/>
  <c r="K6" i="8" s="1"/>
  <c r="AA8" i="8"/>
  <c r="AB8" i="8" s="1"/>
  <c r="AA12" i="8"/>
  <c r="AB12" i="8" s="1"/>
  <c r="AA20" i="8"/>
  <c r="AB20" i="8" s="1"/>
  <c r="AD21" i="8"/>
  <c r="AZ15" i="11"/>
  <c r="AZ5" i="11"/>
  <c r="L26" i="1"/>
  <c r="I23" i="5"/>
  <c r="H24" i="8" s="1"/>
  <c r="I24" i="8" s="1"/>
  <c r="V27" i="8"/>
  <c r="Y11" i="8"/>
  <c r="Z11" i="8" s="1"/>
  <c r="Y15" i="8"/>
  <c r="Z15" i="8" s="1"/>
  <c r="AZ18" i="11"/>
  <c r="AZ14" i="11"/>
  <c r="AZ9" i="11"/>
  <c r="AZ12" i="11"/>
  <c r="AU27" i="11"/>
  <c r="AZ20" i="11"/>
  <c r="AN27" i="11"/>
  <c r="AZ17" i="11"/>
  <c r="AZ10" i="11"/>
  <c r="R28" i="8"/>
  <c r="R31" i="8" s="1"/>
  <c r="S27" i="11"/>
  <c r="AZ8" i="11"/>
  <c r="AZ6" i="11"/>
  <c r="AZ16" i="11"/>
  <c r="S26" i="11"/>
  <c r="AZ11" i="11"/>
  <c r="X9" i="8"/>
  <c r="N27" i="8"/>
  <c r="O14" i="8"/>
  <c r="O27" i="8" s="1"/>
  <c r="AJ27" i="8"/>
  <c r="AH5" i="8"/>
  <c r="J13" i="8"/>
  <c r="L29" i="8"/>
  <c r="L27" i="9"/>
  <c r="P13" i="8"/>
  <c r="X4" i="8"/>
  <c r="X5" i="8"/>
  <c r="Z5" i="8"/>
  <c r="L29" i="1"/>
  <c r="W20" i="8"/>
  <c r="X20" i="8" s="1"/>
  <c r="E26" i="7"/>
  <c r="AE6" i="8"/>
  <c r="G27" i="1"/>
  <c r="J5" i="8"/>
  <c r="K5" i="8" s="1"/>
  <c r="P5" i="8"/>
  <c r="Q5" i="8" s="1"/>
  <c r="K17" i="8"/>
  <c r="K27" i="8" s="1"/>
  <c r="J27" i="8"/>
  <c r="D26" i="8"/>
  <c r="S26" i="9"/>
  <c r="S27" i="9"/>
  <c r="Z4" i="8"/>
  <c r="J4" i="8"/>
  <c r="P4" i="8"/>
  <c r="AA4" i="8"/>
  <c r="AG13" i="8"/>
  <c r="U27" i="8"/>
  <c r="W27" i="8"/>
  <c r="I8" i="8"/>
  <c r="I28" i="8" s="1"/>
  <c r="AH14" i="8"/>
  <c r="AH27" i="8" s="1"/>
  <c r="AE13" i="8"/>
  <c r="AF13" i="8" s="1"/>
  <c r="AF29" i="8" s="1"/>
  <c r="AJ18" i="8"/>
  <c r="J18" i="8"/>
  <c r="K18" i="8" s="1"/>
  <c r="P18" i="8"/>
  <c r="Q18" i="8" s="1"/>
  <c r="AG18" i="8"/>
  <c r="AH18" i="8" s="1"/>
  <c r="AD10" i="8"/>
  <c r="AA10" i="8"/>
  <c r="P10" i="8"/>
  <c r="Q10" i="8" s="1"/>
  <c r="Y10" i="8"/>
  <c r="Z10" i="8" s="1"/>
  <c r="J10" i="8"/>
  <c r="K10" i="8" s="1"/>
  <c r="H27" i="8"/>
  <c r="AE29" i="8"/>
  <c r="AH8" i="8"/>
  <c r="AH28" i="8" s="1"/>
  <c r="I12" i="4"/>
  <c r="W13" i="8" s="1"/>
  <c r="X13" i="8" s="1"/>
  <c r="O7" i="7"/>
  <c r="AF14" i="8"/>
  <c r="AF27" i="8" s="1"/>
  <c r="AE27" i="8"/>
  <c r="AM10" i="8"/>
  <c r="AD12" i="8"/>
  <c r="AJ12" i="8"/>
  <c r="AM12" i="8"/>
  <c r="P12" i="8"/>
  <c r="Q12" i="8" s="1"/>
  <c r="J12" i="8"/>
  <c r="K12" i="8" s="1"/>
  <c r="P19" i="8"/>
  <c r="Q19" i="8" s="1"/>
  <c r="AG19" i="8"/>
  <c r="AH19" i="8" s="1"/>
  <c r="AD19" i="8"/>
  <c r="J19" i="8"/>
  <c r="K19" i="8" s="1"/>
  <c r="I22" i="4"/>
  <c r="W23" i="8" s="1"/>
  <c r="X23" i="8" s="1"/>
  <c r="Y12" i="8"/>
  <c r="Z12" i="8" s="1"/>
  <c r="AM25" i="8"/>
  <c r="AD25" i="8"/>
  <c r="J25" i="8"/>
  <c r="K25" i="8" s="1"/>
  <c r="I21" i="4"/>
  <c r="W22" i="8" s="1"/>
  <c r="X22" i="8" s="1"/>
  <c r="AD6" i="8"/>
  <c r="AJ6" i="8"/>
  <c r="AZ4" i="11"/>
  <c r="AD23" i="8"/>
  <c r="AN26" i="11"/>
  <c r="AM20" i="8"/>
  <c r="AM16" i="8"/>
  <c r="AB29" i="8" l="1"/>
  <c r="Y29" i="8"/>
  <c r="AA29" i="8"/>
  <c r="AE27" i="9"/>
  <c r="Y27" i="8"/>
  <c r="W30" i="8"/>
  <c r="Z29" i="8"/>
  <c r="U28" i="8"/>
  <c r="V22" i="8"/>
  <c r="V28" i="8" s="1"/>
  <c r="X30" i="8"/>
  <c r="AF15" i="8"/>
  <c r="AF28" i="8" s="1"/>
  <c r="AE28" i="8"/>
  <c r="L31" i="8"/>
  <c r="AC27" i="8"/>
  <c r="AL27" i="8"/>
  <c r="AM7" i="8"/>
  <c r="AM27" i="8" s="1"/>
  <c r="H29" i="8"/>
  <c r="AD27" i="8"/>
  <c r="I29" i="8"/>
  <c r="AZ26" i="11"/>
  <c r="Q30" i="8"/>
  <c r="AG29" i="8"/>
  <c r="AH13" i="8"/>
  <c r="AH29" i="8" s="1"/>
  <c r="AJ4" i="8"/>
  <c r="AJ28" i="8" s="1"/>
  <c r="K4" i="8"/>
  <c r="K28" i="8" s="1"/>
  <c r="J28" i="8"/>
  <c r="Y30" i="8"/>
  <c r="X28" i="8"/>
  <c r="J30" i="8"/>
  <c r="K13" i="8"/>
  <c r="K29" i="8" s="1"/>
  <c r="J29" i="8"/>
  <c r="AB10" i="8"/>
  <c r="AB30" i="8" s="1"/>
  <c r="AA30" i="8"/>
  <c r="K30" i="8"/>
  <c r="AJ13" i="8"/>
  <c r="AJ29" i="8" s="1"/>
  <c r="P30" i="8"/>
  <c r="Q4" i="8"/>
  <c r="Q28" i="8" s="1"/>
  <c r="P28" i="8"/>
  <c r="Y28" i="8"/>
  <c r="AJ5" i="8"/>
  <c r="AJ30" i="8" s="1"/>
  <c r="AI30" i="8"/>
  <c r="AI31" i="8" s="1"/>
  <c r="AD5" i="8"/>
  <c r="AD30" i="8" s="1"/>
  <c r="AC30" i="8"/>
  <c r="W28" i="8"/>
  <c r="W29" i="8"/>
  <c r="AZ27" i="11"/>
  <c r="AM4" i="8"/>
  <c r="AM28" i="8" s="1"/>
  <c r="AL28" i="8"/>
  <c r="Z28" i="8"/>
  <c r="P29" i="8"/>
  <c r="Q13" i="8"/>
  <c r="Q29" i="8" s="1"/>
  <c r="AC29" i="8"/>
  <c r="AD13" i="8"/>
  <c r="AD29" i="8" s="1"/>
  <c r="AH30" i="8"/>
  <c r="X29" i="8"/>
  <c r="AB4" i="8"/>
  <c r="AB28" i="8" s="1"/>
  <c r="AB31" i="8" s="1"/>
  <c r="AA28" i="8"/>
  <c r="AD4" i="8"/>
  <c r="AD28" i="8" s="1"/>
  <c r="AC28" i="8"/>
  <c r="AL30" i="8"/>
  <c r="AM5" i="8"/>
  <c r="AM30" i="8" s="1"/>
  <c r="AE30" i="8"/>
  <c r="AF6" i="8"/>
  <c r="AF30" i="8" s="1"/>
  <c r="Z30" i="8"/>
  <c r="AM13" i="8"/>
  <c r="AM29" i="8" s="1"/>
  <c r="AL29" i="8"/>
  <c r="AG30" i="8"/>
  <c r="K31" i="8" l="1"/>
  <c r="AH31" i="8"/>
  <c r="J31" i="8"/>
  <c r="AA31" i="8"/>
  <c r="AC31" i="8"/>
  <c r="AD31" i="8"/>
  <c r="AJ31" i="8"/>
  <c r="Q31" i="8"/>
  <c r="AL31" i="8"/>
  <c r="AM31" i="8"/>
  <c r="AG31" i="8"/>
  <c r="P31" i="8"/>
  <c r="BA27" i="11"/>
</calcChain>
</file>

<file path=xl/comments1.xml><?xml version="1.0" encoding="utf-8"?>
<comments xmlns="http://schemas.openxmlformats.org/spreadsheetml/2006/main">
  <authors>
    <author>iiitb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iiitb:</t>
        </r>
        <r>
          <rPr>
            <sz val="9"/>
            <color indexed="81"/>
            <rFont val="Tahoma"/>
            <family val="2"/>
          </rPr>
          <t xml:space="preserve">
Annexure 1 Pg 122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iiitb:</t>
        </r>
        <r>
          <rPr>
            <sz val="9"/>
            <color indexed="81"/>
            <rFont val="Tahoma"/>
            <family val="2"/>
          </rPr>
          <t xml:space="preserve">
Annexure 1 Pg 122</t>
        </r>
      </text>
    </comment>
    <comment ref="AD3" authorId="0" shapeId="0">
      <text>
        <r>
          <rPr>
            <b/>
            <sz val="9"/>
            <color indexed="81"/>
            <rFont val="Tahoma"/>
            <family val="2"/>
          </rPr>
          <t>iiitb:</t>
        </r>
        <r>
          <rPr>
            <sz val="9"/>
            <color indexed="81"/>
            <rFont val="Tahoma"/>
            <family val="2"/>
          </rPr>
          <t xml:space="preserve">
Annexure 1 Pg 122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iiitb:</t>
        </r>
        <r>
          <rPr>
            <sz val="9"/>
            <color indexed="81"/>
            <rFont val="Tahoma"/>
            <family val="2"/>
          </rPr>
          <t xml:space="preserve">
Annexure 1 Pg 122</t>
        </r>
      </text>
    </comment>
  </commentList>
</comments>
</file>

<file path=xl/sharedStrings.xml><?xml version="1.0" encoding="utf-8"?>
<sst xmlns="http://schemas.openxmlformats.org/spreadsheetml/2006/main" count="668" uniqueCount="204">
  <si>
    <t>Delhi</t>
  </si>
  <si>
    <t>Mumbai</t>
  </si>
  <si>
    <t>Kolkata</t>
  </si>
  <si>
    <t>Maharashtra</t>
  </si>
  <si>
    <t>Gujarat</t>
  </si>
  <si>
    <t>Andhra Pradesh</t>
  </si>
  <si>
    <t>Karnataka</t>
  </si>
  <si>
    <t>Tamil Nadu</t>
  </si>
  <si>
    <t>Kerala</t>
  </si>
  <si>
    <t>Punjab</t>
  </si>
  <si>
    <t>Haryana</t>
  </si>
  <si>
    <t>Uttar Pradesh (W)</t>
  </si>
  <si>
    <t>Uttar Pradesh (E)</t>
  </si>
  <si>
    <t>Rajasthan</t>
  </si>
  <si>
    <t>Madya Pradesh</t>
  </si>
  <si>
    <t>Himachal Pradesh</t>
  </si>
  <si>
    <t>Bihar</t>
  </si>
  <si>
    <t>Orissa</t>
  </si>
  <si>
    <t>Assam</t>
  </si>
  <si>
    <t>North East</t>
  </si>
  <si>
    <t>Jammu &amp; Kashmir</t>
  </si>
  <si>
    <t>S.No.</t>
  </si>
  <si>
    <t>LSA</t>
  </si>
  <si>
    <t>No. of Winners</t>
  </si>
  <si>
    <t>3G</t>
  </si>
  <si>
    <t>BWA</t>
  </si>
  <si>
    <t>Total</t>
  </si>
  <si>
    <t>Grand Total</t>
  </si>
  <si>
    <t>BSNL/ MTNL To Pay</t>
  </si>
  <si>
    <t>BWA % of 3G Bid</t>
  </si>
  <si>
    <t>Reserve Prices</t>
  </si>
  <si>
    <t>Winners</t>
  </si>
  <si>
    <t>Infotel, Qualcomm</t>
  </si>
  <si>
    <t>Bharti, Infotel</t>
  </si>
  <si>
    <t>Infotel, Tikona</t>
  </si>
  <si>
    <t>Aircel, Infotel</t>
  </si>
  <si>
    <t>Infotel, Augere</t>
  </si>
  <si>
    <t>West Bengal</t>
  </si>
  <si>
    <t>Vodafone, Bharti, Reliance</t>
  </si>
  <si>
    <t>Vodafone, Aircel, Reliance</t>
  </si>
  <si>
    <t>Tata Tele, Idea, Vodafone</t>
  </si>
  <si>
    <t>Bharti, Idea, Aircel</t>
  </si>
  <si>
    <t>Tata Tele, Aircel, Bharti</t>
  </si>
  <si>
    <t>Bharti, Vodafone, Aircel</t>
  </si>
  <si>
    <t>Idea, Tata Tele, Aircel</t>
  </si>
  <si>
    <t>Idea, Reliance, Tata Tele, Aircel</t>
  </si>
  <si>
    <t>Bharti, Idea, Tata Tele</t>
  </si>
  <si>
    <t>Aircel, Idea, Vodafone</t>
  </si>
  <si>
    <t>Reliance, Bharti, Tata Tele</t>
  </si>
  <si>
    <t>Idea, Reliance, Tata Tele</t>
  </si>
  <si>
    <t>Bharti, Reliance, Vodafone, Aircel</t>
  </si>
  <si>
    <t>Bharti, S Tel, Idea, Reliance</t>
  </si>
  <si>
    <t>S Tel, Bharti, Reliance, Aircel</t>
  </si>
  <si>
    <t>S Tel, Aircel, Reliance</t>
  </si>
  <si>
    <t>Reliance, Bharti, Aircel</t>
  </si>
  <si>
    <t>Aircel, Bharti, Reliance</t>
  </si>
  <si>
    <t>Idea, Aircel, Reliance, Bharti</t>
  </si>
  <si>
    <t>Total Bid Amount(Rs. Crore)</t>
  </si>
  <si>
    <t>Bid Amount (Rs. Crore)</t>
  </si>
  <si>
    <t>Bid Amount(Rs. Crore)</t>
  </si>
  <si>
    <t>No. of Operators</t>
  </si>
  <si>
    <t>Average HHI</t>
  </si>
  <si>
    <t>3G+BWA</t>
  </si>
  <si>
    <t>Operator</t>
  </si>
  <si>
    <t>1800 MHz</t>
  </si>
  <si>
    <t>Winning Price (in Rs. Crores) per block of 1.25 MHz</t>
  </si>
  <si>
    <t>Telewings (4)</t>
  </si>
  <si>
    <t>Winners (No. of blocks won)</t>
  </si>
  <si>
    <t>Total No. of blocks assigned</t>
  </si>
  <si>
    <t>Bharti Airtel (1); Idea (4); Vodafone (2)</t>
  </si>
  <si>
    <t>Idea (1); Vodafone (2); Videocon (4); Telewings (4)</t>
  </si>
  <si>
    <t>Telewings (4); Videocon (4)</t>
  </si>
  <si>
    <t>Videocon(4); Vodafone(2)</t>
  </si>
  <si>
    <t>Vodafone(1)</t>
  </si>
  <si>
    <t>Vodafone(2); Idea (4)</t>
  </si>
  <si>
    <t>Idea (4)</t>
  </si>
  <si>
    <t>Telewings (4); Vodafone(1)</t>
  </si>
  <si>
    <t>Idea (4); Vodafone(2)</t>
  </si>
  <si>
    <t>Vodafone(1); Telewings (4); Videocon (4)</t>
  </si>
  <si>
    <t>Videocon(4); Telewings (4)</t>
  </si>
  <si>
    <t>Total Spectrum Assigned (pair of MHz)</t>
  </si>
  <si>
    <t>Reserve Price (in Rs. Cr)</t>
  </si>
  <si>
    <t>% Deviation from Reserve Price</t>
  </si>
  <si>
    <t>800 MHz</t>
  </si>
  <si>
    <t>Sistema (3)</t>
  </si>
  <si>
    <t>Uttar Pradesh ( E)</t>
  </si>
  <si>
    <t>Winning Price (in Rs. Crores) per block of 200 KHz</t>
  </si>
  <si>
    <t>Reserve Price per block of 200 KHz (in Rs. Cr)</t>
  </si>
  <si>
    <t>900 MHz</t>
  </si>
  <si>
    <t>Winning Price (in Rs. Crores) per block of 1 MHz</t>
  </si>
  <si>
    <t>Reserve Price per block of 1 MHz (in Rs. Cr)</t>
  </si>
  <si>
    <t>% Increase from Reserve Price</t>
  </si>
  <si>
    <t>Winners (MHz)</t>
  </si>
  <si>
    <t>Bharti (8.8); Voda (0.6); Idea (6); RJio (5.8); Telenor(1.4)</t>
  </si>
  <si>
    <t>Rjio (5.4); Telenor(6)</t>
  </si>
  <si>
    <t>Telenor(2.2)</t>
  </si>
  <si>
    <t>Bharti (7); Voda (8); Idea (0.6); RJio (5.4)</t>
  </si>
  <si>
    <t>Voda(4.4); Idea(1.6); Rjio(6)</t>
  </si>
  <si>
    <t xml:space="preserve">Voda(2.4); Idea(6) </t>
  </si>
  <si>
    <t>Bharti(10.2)</t>
  </si>
  <si>
    <t>Bharti(2.6); Aircel(1.8)</t>
  </si>
  <si>
    <t>Bharti(8.8); Voda(5); Idea(5); Rjio(5);</t>
  </si>
  <si>
    <t>Bharti(5); Voda(7); Idea(10); Rjio(5)</t>
  </si>
  <si>
    <t>Bharti(5); Voda(8); Rjio(5)</t>
  </si>
  <si>
    <t>Bharti(5.8);  Idea(7); Rjio(6.4)</t>
  </si>
  <si>
    <t>Idea(9); Rjio(5)</t>
  </si>
  <si>
    <t>Bharti(6); Voda(8.2); Idea(2); Rjio(6.6); RCOM(0.6)</t>
  </si>
  <si>
    <t>Bharti(7); Idea(5); Rjio(6.4); Aircel(1.8)</t>
  </si>
  <si>
    <t>Bharti(5); Rjio(5)</t>
  </si>
  <si>
    <t>Bharti(8.2); Voda(0.6); Idea(8)</t>
  </si>
  <si>
    <t>Bharti(8.2); Voda(0.8); Aircel(1.6)</t>
  </si>
  <si>
    <t>Bharti(5); Rjio(6.2)</t>
  </si>
  <si>
    <t>Voda(4); Telenor(1.8); Aircel(1.8)</t>
  </si>
  <si>
    <t>Telenor(2)</t>
  </si>
  <si>
    <t>Bharti(4.4); Rjio(5.6); Aircel(1.2)</t>
  </si>
  <si>
    <t>Bharti(6); Voda(5); Idea(5)</t>
  </si>
  <si>
    <t>Bharti(7); Voda(7); Idea(5)</t>
  </si>
  <si>
    <t>Bharti(5); Voda(11)</t>
  </si>
  <si>
    <t>Price Per MHz(in Rs. Crore)</t>
  </si>
  <si>
    <t>Price (in Rs. Crore) per MHz</t>
  </si>
  <si>
    <t>2100 MHz</t>
  </si>
  <si>
    <t>AP</t>
  </si>
  <si>
    <t>HP</t>
  </si>
  <si>
    <t>J&amp;K</t>
  </si>
  <si>
    <t>MP</t>
  </si>
  <si>
    <t>NE</t>
  </si>
  <si>
    <t>UP(E)</t>
  </si>
  <si>
    <t>UP(W)</t>
  </si>
  <si>
    <t>WB, A&amp;N</t>
  </si>
  <si>
    <t>in Euro</t>
  </si>
  <si>
    <t>Euro Exchange Rate</t>
  </si>
  <si>
    <t>Total in Rs. Crore for 4.4. MHz</t>
  </si>
  <si>
    <t>Per MHz Per Pop  In Rs.</t>
  </si>
  <si>
    <t>Per MHz Per Pop in Rs.</t>
  </si>
  <si>
    <t>Population (in Millions)</t>
  </si>
  <si>
    <t>800 MHz in 2013</t>
  </si>
  <si>
    <t>900 MHz in 2014</t>
  </si>
  <si>
    <t>1800 MHz in 2001</t>
  </si>
  <si>
    <t>1800 MHz in 2012</t>
  </si>
  <si>
    <t>1800 MHz in 2014</t>
  </si>
  <si>
    <t>2100 MHz in 2010</t>
  </si>
  <si>
    <t>Metros</t>
  </si>
  <si>
    <t>Category A</t>
  </si>
  <si>
    <t>Category B</t>
  </si>
  <si>
    <t>Category C</t>
  </si>
  <si>
    <t>Germany (800 MHz, 2010)</t>
  </si>
  <si>
    <t>France (800 MHz, 2010)</t>
  </si>
  <si>
    <t>Sweden (800 MHz, 2010)</t>
  </si>
  <si>
    <t>Sweden (2600 MHz,2010)</t>
  </si>
  <si>
    <t>Germany (2600 MHz, 2010)</t>
  </si>
  <si>
    <t>Netherlands (2600 MHz, 2010)</t>
  </si>
  <si>
    <t>Germany (2100 MHz, 2001)</t>
  </si>
  <si>
    <t>UK (2100 MHz, 2001)</t>
  </si>
  <si>
    <t>Sweden (1800 MHz,2010)</t>
  </si>
  <si>
    <t>France (2100 MHz,2010)</t>
  </si>
  <si>
    <t>Germany (2100 MHz,2010)</t>
  </si>
  <si>
    <t>U.S. (2100 MHz, 2006)</t>
  </si>
  <si>
    <t>US (700 MHz, 2008)</t>
  </si>
  <si>
    <t>Reserve Price for Spectrum on Auction</t>
  </si>
  <si>
    <t>Spectrum Put on Auction(MHz)</t>
  </si>
  <si>
    <t>Odisha</t>
  </si>
  <si>
    <t>Average</t>
  </si>
  <si>
    <t>Reserve Price (Cr) for Spectrum on Auction per 200 KHz block</t>
  </si>
  <si>
    <t>Madhya Pradesh</t>
  </si>
  <si>
    <t>Reserve Price (Cr) for Spectrum on Auction per 1.25 MHz block</t>
  </si>
  <si>
    <t>Reserve Price (Cr) for Spectrum on Auction per 5 MHz block</t>
  </si>
  <si>
    <t>Reserve Price</t>
  </si>
  <si>
    <t>Spectrum (MHz)</t>
  </si>
  <si>
    <t>Overall Spectrum Cap (DL+UL+UNP)</t>
  </si>
  <si>
    <t>Total Winning Amount for auctioned spectrum</t>
  </si>
  <si>
    <t>Spectrum Assigned in Auction (MHz)</t>
  </si>
  <si>
    <t>Winning bid price per block</t>
  </si>
  <si>
    <t>Total Winning amount for auctioned spectrum</t>
  </si>
  <si>
    <t>Spectrum Assigned in auction (MHz)</t>
  </si>
  <si>
    <t>Total Winning amount for Auctioned Spectrum</t>
  </si>
  <si>
    <t>Spectrum Assigned in Auction</t>
  </si>
  <si>
    <t>Total Winning Amount for Auctioned Spectrum</t>
  </si>
  <si>
    <t>Winning Bid Price</t>
  </si>
  <si>
    <t>Price/MHz (Crores of Rs.)</t>
  </si>
  <si>
    <t>Average India</t>
  </si>
  <si>
    <t>Reserve Price (Cr) for Spectrum on Auction per 1 MHz</t>
  </si>
  <si>
    <t>Reserve Price Per MHz Per Pop  In Rs.</t>
  </si>
  <si>
    <t>Reserve Price (Cr) for Spectrum on Auction per MHz</t>
  </si>
  <si>
    <t>700 MHz</t>
  </si>
  <si>
    <t>in euro</t>
  </si>
  <si>
    <t>Reserve Price per MHz (Rs.)</t>
  </si>
  <si>
    <t>Per MHz Per Pop(Rs.)</t>
  </si>
  <si>
    <t>700MHz</t>
  </si>
  <si>
    <t>2300MHz(Block Size:10 MHz unpaired)</t>
  </si>
  <si>
    <t>2500MHz(Block Size:10 MHz unpaired)</t>
  </si>
  <si>
    <t>700MHz(Block size- 5Mhz paired)</t>
  </si>
  <si>
    <t>800 MHz(block size-1.25MHZ paired)</t>
  </si>
  <si>
    <t>900 MHz(block size-0.2MHZ paried)</t>
  </si>
  <si>
    <t>1800 MHz(block size-0.2MHZ paried)</t>
  </si>
  <si>
    <t>2100 MHz (block size-5 MHZ paired)</t>
  </si>
  <si>
    <t>2300 MHz</t>
  </si>
  <si>
    <t>In 2010</t>
  </si>
  <si>
    <t>2500 MHz</t>
  </si>
  <si>
    <t>Cat-A</t>
  </si>
  <si>
    <t>Cat-B</t>
  </si>
  <si>
    <t>Cat-C</t>
  </si>
  <si>
    <t>3.6 GHz</t>
  </si>
  <si>
    <t>Per MHz Reserve Price (Rs.)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</si>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</sst>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000_);_(* \(#,##0.0000\);_(* &quot;-&quot;??_);_(@_)"/>
  </numFmts>
  <fonts count="34">
    <font>
      <sz val="10"/>
      <name val="Arial"/>
    </font>
    <font>
      <sz val="10"/>
      <name val="Arial"/>
      <family val="2"/>
    </font>
    <font>
      <sz val="10"/>
      <name val="Trebuchet MS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Trebuchet MS"/>
      <family val="2"/>
    </font>
    <font>
      <b/>
      <i/>
      <sz val="10"/>
      <name val="Trebuchet MS"/>
      <family val="2"/>
    </font>
    <font>
      <sz val="10"/>
      <name val="Arial"/>
      <family val="2"/>
    </font>
    <font>
      <sz val="10"/>
      <name val="Verdana"/>
      <family val="2"/>
    </font>
    <font>
      <i/>
      <sz val="10"/>
      <name val="Arial"/>
      <family val="2"/>
    </font>
    <font>
      <sz val="11"/>
      <name val="Calibri"/>
      <family val="2"/>
    </font>
    <font>
      <b/>
      <sz val="10"/>
      <name val="Bookman Old Style"/>
      <family val="1"/>
    </font>
    <font>
      <sz val="10"/>
      <name val="Bookman Old Style"/>
      <family val="1"/>
    </font>
    <font>
      <b/>
      <i/>
      <sz val="10"/>
      <name val="Bookman Old Style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Trebuchet MS"/>
      <family val="2"/>
    </font>
    <font>
      <sz val="10"/>
      <color theme="1"/>
      <name val="Bookman Old Style"/>
      <family val="1"/>
    </font>
    <font>
      <b/>
      <i/>
      <sz val="10"/>
      <color theme="5" tint="-0.249977111117893"/>
      <name val="Bookman Old Style"/>
      <family val="1"/>
    </font>
    <font>
      <sz val="10"/>
      <color theme="5" tint="-0.249977111117893"/>
      <name val="Bookman Old Style"/>
      <family val="1"/>
    </font>
    <font>
      <b/>
      <i/>
      <sz val="10"/>
      <color rgb="FFC00000"/>
      <name val="Bookman Old Style"/>
      <family val="1"/>
    </font>
    <font>
      <sz val="10"/>
      <color rgb="FFC00000"/>
      <name val="Bookman Old Style"/>
      <family val="1"/>
    </font>
    <font>
      <b/>
      <sz val="10"/>
      <color rgb="FFC00000"/>
      <name val="Bookman Old Style"/>
      <family val="1"/>
    </font>
    <font>
      <b/>
      <sz val="10"/>
      <color theme="5" tint="-0.249977111117893"/>
      <name val="Bookman Old Style"/>
      <family val="1"/>
    </font>
    <font>
      <b/>
      <i/>
      <sz val="10"/>
      <color rgb="FF7030A0"/>
      <name val="Bookman Old Style"/>
      <family val="1"/>
    </font>
    <font>
      <sz val="10"/>
      <color rgb="FF7030A0"/>
      <name val="Bookman Old Style"/>
      <family val="1"/>
    </font>
    <font>
      <b/>
      <sz val="10"/>
      <color rgb="FF7030A0"/>
      <name val="Bookman Old Style"/>
      <family val="1"/>
    </font>
    <font>
      <sz val="10"/>
      <color rgb="FFFF0000"/>
      <name val="Bookman Old Style"/>
      <family val="1"/>
    </font>
    <font>
      <sz val="10"/>
      <name val="Bookman Old Style"/>
      <family val="1"/>
      <charset val="134"/>
    </font>
    <font>
      <b/>
      <i/>
      <sz val="10"/>
      <color indexed="60"/>
      <name val="Bookman Old Style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8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289">
    <xf numFmtId="0" fontId="0" fillId="0" borderId="0" xfId="0"/>
    <xf numFmtId="0" fontId="2" fillId="0" borderId="0" xfId="0" applyFont="1" applyBorder="1" applyAlignment="1">
      <alignment vertical="top" wrapText="1"/>
    </xf>
    <xf numFmtId="4" fontId="2" fillId="0" borderId="0" xfId="0" applyNumberFormat="1" applyFont="1" applyBorder="1" applyAlignment="1">
      <alignment horizontal="center" vertical="top" wrapText="1"/>
    </xf>
    <xf numFmtId="0" fontId="4" fillId="0" borderId="0" xfId="0" applyFont="1"/>
    <xf numFmtId="0" fontId="4" fillId="0" borderId="0" xfId="0" applyFont="1" applyBorder="1"/>
    <xf numFmtId="0" fontId="6" fillId="0" borderId="0" xfId="0" applyFont="1" applyFill="1" applyBorder="1" applyAlignment="1">
      <alignment vertical="top" wrapText="1"/>
    </xf>
    <xf numFmtId="1" fontId="2" fillId="0" borderId="0" xfId="0" applyNumberFormat="1" applyFont="1" applyBorder="1" applyAlignment="1">
      <alignment horizontal="center" vertical="top" wrapText="1"/>
    </xf>
    <xf numFmtId="1" fontId="0" fillId="0" borderId="0" xfId="0" applyNumberFormat="1" applyBorder="1"/>
    <xf numFmtId="1" fontId="0" fillId="0" borderId="0" xfId="0" applyNumberFormat="1"/>
    <xf numFmtId="4" fontId="6" fillId="0" borderId="0" xfId="0" applyNumberFormat="1" applyFont="1"/>
    <xf numFmtId="4" fontId="2" fillId="0" borderId="0" xfId="0" applyNumberFormat="1" applyFont="1" applyBorder="1"/>
    <xf numFmtId="4" fontId="2" fillId="0" borderId="0" xfId="0" applyNumberFormat="1" applyFont="1"/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 applyBorder="1" applyAlignment="1">
      <alignment wrapText="1"/>
    </xf>
    <xf numFmtId="4" fontId="7" fillId="0" borderId="0" xfId="0" applyNumberFormat="1" applyFont="1" applyBorder="1" applyAlignment="1">
      <alignment wrapText="1"/>
    </xf>
    <xf numFmtId="1" fontId="5" fillId="0" borderId="0" xfId="0" applyNumberFormat="1" applyFont="1" applyBorder="1" applyAlignment="1">
      <alignment wrapText="1"/>
    </xf>
    <xf numFmtId="1" fontId="5" fillId="0" borderId="0" xfId="0" applyNumberFormat="1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6" fillId="0" borderId="0" xfId="0" applyFont="1"/>
    <xf numFmtId="4" fontId="6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/>
    <xf numFmtId="1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7" fillId="0" borderId="0" xfId="0" applyNumberFormat="1" applyFont="1" applyAlignment="1">
      <alignment horizontal="center" wrapText="1"/>
    </xf>
    <xf numFmtId="3" fontId="2" fillId="0" borderId="0" xfId="0" applyNumberFormat="1" applyFont="1"/>
    <xf numFmtId="0" fontId="18" fillId="2" borderId="0" xfId="1" applyBorder="1" applyAlignment="1">
      <alignment horizontal="center"/>
    </xf>
    <xf numFmtId="0" fontId="18" fillId="2" borderId="0" xfId="1" applyBorder="1" applyAlignment="1">
      <alignment vertical="top" wrapText="1"/>
    </xf>
    <xf numFmtId="4" fontId="18" fillId="2" borderId="0" xfId="1" applyNumberFormat="1" applyBorder="1" applyAlignment="1">
      <alignment horizontal="center" vertical="top" wrapText="1"/>
    </xf>
    <xf numFmtId="1" fontId="18" fillId="2" borderId="0" xfId="1" applyNumberFormat="1" applyBorder="1" applyAlignment="1">
      <alignment horizontal="center" vertical="top" wrapText="1"/>
    </xf>
    <xf numFmtId="1" fontId="18" fillId="2" borderId="0" xfId="1" applyNumberFormat="1" applyBorder="1" applyAlignment="1">
      <alignment horizontal="center"/>
    </xf>
    <xf numFmtId="4" fontId="18" fillId="2" borderId="0" xfId="1" applyNumberFormat="1"/>
    <xf numFmtId="10" fontId="18" fillId="2" borderId="0" xfId="1" applyNumberFormat="1" applyAlignment="1">
      <alignment horizontal="center"/>
    </xf>
    <xf numFmtId="3" fontId="18" fillId="2" borderId="0" xfId="1" applyNumberFormat="1"/>
    <xf numFmtId="0" fontId="18" fillId="2" borderId="0" xfId="1"/>
    <xf numFmtId="2" fontId="9" fillId="0" borderId="0" xfId="0" applyNumberFormat="1" applyFont="1"/>
    <xf numFmtId="1" fontId="9" fillId="0" borderId="0" xfId="0" applyNumberFormat="1" applyFo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/>
    <xf numFmtId="0" fontId="4" fillId="0" borderId="0" xfId="0" applyFont="1" applyFill="1"/>
    <xf numFmtId="0" fontId="5" fillId="0" borderId="0" xfId="0" applyFont="1" applyFill="1" applyBorder="1" applyAlignment="1">
      <alignment wrapText="1"/>
    </xf>
    <xf numFmtId="4" fontId="7" fillId="0" borderId="0" xfId="0" applyNumberFormat="1" applyFont="1" applyFill="1" applyBorder="1" applyAlignment="1">
      <alignment wrapText="1"/>
    </xf>
    <xf numFmtId="1" fontId="5" fillId="0" borderId="0" xfId="0" applyNumberFormat="1" applyFont="1" applyFill="1" applyBorder="1" applyAlignment="1">
      <alignment wrapText="1"/>
    </xf>
    <xf numFmtId="0" fontId="18" fillId="0" borderId="0" xfId="1" applyFill="1" applyBorder="1" applyAlignment="1">
      <alignment vertical="top" wrapText="1"/>
    </xf>
    <xf numFmtId="4" fontId="18" fillId="0" borderId="0" xfId="1" applyNumberFormat="1" applyFill="1" applyBorder="1" applyAlignment="1">
      <alignment horizontal="center" vertical="top" wrapText="1"/>
    </xf>
    <xf numFmtId="1" fontId="18" fillId="0" borderId="0" xfId="1" applyNumberFormat="1" applyFill="1" applyBorder="1" applyAlignment="1">
      <alignment horizontal="center" vertical="top" wrapText="1"/>
    </xf>
    <xf numFmtId="4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1" fontId="5" fillId="0" borderId="0" xfId="0" applyNumberFormat="1" applyFont="1" applyFill="1" applyAlignment="1">
      <alignment horizontal="center" wrapText="1"/>
    </xf>
    <xf numFmtId="4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0" fontId="0" fillId="0" borderId="0" xfId="0" applyNumberFormat="1"/>
    <xf numFmtId="0" fontId="5" fillId="0" borderId="0" xfId="0" applyFont="1" applyAlignment="1">
      <alignment horizontal="center" wrapText="1"/>
    </xf>
    <xf numFmtId="10" fontId="5" fillId="0" borderId="0" xfId="0" applyNumberFormat="1" applyFont="1" applyAlignment="1">
      <alignment horizontal="center" wrapText="1"/>
    </xf>
    <xf numFmtId="2" fontId="8" fillId="0" borderId="0" xfId="0" applyNumberFormat="1" applyFont="1"/>
    <xf numFmtId="4" fontId="5" fillId="0" borderId="0" xfId="0" applyNumberFormat="1" applyFont="1" applyFill="1" applyBorder="1" applyAlignment="1">
      <alignment horizontal="center" wrapText="1"/>
    </xf>
    <xf numFmtId="0" fontId="19" fillId="0" borderId="0" xfId="1" applyFont="1" applyFill="1" applyBorder="1" applyAlignment="1">
      <alignment vertical="top" wrapText="1"/>
    </xf>
    <xf numFmtId="4" fontId="19" fillId="0" borderId="0" xfId="1" applyNumberFormat="1" applyFont="1" applyFill="1" applyBorder="1" applyAlignment="1">
      <alignment horizontal="center" vertical="top" wrapText="1"/>
    </xf>
    <xf numFmtId="1" fontId="19" fillId="0" borderId="0" xfId="1" applyNumberFormat="1" applyFont="1" applyFill="1" applyBorder="1" applyAlignment="1">
      <alignment horizontal="center" vertical="top" wrapText="1"/>
    </xf>
    <xf numFmtId="2" fontId="19" fillId="0" borderId="0" xfId="1" applyNumberFormat="1" applyFont="1" applyFill="1" applyBorder="1" applyAlignment="1">
      <alignment horizontal="center" vertical="top" wrapText="1"/>
    </xf>
    <xf numFmtId="4" fontId="8" fillId="0" borderId="0" xfId="0" applyNumberFormat="1" applyFont="1" applyFill="1" applyBorder="1" applyAlignment="1">
      <alignment horizontal="center" vertical="top" wrapText="1"/>
    </xf>
    <xf numFmtId="10" fontId="8" fillId="0" borderId="0" xfId="0" applyNumberFormat="1" applyFont="1"/>
    <xf numFmtId="0" fontId="8" fillId="0" borderId="0" xfId="0" applyFont="1" applyFill="1" applyBorder="1" applyAlignment="1">
      <alignment vertical="top" wrapText="1"/>
    </xf>
    <xf numFmtId="1" fontId="8" fillId="0" borderId="0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4" fontId="4" fillId="0" borderId="0" xfId="0" applyNumberFormat="1" applyFont="1" applyBorder="1"/>
    <xf numFmtId="1" fontId="4" fillId="0" borderId="0" xfId="0" applyNumberFormat="1" applyFont="1" applyBorder="1"/>
    <xf numFmtId="1" fontId="4" fillId="0" borderId="0" xfId="0" applyNumberFormat="1" applyFont="1" applyBorder="1" applyAlignment="1">
      <alignment horizontal="center"/>
    </xf>
    <xf numFmtId="43" fontId="4" fillId="0" borderId="0" xfId="2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Alignment="1">
      <alignment horizontal="center" wrapText="1"/>
    </xf>
    <xf numFmtId="2" fontId="6" fillId="0" borderId="0" xfId="0" applyNumberFormat="1" applyFont="1" applyBorder="1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3" fontId="0" fillId="0" borderId="0" xfId="0" applyNumberFormat="1"/>
    <xf numFmtId="3" fontId="2" fillId="0" borderId="0" xfId="0" applyNumberFormat="1" applyFont="1" applyFill="1" applyBorder="1" applyAlignment="1">
      <alignment horizontal="center" vertical="top" wrapText="1"/>
    </xf>
    <xf numFmtId="3" fontId="2" fillId="0" borderId="0" xfId="0" applyNumberFormat="1" applyFont="1" applyBorder="1"/>
    <xf numFmtId="3" fontId="6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wrapText="1"/>
    </xf>
    <xf numFmtId="1" fontId="7" fillId="0" borderId="0" xfId="0" applyNumberFormat="1" applyFont="1" applyFill="1" applyBorder="1" applyAlignment="1">
      <alignment wrapText="1"/>
    </xf>
    <xf numFmtId="2" fontId="7" fillId="0" borderId="0" xfId="0" applyNumberFormat="1" applyFont="1" applyFill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2" fillId="0" borderId="0" xfId="0" applyNumberFormat="1" applyFont="1"/>
    <xf numFmtId="10" fontId="2" fillId="0" borderId="0" xfId="0" applyNumberFormat="1" applyFont="1"/>
    <xf numFmtId="0" fontId="6" fillId="0" borderId="0" xfId="0" applyFont="1" applyBorder="1"/>
    <xf numFmtId="1" fontId="2" fillId="0" borderId="0" xfId="0" applyNumberFormat="1" applyFont="1" applyBorder="1"/>
    <xf numFmtId="2" fontId="2" fillId="0" borderId="0" xfId="0" applyNumberFormat="1" applyFont="1" applyBorder="1"/>
    <xf numFmtId="2" fontId="20" fillId="0" borderId="0" xfId="1" applyNumberFormat="1" applyFont="1" applyFill="1" applyBorder="1" applyAlignment="1">
      <alignment horizontal="center" vertical="top" wrapText="1"/>
    </xf>
    <xf numFmtId="0" fontId="20" fillId="0" borderId="0" xfId="1" applyFont="1" applyFill="1" applyBorder="1" applyAlignment="1">
      <alignment vertical="top" wrapText="1"/>
    </xf>
    <xf numFmtId="4" fontId="20" fillId="0" borderId="0" xfId="1" applyNumberFormat="1" applyFont="1" applyFill="1" applyBorder="1" applyAlignment="1">
      <alignment horizontal="center" vertical="top" wrapText="1"/>
    </xf>
    <xf numFmtId="1" fontId="20" fillId="0" borderId="0" xfId="1" applyNumberFormat="1" applyFont="1" applyFill="1" applyBorder="1" applyAlignment="1">
      <alignment horizontal="center" vertical="top" wrapText="1"/>
    </xf>
    <xf numFmtId="0" fontId="9" fillId="0" borderId="0" xfId="0" applyFont="1"/>
    <xf numFmtId="3" fontId="2" fillId="0" borderId="0" xfId="0" applyNumberFormat="1" applyFont="1" applyFill="1" applyBorder="1" applyAlignment="1"/>
    <xf numFmtId="1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3" fontId="2" fillId="0" borderId="0" xfId="0" applyNumberFormat="1" applyFont="1" applyFill="1" applyBorder="1" applyAlignment="1">
      <alignment wrapText="1"/>
    </xf>
    <xf numFmtId="1" fontId="9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 wrapText="1"/>
    </xf>
    <xf numFmtId="0" fontId="0" fillId="0" borderId="0" xfId="0" applyBorder="1" applyAlignment="1">
      <alignment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Fill="1"/>
    <xf numFmtId="0" fontId="13" fillId="0" borderId="0" xfId="0" applyFont="1"/>
    <xf numFmtId="0" fontId="14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vertical="top" wrapText="1"/>
    </xf>
    <xf numFmtId="0" fontId="21" fillId="0" borderId="0" xfId="1" applyFont="1" applyFill="1" applyBorder="1" applyAlignment="1">
      <alignment vertical="top" wrapText="1"/>
    </xf>
    <xf numFmtId="0" fontId="12" fillId="0" borderId="0" xfId="0" applyFont="1" applyBorder="1"/>
    <xf numFmtId="0" fontId="12" fillId="0" borderId="0" xfId="0" applyFont="1" applyFill="1" applyBorder="1" applyAlignment="1">
      <alignment vertical="top" wrapText="1"/>
    </xf>
    <xf numFmtId="0" fontId="14" fillId="0" borderId="0" xfId="0" applyFont="1" applyAlignment="1">
      <alignment wrapText="1"/>
    </xf>
    <xf numFmtId="0" fontId="12" fillId="0" borderId="0" xfId="0" applyFont="1"/>
    <xf numFmtId="2" fontId="22" fillId="3" borderId="0" xfId="0" applyNumberFormat="1" applyFont="1" applyFill="1" applyAlignment="1">
      <alignment wrapText="1"/>
    </xf>
    <xf numFmtId="43" fontId="22" fillId="3" borderId="0" xfId="2" applyFont="1" applyFill="1" applyAlignment="1">
      <alignment wrapText="1"/>
    </xf>
    <xf numFmtId="2" fontId="23" fillId="3" borderId="0" xfId="0" applyNumberFormat="1" applyFont="1" applyFill="1"/>
    <xf numFmtId="43" fontId="23" fillId="3" borderId="0" xfId="2" applyFont="1" applyFill="1"/>
    <xf numFmtId="2" fontId="14" fillId="4" borderId="0" xfId="0" applyNumberFormat="1" applyFont="1" applyFill="1" applyAlignment="1">
      <alignment wrapText="1"/>
    </xf>
    <xf numFmtId="43" fontId="14" fillId="4" borderId="0" xfId="2" applyFont="1" applyFill="1" applyAlignment="1">
      <alignment wrapText="1"/>
    </xf>
    <xf numFmtId="2" fontId="13" fillId="4" borderId="0" xfId="0" applyNumberFormat="1" applyFont="1" applyFill="1"/>
    <xf numFmtId="43" fontId="13" fillId="4" borderId="0" xfId="2" applyFont="1" applyFill="1"/>
    <xf numFmtId="0" fontId="24" fillId="5" borderId="0" xfId="0" applyFont="1" applyFill="1" applyAlignment="1">
      <alignment wrapText="1"/>
    </xf>
    <xf numFmtId="2" fontId="24" fillId="5" borderId="0" xfId="0" applyNumberFormat="1" applyFont="1" applyFill="1" applyAlignment="1">
      <alignment wrapText="1"/>
    </xf>
    <xf numFmtId="43" fontId="24" fillId="5" borderId="0" xfId="2" applyFont="1" applyFill="1" applyAlignment="1">
      <alignment wrapText="1"/>
    </xf>
    <xf numFmtId="0" fontId="25" fillId="5" borderId="0" xfId="0" applyFont="1" applyFill="1"/>
    <xf numFmtId="43" fontId="25" fillId="5" borderId="0" xfId="2" applyFont="1" applyFill="1"/>
    <xf numFmtId="2" fontId="14" fillId="6" borderId="0" xfId="0" applyNumberFormat="1" applyFont="1" applyFill="1" applyAlignment="1">
      <alignment wrapText="1"/>
    </xf>
    <xf numFmtId="43" fontId="14" fillId="6" borderId="0" xfId="2" applyFont="1" applyFill="1" applyAlignment="1">
      <alignment wrapText="1"/>
    </xf>
    <xf numFmtId="2" fontId="13" fillId="6" borderId="0" xfId="0" applyNumberFormat="1" applyFont="1" applyFill="1"/>
    <xf numFmtId="43" fontId="13" fillId="6" borderId="0" xfId="2" applyFont="1" applyFill="1"/>
    <xf numFmtId="2" fontId="26" fillId="5" borderId="0" xfId="0" applyNumberFormat="1" applyFont="1" applyFill="1"/>
    <xf numFmtId="43" fontId="26" fillId="5" borderId="0" xfId="2" applyFont="1" applyFill="1"/>
    <xf numFmtId="2" fontId="27" fillId="3" borderId="0" xfId="0" applyNumberFormat="1" applyFont="1" applyFill="1"/>
    <xf numFmtId="43" fontId="27" fillId="3" borderId="0" xfId="2" applyFont="1" applyFill="1"/>
    <xf numFmtId="2" fontId="12" fillId="6" borderId="0" xfId="0" applyNumberFormat="1" applyFont="1" applyFill="1"/>
    <xf numFmtId="43" fontId="12" fillId="6" borderId="0" xfId="2" applyFont="1" applyFill="1"/>
    <xf numFmtId="2" fontId="12" fillId="4" borderId="0" xfId="2" applyNumberFormat="1" applyFont="1" applyFill="1"/>
    <xf numFmtId="43" fontId="12" fillId="4" borderId="0" xfId="2" applyFont="1" applyFill="1"/>
    <xf numFmtId="0" fontId="14" fillId="7" borderId="0" xfId="0" applyFont="1" applyFill="1" applyAlignment="1">
      <alignment wrapText="1"/>
    </xf>
    <xf numFmtId="0" fontId="13" fillId="7" borderId="0" xfId="0" applyFont="1" applyFill="1"/>
    <xf numFmtId="0" fontId="28" fillId="7" borderId="0" xfId="0" applyFont="1" applyFill="1" applyAlignment="1">
      <alignment wrapText="1"/>
    </xf>
    <xf numFmtId="2" fontId="29" fillId="7" borderId="0" xfId="0" applyNumberFormat="1" applyFont="1" applyFill="1"/>
    <xf numFmtId="43" fontId="29" fillId="7" borderId="0" xfId="0" applyNumberFormat="1" applyFont="1" applyFill="1"/>
    <xf numFmtId="0" fontId="29" fillId="7" borderId="0" xfId="0" applyFont="1" applyFill="1"/>
    <xf numFmtId="43" fontId="30" fillId="7" borderId="0" xfId="2" applyFont="1" applyFill="1"/>
    <xf numFmtId="2" fontId="27" fillId="3" borderId="0" xfId="0" applyNumberFormat="1" applyFont="1" applyFill="1" applyAlignment="1">
      <alignment horizontal="center"/>
    </xf>
    <xf numFmtId="2" fontId="12" fillId="4" borderId="0" xfId="0" applyNumberFormat="1" applyFont="1" applyFill="1" applyAlignment="1">
      <alignment horizontal="center"/>
    </xf>
    <xf numFmtId="2" fontId="27" fillId="3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2" fontId="12" fillId="4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43" fontId="13" fillId="4" borderId="0" xfId="2" applyFont="1" applyFill="1" applyAlignment="1">
      <alignment horizontal="right"/>
    </xf>
    <xf numFmtId="2" fontId="27" fillId="3" borderId="0" xfId="0" applyNumberFormat="1" applyFont="1" applyFill="1" applyAlignment="1">
      <alignment horizontal="center"/>
    </xf>
    <xf numFmtId="2" fontId="12" fillId="4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2" fontId="31" fillId="4" borderId="0" xfId="0" applyNumberFormat="1" applyFont="1" applyFill="1"/>
    <xf numFmtId="0" fontId="31" fillId="5" borderId="0" xfId="0" applyFont="1" applyFill="1"/>
    <xf numFmtId="2" fontId="31" fillId="3" borderId="0" xfId="0" applyNumberFormat="1" applyFont="1" applyFill="1"/>
    <xf numFmtId="2" fontId="31" fillId="6" borderId="0" xfId="0" applyNumberFormat="1" applyFont="1" applyFill="1"/>
    <xf numFmtId="2" fontId="13" fillId="8" borderId="0" xfId="0" applyNumberFormat="1" applyFont="1" applyFill="1"/>
    <xf numFmtId="0" fontId="17" fillId="0" borderId="0" xfId="0" applyFont="1"/>
    <xf numFmtId="0" fontId="12" fillId="0" borderId="0" xfId="0" applyFont="1" applyFill="1" applyAlignment="1"/>
    <xf numFmtId="0" fontId="13" fillId="9" borderId="0" xfId="0" applyFont="1" applyFill="1" applyBorder="1" applyAlignment="1">
      <alignment vertical="top" wrapText="1"/>
    </xf>
    <xf numFmtId="0" fontId="21" fillId="9" borderId="0" xfId="1" applyFont="1" applyFill="1" applyBorder="1" applyAlignment="1">
      <alignment vertical="top" wrapText="1"/>
    </xf>
    <xf numFmtId="0" fontId="12" fillId="9" borderId="0" xfId="0" applyFont="1" applyFill="1" applyBorder="1"/>
    <xf numFmtId="0" fontId="12" fillId="9" borderId="0" xfId="0" applyFont="1" applyFill="1" applyBorder="1" applyAlignment="1">
      <alignment vertical="top" wrapText="1"/>
    </xf>
    <xf numFmtId="0" fontId="12" fillId="9" borderId="0" xfId="0" applyFont="1" applyFill="1"/>
    <xf numFmtId="0" fontId="13" fillId="9" borderId="0" xfId="0" applyFont="1" applyFill="1"/>
    <xf numFmtId="0" fontId="12" fillId="9" borderId="0" xfId="0" applyFont="1" applyFill="1" applyAlignment="1"/>
    <xf numFmtId="0" fontId="24" fillId="9" borderId="0" xfId="0" applyFont="1" applyFill="1" applyAlignment="1">
      <alignment wrapText="1"/>
    </xf>
    <xf numFmtId="43" fontId="24" fillId="9" borderId="0" xfId="2" applyFont="1" applyFill="1" applyAlignment="1">
      <alignment wrapText="1"/>
    </xf>
    <xf numFmtId="2" fontId="12" fillId="10" borderId="0" xfId="0" applyNumberFormat="1" applyFont="1" applyFill="1" applyAlignment="1">
      <alignment horizontal="center"/>
    </xf>
    <xf numFmtId="2" fontId="14" fillId="10" borderId="0" xfId="0" applyNumberFormat="1" applyFont="1" applyFill="1" applyAlignment="1">
      <alignment wrapText="1"/>
    </xf>
    <xf numFmtId="43" fontId="14" fillId="10" borderId="0" xfId="2" applyFont="1" applyFill="1" applyAlignment="1">
      <alignment wrapText="1"/>
    </xf>
    <xf numFmtId="43" fontId="24" fillId="10" borderId="0" xfId="2" applyFont="1" applyFill="1" applyAlignment="1">
      <alignment wrapText="1"/>
    </xf>
    <xf numFmtId="43" fontId="13" fillId="10" borderId="0" xfId="2" applyFont="1" applyFill="1" applyAlignment="1">
      <alignment horizontal="right"/>
    </xf>
    <xf numFmtId="43" fontId="13" fillId="10" borderId="0" xfId="2" applyFont="1" applyFill="1"/>
    <xf numFmtId="43" fontId="12" fillId="10" borderId="0" xfId="2" applyFont="1" applyFill="1"/>
    <xf numFmtId="2" fontId="14" fillId="11" borderId="0" xfId="0" applyNumberFormat="1" applyFont="1" applyFill="1" applyAlignment="1">
      <alignment wrapText="1"/>
    </xf>
    <xf numFmtId="43" fontId="14" fillId="11" borderId="0" xfId="2" applyFont="1" applyFill="1" applyAlignment="1">
      <alignment wrapText="1"/>
    </xf>
    <xf numFmtId="43" fontId="24" fillId="11" borderId="0" xfId="2" applyFont="1" applyFill="1" applyAlignment="1">
      <alignment wrapText="1"/>
    </xf>
    <xf numFmtId="43" fontId="13" fillId="11" borderId="0" xfId="2" applyFont="1" applyFill="1" applyAlignment="1">
      <alignment horizontal="right"/>
    </xf>
    <xf numFmtId="43" fontId="13" fillId="11" borderId="0" xfId="2" applyFont="1" applyFill="1"/>
    <xf numFmtId="43" fontId="12" fillId="11" borderId="0" xfId="2" applyFont="1" applyFill="1"/>
    <xf numFmtId="2" fontId="12" fillId="10" borderId="0" xfId="0" applyNumberFormat="1" applyFont="1" applyFill="1" applyAlignment="1">
      <alignment horizontal="center"/>
    </xf>
    <xf numFmtId="2" fontId="12" fillId="11" borderId="0" xfId="0" applyNumberFormat="1" applyFont="1" applyFill="1" applyAlignment="1">
      <alignment horizontal="center"/>
    </xf>
    <xf numFmtId="165" fontId="12" fillId="9" borderId="0" xfId="2" applyNumberFormat="1" applyFont="1" applyFill="1" applyAlignment="1">
      <alignment horizontal="center"/>
    </xf>
    <xf numFmtId="165" fontId="24" fillId="9" borderId="0" xfId="2" applyNumberFormat="1" applyFont="1" applyFill="1" applyAlignment="1">
      <alignment wrapText="1"/>
    </xf>
    <xf numFmtId="165" fontId="13" fillId="9" borderId="0" xfId="2" applyNumberFormat="1" applyFont="1" applyFill="1" applyBorder="1" applyAlignment="1">
      <alignment vertical="top" wrapText="1"/>
    </xf>
    <xf numFmtId="165" fontId="12" fillId="9" borderId="0" xfId="2" applyNumberFormat="1" applyFont="1" applyFill="1" applyBorder="1"/>
    <xf numFmtId="165" fontId="12" fillId="9" borderId="0" xfId="2" applyNumberFormat="1" applyFont="1" applyFill="1" applyBorder="1" applyAlignment="1">
      <alignment vertical="top" wrapText="1"/>
    </xf>
    <xf numFmtId="165" fontId="12" fillId="9" borderId="0" xfId="2" applyNumberFormat="1" applyFont="1" applyFill="1"/>
    <xf numFmtId="165" fontId="13" fillId="9" borderId="0" xfId="2" applyNumberFormat="1" applyFont="1" applyFill="1"/>
    <xf numFmtId="165" fontId="13" fillId="0" borderId="0" xfId="2" applyNumberFormat="1" applyFont="1"/>
    <xf numFmtId="165" fontId="12" fillId="0" borderId="0" xfId="2" applyNumberFormat="1" applyFont="1" applyFill="1" applyAlignment="1">
      <alignment horizontal="center"/>
    </xf>
    <xf numFmtId="165" fontId="24" fillId="5" borderId="0" xfId="2" applyNumberFormat="1" applyFont="1" applyFill="1" applyAlignment="1">
      <alignment wrapText="1"/>
    </xf>
    <xf numFmtId="165" fontId="13" fillId="0" borderId="0" xfId="2" applyNumberFormat="1" applyFont="1" applyFill="1" applyBorder="1" applyAlignment="1">
      <alignment vertical="top" wrapText="1"/>
    </xf>
    <xf numFmtId="165" fontId="12" fillId="0" borderId="0" xfId="2" applyNumberFormat="1" applyFont="1" applyBorder="1"/>
    <xf numFmtId="165" fontId="12" fillId="0" borderId="0" xfId="2" applyNumberFormat="1" applyFont="1" applyFill="1" applyBorder="1" applyAlignment="1">
      <alignment vertical="top" wrapText="1"/>
    </xf>
    <xf numFmtId="165" fontId="12" fillId="0" borderId="0" xfId="2" applyNumberFormat="1" applyFont="1"/>
    <xf numFmtId="1" fontId="12" fillId="9" borderId="0" xfId="0" applyNumberFormat="1" applyFont="1" applyFill="1" applyAlignment="1"/>
    <xf numFmtId="1" fontId="24" fillId="9" borderId="0" xfId="0" applyNumberFormat="1" applyFont="1" applyFill="1" applyAlignment="1">
      <alignment wrapText="1"/>
    </xf>
    <xf numFmtId="1" fontId="13" fillId="9" borderId="0" xfId="0" applyNumberFormat="1" applyFont="1" applyFill="1" applyBorder="1" applyAlignment="1">
      <alignment vertical="top" wrapText="1"/>
    </xf>
    <xf numFmtId="1" fontId="21" fillId="9" borderId="0" xfId="1" applyNumberFormat="1" applyFont="1" applyFill="1" applyBorder="1" applyAlignment="1">
      <alignment vertical="top" wrapText="1"/>
    </xf>
    <xf numFmtId="1" fontId="12" fillId="9" borderId="0" xfId="0" applyNumberFormat="1" applyFont="1" applyFill="1" applyBorder="1"/>
    <xf numFmtId="1" fontId="12" fillId="9" borderId="0" xfId="0" applyNumberFormat="1" applyFont="1" applyFill="1" applyBorder="1" applyAlignment="1">
      <alignment vertical="top" wrapText="1"/>
    </xf>
    <xf numFmtId="1" fontId="12" fillId="9" borderId="0" xfId="0" applyNumberFormat="1" applyFont="1" applyFill="1"/>
    <xf numFmtId="1" fontId="13" fillId="9" borderId="0" xfId="0" applyNumberFormat="1" applyFont="1" applyFill="1"/>
    <xf numFmtId="1" fontId="13" fillId="0" borderId="0" xfId="0" applyNumberFormat="1" applyFont="1"/>
    <xf numFmtId="1" fontId="12" fillId="0" borderId="0" xfId="0" applyNumberFormat="1" applyFont="1" applyFill="1" applyAlignment="1"/>
    <xf numFmtId="1" fontId="24" fillId="5" borderId="0" xfId="0" applyNumberFormat="1" applyFont="1" applyFill="1" applyAlignment="1">
      <alignment wrapText="1"/>
    </xf>
    <xf numFmtId="1" fontId="13" fillId="0" borderId="0" xfId="0" applyNumberFormat="1" applyFont="1" applyFill="1" applyBorder="1" applyAlignment="1">
      <alignment vertical="top" wrapText="1"/>
    </xf>
    <xf numFmtId="1" fontId="21" fillId="0" borderId="0" xfId="1" applyNumberFormat="1" applyFont="1" applyFill="1" applyBorder="1" applyAlignment="1">
      <alignment vertical="top" wrapText="1"/>
    </xf>
    <xf numFmtId="1" fontId="12" fillId="0" borderId="0" xfId="0" applyNumberFormat="1" applyFont="1" applyBorder="1"/>
    <xf numFmtId="1" fontId="12" fillId="0" borderId="0" xfId="0" applyNumberFormat="1" applyFont="1" applyFill="1" applyBorder="1" applyAlignment="1">
      <alignment vertical="top" wrapText="1"/>
    </xf>
    <xf numFmtId="1" fontId="12" fillId="0" borderId="0" xfId="0" applyNumberFormat="1" applyFont="1"/>
    <xf numFmtId="165" fontId="25" fillId="5" borderId="0" xfId="2" applyNumberFormat="1" applyFont="1" applyFill="1"/>
    <xf numFmtId="165" fontId="26" fillId="5" borderId="0" xfId="2" applyNumberFormat="1" applyFont="1" applyFill="1"/>
    <xf numFmtId="43" fontId="31" fillId="10" borderId="0" xfId="2" applyFont="1" applyFill="1"/>
    <xf numFmtId="165" fontId="28" fillId="7" borderId="0" xfId="2" applyNumberFormat="1" applyFont="1" applyFill="1" applyAlignment="1">
      <alignment wrapText="1"/>
    </xf>
    <xf numFmtId="165" fontId="29" fillId="7" borderId="0" xfId="2" applyNumberFormat="1" applyFont="1" applyFill="1"/>
    <xf numFmtId="165" fontId="30" fillId="7" borderId="0" xfId="2" applyNumberFormat="1" applyFont="1" applyFill="1"/>
    <xf numFmtId="0" fontId="0" fillId="0" borderId="0" xfId="0" applyAlignment="1">
      <alignment horizontal="center"/>
    </xf>
    <xf numFmtId="2" fontId="12" fillId="11" borderId="0" xfId="0" applyNumberFormat="1" applyFont="1" applyFill="1" applyAlignment="1"/>
    <xf numFmtId="2" fontId="12" fillId="10" borderId="0" xfId="0" applyNumberFormat="1" applyFont="1" applyFill="1" applyAlignment="1"/>
    <xf numFmtId="0" fontId="8" fillId="8" borderId="0" xfId="0" applyFont="1" applyFill="1" applyAlignment="1">
      <alignment wrapText="1"/>
    </xf>
    <xf numFmtId="2" fontId="9" fillId="8" borderId="0" xfId="0" applyNumberFormat="1" applyFont="1" applyFill="1" applyAlignment="1">
      <alignment horizontal="center"/>
    </xf>
    <xf numFmtId="0" fontId="0" fillId="8" borderId="0" xfId="0" applyFill="1"/>
    <xf numFmtId="2" fontId="0" fillId="8" borderId="0" xfId="0" applyNumberFormat="1" applyFill="1"/>
    <xf numFmtId="165" fontId="22" fillId="3" borderId="0" xfId="2" applyNumberFormat="1" applyFont="1" applyFill="1" applyAlignment="1">
      <alignment wrapText="1"/>
    </xf>
    <xf numFmtId="165" fontId="23" fillId="3" borderId="0" xfId="2" applyNumberFormat="1" applyFont="1" applyFill="1"/>
    <xf numFmtId="165" fontId="27" fillId="3" borderId="0" xfId="2" applyNumberFormat="1" applyFont="1" applyFill="1"/>
    <xf numFmtId="165" fontId="14" fillId="6" borderId="0" xfId="2" applyNumberFormat="1" applyFont="1" applyFill="1" applyAlignment="1">
      <alignment wrapText="1"/>
    </xf>
    <xf numFmtId="165" fontId="13" fillId="6" borderId="0" xfId="2" applyNumberFormat="1" applyFont="1" applyFill="1"/>
    <xf numFmtId="165" fontId="12" fillId="6" borderId="0" xfId="2" applyNumberFormat="1" applyFont="1" applyFill="1"/>
    <xf numFmtId="165" fontId="14" fillId="4" borderId="0" xfId="2" applyNumberFormat="1" applyFont="1" applyFill="1" applyAlignment="1">
      <alignment wrapText="1"/>
    </xf>
    <xf numFmtId="165" fontId="13" fillId="4" borderId="0" xfId="2" applyNumberFormat="1" applyFont="1" applyFill="1"/>
    <xf numFmtId="165" fontId="12" fillId="4" borderId="0" xfId="2" applyNumberFormat="1" applyFont="1" applyFill="1"/>
    <xf numFmtId="1" fontId="12" fillId="10" borderId="0" xfId="0" applyNumberFormat="1" applyFont="1" applyFill="1" applyAlignment="1"/>
    <xf numFmtId="1" fontId="14" fillId="10" borderId="0" xfId="2" applyNumberFormat="1" applyFont="1" applyFill="1" applyAlignment="1">
      <alignment wrapText="1"/>
    </xf>
    <xf numFmtId="1" fontId="13" fillId="10" borderId="0" xfId="2" applyNumberFormat="1" applyFont="1" applyFill="1" applyAlignment="1">
      <alignment horizontal="right"/>
    </xf>
    <xf numFmtId="1" fontId="13" fillId="10" borderId="0" xfId="2" applyNumberFormat="1" applyFont="1" applyFill="1"/>
    <xf numFmtId="1" fontId="12" fillId="10" borderId="0" xfId="2" applyNumberFormat="1" applyFont="1" applyFill="1"/>
    <xf numFmtId="1" fontId="13" fillId="4" borderId="0" xfId="2" applyNumberFormat="1" applyFont="1" applyFill="1"/>
    <xf numFmtId="2" fontId="8" fillId="8" borderId="0" xfId="0" applyNumberFormat="1" applyFont="1" applyFill="1" applyAlignment="1">
      <alignment wrapText="1"/>
    </xf>
    <xf numFmtId="2" fontId="0" fillId="8" borderId="0" xfId="0" applyNumberFormat="1" applyFill="1" applyAlignment="1">
      <alignment horizontal="center"/>
    </xf>
    <xf numFmtId="2" fontId="0" fillId="8" borderId="0" xfId="0" applyNumberFormat="1" applyFill="1" applyAlignment="1">
      <alignment wrapText="1"/>
    </xf>
    <xf numFmtId="43" fontId="32" fillId="12" borderId="0" xfId="2" applyFont="1" applyFill="1" applyAlignment="1">
      <alignment horizontal="right"/>
    </xf>
    <xf numFmtId="43" fontId="32" fillId="12" borderId="0" xfId="2" applyFont="1" applyFill="1" applyAlignment="1"/>
    <xf numFmtId="43" fontId="33" fillId="13" borderId="0" xfId="2" applyFont="1" applyFill="1" applyAlignment="1">
      <alignment wrapText="1"/>
    </xf>
    <xf numFmtId="43" fontId="32" fillId="13" borderId="0" xfId="2" applyFont="1" applyFill="1" applyAlignment="1">
      <alignment horizontal="right"/>
    </xf>
    <xf numFmtId="43" fontId="32" fillId="13" borderId="0" xfId="2" applyFont="1" applyFill="1" applyAlignment="1"/>
    <xf numFmtId="0" fontId="0" fillId="8" borderId="0" xfId="0" applyFill="1" applyAlignment="1">
      <alignment horizontal="center"/>
    </xf>
    <xf numFmtId="166" fontId="13" fillId="4" borderId="0" xfId="2" applyNumberFormat="1" applyFont="1" applyFill="1"/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2" fontId="27" fillId="3" borderId="0" xfId="0" applyNumberFormat="1" applyFont="1" applyFill="1" applyAlignment="1">
      <alignment horizontal="center"/>
    </xf>
    <xf numFmtId="2" fontId="12" fillId="4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43" fontId="29" fillId="7" borderId="0" xfId="2" applyNumberFormat="1" applyFont="1" applyFill="1"/>
  </cellXfs>
  <cellStyles count="3">
    <cellStyle name="20% - Accent2" xfId="1" builtinId="34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7365241714406"/>
          <c:y val="9.2198900843932993E-2"/>
          <c:w val="0.78775588703352906"/>
          <c:h val="0.66312286376213347"/>
        </c:manualLayout>
      </c:layout>
      <c:lineChart>
        <c:grouping val="standard"/>
        <c:varyColors val="0"/>
        <c:ser>
          <c:idx val="0"/>
          <c:order val="0"/>
          <c:tx>
            <c:strRef>
              <c:f>[1]HHI!$R$51</c:f>
              <c:strCache>
                <c:ptCount val="1"/>
                <c:pt idx="0">
                  <c:v>Average HHI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HHI!$A$2:$A$9</c:f>
              <c:numCache>
                <c:formatCode>0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</c:numCache>
            </c:numRef>
          </c:cat>
          <c:val>
            <c:numRef>
              <c:f>[1]HHI!$R$52:$R$59</c:f>
              <c:numCache>
                <c:formatCode>General</c:formatCode>
                <c:ptCount val="8"/>
                <c:pt idx="0">
                  <c:v>0.61838125466207206</c:v>
                </c:pt>
                <c:pt idx="1">
                  <c:v>0.47631113465766062</c:v>
                </c:pt>
                <c:pt idx="2">
                  <c:v>0.3724830863695896</c:v>
                </c:pt>
                <c:pt idx="3">
                  <c:v>0.2948026731944432</c:v>
                </c:pt>
                <c:pt idx="4">
                  <c:v>0.21360000000000001</c:v>
                </c:pt>
                <c:pt idx="5">
                  <c:v>0.21360000000000001</c:v>
                </c:pt>
                <c:pt idx="6">
                  <c:v>0.18659999999999999</c:v>
                </c:pt>
                <c:pt idx="7">
                  <c:v>0.15110000000000001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E-443D-BA90-2842D699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45152"/>
        <c:axId val="1972949504"/>
      </c:lineChart>
      <c:catAx>
        <c:axId val="197294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No. of Operators</a:t>
                </a:r>
              </a:p>
            </c:rich>
          </c:tx>
          <c:layout>
            <c:manualLayout>
              <c:xMode val="edge"/>
              <c:yMode val="edge"/>
              <c:x val="0.4102045101505169"/>
              <c:y val="0.865251205301464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9495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7294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HHI</a:t>
                </a:r>
              </a:p>
            </c:rich>
          </c:tx>
          <c:layout>
            <c:manualLayout>
              <c:xMode val="edge"/>
              <c:yMode val="edge"/>
              <c:x val="3.2653061224489799E-2"/>
              <c:y val="0.2765968615625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945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54428754813867E-2"/>
          <c:y val="4.0935672514619881E-2"/>
          <c:w val="0.74069319640564824"/>
          <c:h val="0.85672514619883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per MHz per pop'!$H$2:$I$2</c:f>
              <c:strCache>
                <c:ptCount val="1"/>
                <c:pt idx="0">
                  <c:v>800 MHz in 2013</c:v>
                </c:pt>
              </c:strCache>
            </c:strRef>
          </c:tx>
          <c:invertIfNegative val="0"/>
          <c:cat>
            <c:strRef>
              <c:f>('Price per MHz per pop'!$A$7,'Price per MHz per pop'!$A$14,'Price per MHz per pop'!$A$17)</c:f>
              <c:strCache>
                <c:ptCount val="3"/>
                <c:pt idx="0">
                  <c:v>Delhi</c:v>
                </c:pt>
                <c:pt idx="1">
                  <c:v>Kolkata</c:v>
                </c:pt>
                <c:pt idx="2">
                  <c:v>Mumbai</c:v>
                </c:pt>
              </c:strCache>
            </c:strRef>
          </c:cat>
          <c:val>
            <c:numRef>
              <c:f>('Price per MHz per pop'!$H$7,'Price per MHz per pop'!$H$14,'Price per MHz per pop'!$H$17)</c:f>
              <c:numCache>
                <c:formatCode>0.00</c:formatCode>
                <c:ptCount val="3"/>
                <c:pt idx="0">
                  <c:v>200.83604831321819</c:v>
                </c:pt>
                <c:pt idx="1">
                  <c:v>36.167667792917328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089-9AB9-4501463C0424}"/>
            </c:ext>
          </c:extLst>
        </c:ser>
        <c:ser>
          <c:idx val="1"/>
          <c:order val="1"/>
          <c:tx>
            <c:strRef>
              <c:f>'Price per MHz per pop'!$N$2:$O$2</c:f>
              <c:strCache>
                <c:ptCount val="1"/>
                <c:pt idx="0">
                  <c:v>900 MHz in 2014</c:v>
                </c:pt>
              </c:strCache>
            </c:strRef>
          </c:tx>
          <c:invertIfNegative val="0"/>
          <c:cat>
            <c:strRef>
              <c:f>('Price per MHz per pop'!$A$7,'Price per MHz per pop'!$A$14,'Price per MHz per pop'!$A$17)</c:f>
              <c:strCache>
                <c:ptCount val="3"/>
                <c:pt idx="0">
                  <c:v>Delhi</c:v>
                </c:pt>
                <c:pt idx="1">
                  <c:v>Kolkata</c:v>
                </c:pt>
                <c:pt idx="2">
                  <c:v>Mumbai</c:v>
                </c:pt>
              </c:strCache>
            </c:strRef>
          </c:cat>
          <c:val>
            <c:numRef>
              <c:f>('Price per MHz per pop'!$N$7,'Price per MHz per pop'!$N$14,'Price per MHz per pop'!$N$17)</c:f>
              <c:numCache>
                <c:formatCode>0.00</c:formatCode>
                <c:ptCount val="3"/>
                <c:pt idx="0">
                  <c:v>407.17443886634032</c:v>
                </c:pt>
                <c:pt idx="1">
                  <c:v>117.38093368047026</c:v>
                </c:pt>
                <c:pt idx="2">
                  <c:v>261.49855100962361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4-4089-9AB9-4501463C0424}"/>
            </c:ext>
          </c:extLst>
        </c:ser>
        <c:ser>
          <c:idx val="2"/>
          <c:order val="2"/>
          <c:tx>
            <c:strRef>
              <c:f>'Price per MHz per pop'!$T$2:$V$2</c:f>
              <c:strCache>
                <c:ptCount val="1"/>
                <c:pt idx="0">
                  <c:v>1800 MHz in 2001</c:v>
                </c:pt>
              </c:strCache>
            </c:strRef>
          </c:tx>
          <c:invertIfNegative val="0"/>
          <c:cat>
            <c:strRef>
              <c:f>('Price per MHz per pop'!$A$7,'Price per MHz per pop'!$A$14,'Price per MHz per pop'!$A$17)</c:f>
              <c:strCache>
                <c:ptCount val="3"/>
                <c:pt idx="0">
                  <c:v>Delhi</c:v>
                </c:pt>
                <c:pt idx="1">
                  <c:v>Kolkata</c:v>
                </c:pt>
                <c:pt idx="2">
                  <c:v>Mumbai</c:v>
                </c:pt>
              </c:strCache>
            </c:strRef>
          </c:cat>
          <c:val>
            <c:numRef>
              <c:f>('Price per MHz per pop'!$U$7,'Price per MHz per pop'!$U$14,'Price per MHz per pop'!$U$17)</c:f>
              <c:numCache>
                <c:formatCode>0.00</c:formatCode>
                <c:ptCount val="3"/>
                <c:pt idx="0">
                  <c:v>28.557619009733944</c:v>
                </c:pt>
                <c:pt idx="1">
                  <c:v>13.423958407702923</c:v>
                </c:pt>
                <c:pt idx="2">
                  <c:v>28.165722993019852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4-4089-9AB9-4501463C0424}"/>
            </c:ext>
          </c:extLst>
        </c:ser>
        <c:ser>
          <c:idx val="3"/>
          <c:order val="3"/>
          <c:tx>
            <c:strRef>
              <c:f>'Price per MHz per pop'!$W$2:$X$2</c:f>
              <c:strCache>
                <c:ptCount val="1"/>
                <c:pt idx="0">
                  <c:v>1800 MHz in 2012</c:v>
                </c:pt>
              </c:strCache>
            </c:strRef>
          </c:tx>
          <c:invertIfNegative val="0"/>
          <c:cat>
            <c:strRef>
              <c:f>('Price per MHz per pop'!$A$7,'Price per MHz per pop'!$A$14,'Price per MHz per pop'!$A$17)</c:f>
              <c:strCache>
                <c:ptCount val="3"/>
                <c:pt idx="0">
                  <c:v>Delhi</c:v>
                </c:pt>
                <c:pt idx="1">
                  <c:v>Kolkata</c:v>
                </c:pt>
                <c:pt idx="2">
                  <c:v>Mumbai</c:v>
                </c:pt>
              </c:strCache>
            </c:strRef>
          </c:cat>
          <c:val>
            <c:numRef>
              <c:f>('Price per MHz per pop'!$W$7,'Price per MHz per pop'!$W$14,'Price per MHz per pop'!$W$17)</c:f>
              <c:numCache>
                <c:formatCode>0.00</c:formatCode>
                <c:ptCount val="3"/>
                <c:pt idx="1">
                  <c:v>56.425599305579652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4-4089-9AB9-4501463C0424}"/>
            </c:ext>
          </c:extLst>
        </c:ser>
        <c:ser>
          <c:idx val="4"/>
          <c:order val="4"/>
          <c:tx>
            <c:strRef>
              <c:f>'Price per MHz per pop'!$Y$2:$Z$2</c:f>
              <c:strCache>
                <c:ptCount val="1"/>
                <c:pt idx="0">
                  <c:v>1800 MHz in 2014</c:v>
                </c:pt>
              </c:strCache>
            </c:strRef>
          </c:tx>
          <c:invertIfNegative val="0"/>
          <c:cat>
            <c:strRef>
              <c:f>('Price per MHz per pop'!$A$7,'Price per MHz per pop'!$A$14,'Price per MHz per pop'!$A$17)</c:f>
              <c:strCache>
                <c:ptCount val="3"/>
                <c:pt idx="0">
                  <c:v>Delhi</c:v>
                </c:pt>
                <c:pt idx="1">
                  <c:v>Kolkata</c:v>
                </c:pt>
                <c:pt idx="2">
                  <c:v>Mumbai</c:v>
                </c:pt>
              </c:strCache>
            </c:strRef>
          </c:cat>
          <c:val>
            <c:numRef>
              <c:f>('Price per MHz per pop'!$Y$7,'Price per MHz per pop'!$Y$14,'Price per MHz per pop'!$Y$17)</c:f>
              <c:numCache>
                <c:formatCode>0.00</c:formatCode>
                <c:ptCount val="3"/>
                <c:pt idx="0">
                  <c:v>200.02631147072424</c:v>
                </c:pt>
                <c:pt idx="1">
                  <c:v>44.026142725552752</c:v>
                </c:pt>
                <c:pt idx="2">
                  <c:v>126.3165850478922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54-4089-9AB9-4501463C0424}"/>
            </c:ext>
          </c:extLst>
        </c:ser>
        <c:ser>
          <c:idx val="5"/>
          <c:order val="5"/>
          <c:tx>
            <c:strRef>
              <c:f>'Price per MHz per pop'!$AE$2:$AF$2</c:f>
              <c:strCache>
                <c:ptCount val="1"/>
                <c:pt idx="0">
                  <c:v>2100 MHz in 2010</c:v>
                </c:pt>
              </c:strCache>
            </c:strRef>
          </c:tx>
          <c:invertIfNegative val="0"/>
          <c:cat>
            <c:strRef>
              <c:f>('Price per MHz per pop'!$A$7,'Price per MHz per pop'!$A$14,'Price per MHz per pop'!$A$17)</c:f>
              <c:strCache>
                <c:ptCount val="3"/>
                <c:pt idx="0">
                  <c:v>Delhi</c:v>
                </c:pt>
                <c:pt idx="1">
                  <c:v>Kolkata</c:v>
                </c:pt>
                <c:pt idx="2">
                  <c:v>Mumbai</c:v>
                </c:pt>
              </c:strCache>
            </c:strRef>
          </c:cat>
          <c:val>
            <c:numRef>
              <c:f>('Price per MHz per pop'!$AE$7,'Price per MHz per pop'!$AE$14,'Price per MHz per pop'!$AE$17)</c:f>
              <c:numCache>
                <c:formatCode>0.00</c:formatCode>
                <c:ptCount val="3"/>
                <c:pt idx="0">
                  <c:v>385.5450891883437</c:v>
                </c:pt>
                <c:pt idx="1">
                  <c:v>69.430024882556921</c:v>
                </c:pt>
                <c:pt idx="2">
                  <c:v>318.96001990873918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54-4089-9AB9-4501463C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946784"/>
        <c:axId val="1972955488"/>
      </c:barChart>
      <c:catAx>
        <c:axId val="19729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2955488"/>
        <c:crosses val="autoZero"/>
        <c:auto val="1"/>
        <c:lblAlgn val="ctr"/>
        <c:lblOffset val="100"/>
        <c:noMultiLvlLbl val="0"/>
      </c:catAx>
      <c:valAx>
        <c:axId val="1972955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7294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68677792041079"/>
          <c:y val="0.28655062853985358"/>
          <c:w val="0.15404364569961493"/>
          <c:h val="0.421053859495633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68549422336333E-2"/>
          <c:y val="3.7533512064343161E-2"/>
          <c:w val="0.74967907573812576"/>
          <c:h val="0.86863270777479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per MHz per pop'!$H$2:$I$2</c:f>
              <c:strCache>
                <c:ptCount val="1"/>
                <c:pt idx="0">
                  <c:v>800 MHz in 2013</c:v>
                </c:pt>
              </c:strCache>
            </c:strRef>
          </c:tx>
          <c:invertIfNegative val="0"/>
          <c:cat>
            <c:strRef>
              <c:f>('Price per MHz per pop'!$A$4,'Price per MHz per pop'!$A$8,'Price per MHz per pop'!$A$12,'Price per MHz per pop'!$A$15,'Price per MHz per pop'!$A$22)</c:f>
              <c:strCache>
                <c:ptCount val="5"/>
                <c:pt idx="0">
                  <c:v>AP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</c:strCache>
            </c:strRef>
          </c:cat>
          <c:val>
            <c:numRef>
              <c:f>('Price per MHz per pop'!$H$4,'Price per MHz per pop'!$H$8,'Price per MHz per pop'!$H$12,'Price per MHz per pop'!$H$15,'Price per MHz per pop'!$H$22)</c:f>
              <c:numCache>
                <c:formatCode>0.00</c:formatCode>
                <c:ptCount val="5"/>
                <c:pt idx="1">
                  <c:v>18.961984355503777</c:v>
                </c:pt>
                <c:pt idx="4">
                  <c:v>21.99980454576357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0-442F-822C-8EAFA866944D}"/>
            </c:ext>
          </c:extLst>
        </c:ser>
        <c:ser>
          <c:idx val="1"/>
          <c:order val="1"/>
          <c:tx>
            <c:strRef>
              <c:f>'Price per MHz per pop'!$N$2:$O$2</c:f>
              <c:strCache>
                <c:ptCount val="1"/>
                <c:pt idx="0">
                  <c:v>900 MHz in 2014</c:v>
                </c:pt>
              </c:strCache>
            </c:strRef>
          </c:tx>
          <c:invertIfNegative val="0"/>
          <c:cat>
            <c:strRef>
              <c:f>('Price per MHz per pop'!$A$4,'Price per MHz per pop'!$A$8,'Price per MHz per pop'!$A$12,'Price per MHz per pop'!$A$15,'Price per MHz per pop'!$A$22)</c:f>
              <c:strCache>
                <c:ptCount val="5"/>
                <c:pt idx="0">
                  <c:v>AP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</c:strCache>
            </c:strRef>
          </c:cat>
          <c:val>
            <c:numRef>
              <c:f>('Price per MHz per pop'!$N$4,'Price per MHz per pop'!$N$8,'Price per MHz per pop'!$N$12,'Price per MHz per pop'!$N$15,'Price per MHz per pop'!$N$22)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380-442F-822C-8EAFA866944D}"/>
            </c:ext>
          </c:extLst>
        </c:ser>
        <c:ser>
          <c:idx val="2"/>
          <c:order val="2"/>
          <c:tx>
            <c:strRef>
              <c:f>'Price per MHz per pop'!$T$2:$V$2</c:f>
              <c:strCache>
                <c:ptCount val="1"/>
                <c:pt idx="0">
                  <c:v>1800 MHz in 2001</c:v>
                </c:pt>
              </c:strCache>
            </c:strRef>
          </c:tx>
          <c:invertIfNegative val="0"/>
          <c:cat>
            <c:strRef>
              <c:f>('Price per MHz per pop'!$A$4,'Price per MHz per pop'!$A$8,'Price per MHz per pop'!$A$12,'Price per MHz per pop'!$A$15,'Price per MHz per pop'!$A$22)</c:f>
              <c:strCache>
                <c:ptCount val="5"/>
                <c:pt idx="0">
                  <c:v>AP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</c:strCache>
            </c:strRef>
          </c:cat>
          <c:val>
            <c:numRef>
              <c:f>('Price per MHz per pop'!$U$4,'Price per MHz per pop'!$U$8,'Price per MHz per pop'!$U$12,'Price per MHz per pop'!$U$15,'Price per MHz per pop'!$U$22)</c:f>
              <c:numCache>
                <c:formatCode>0.00</c:formatCode>
                <c:ptCount val="5"/>
                <c:pt idx="0">
                  <c:v>3.0957268823266455</c:v>
                </c:pt>
                <c:pt idx="1">
                  <c:v>4.9442523517233861</c:v>
                </c:pt>
                <c:pt idx="2">
                  <c:v>8.9678081569921755</c:v>
                </c:pt>
                <c:pt idx="3">
                  <c:v>5.3053531019248235</c:v>
                </c:pt>
                <c:pt idx="4">
                  <c:v>7.6257334311436971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0-442F-822C-8EAFA866944D}"/>
            </c:ext>
          </c:extLst>
        </c:ser>
        <c:ser>
          <c:idx val="3"/>
          <c:order val="3"/>
          <c:tx>
            <c:strRef>
              <c:f>'Price per MHz per pop'!$W$2:$X$2</c:f>
              <c:strCache>
                <c:ptCount val="1"/>
                <c:pt idx="0">
                  <c:v>1800 MHz in 2012</c:v>
                </c:pt>
              </c:strCache>
            </c:strRef>
          </c:tx>
          <c:invertIfNegative val="0"/>
          <c:cat>
            <c:strRef>
              <c:f>('Price per MHz per pop'!$A$4,'Price per MHz per pop'!$A$8,'Price per MHz per pop'!$A$12,'Price per MHz per pop'!$A$15,'Price per MHz per pop'!$A$22)</c:f>
              <c:strCache>
                <c:ptCount val="5"/>
                <c:pt idx="0">
                  <c:v>AP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</c:strCache>
            </c:strRef>
          </c:cat>
          <c:val>
            <c:numRef>
              <c:f>('Price per MHz per pop'!$W$4,'Price per MHz per pop'!$W$8,'Price per MHz per pop'!$W$12,'Price per MHz per pop'!$W$15,'Price per MHz per pop'!$W$22)</c:f>
              <c:numCache>
                <c:formatCode>0.00</c:formatCode>
                <c:ptCount val="5"/>
                <c:pt idx="0">
                  <c:v>26.349832810035984</c:v>
                </c:pt>
                <c:pt idx="1">
                  <c:v>29.512127505956304</c:v>
                </c:pt>
                <c:pt idx="3">
                  <c:v>4.4534489181473962</c:v>
                </c:pt>
                <c:pt idx="4">
                  <c:v>34.32282090801111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0-442F-822C-8EAFA866944D}"/>
            </c:ext>
          </c:extLst>
        </c:ser>
        <c:ser>
          <c:idx val="4"/>
          <c:order val="4"/>
          <c:tx>
            <c:strRef>
              <c:f>'Price per MHz per pop'!$Y$2:$Z$2</c:f>
              <c:strCache>
                <c:ptCount val="1"/>
                <c:pt idx="0">
                  <c:v>1800 MHz in 2014</c:v>
                </c:pt>
              </c:strCache>
            </c:strRef>
          </c:tx>
          <c:invertIfNegative val="0"/>
          <c:cat>
            <c:strRef>
              <c:f>('Price per MHz per pop'!$A$4,'Price per MHz per pop'!$A$8,'Price per MHz per pop'!$A$12,'Price per MHz per pop'!$A$15,'Price per MHz per pop'!$A$22)</c:f>
              <c:strCache>
                <c:ptCount val="5"/>
                <c:pt idx="0">
                  <c:v>AP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</c:strCache>
            </c:strRef>
          </c:cat>
          <c:val>
            <c:numRef>
              <c:f>('Price per MHz per pop'!$Y$4,'Price per MHz per pop'!$Y$8,'Price per MHz per pop'!$Y$12,'Price per MHz per pop'!$Y$15,'Price per MHz per pop'!$Y$22)</c:f>
              <c:numCache>
                <c:formatCode>0.00</c:formatCode>
                <c:ptCount val="5"/>
                <c:pt idx="0">
                  <c:v>18.195677486190846</c:v>
                </c:pt>
                <c:pt idx="1">
                  <c:v>37.939118831799256</c:v>
                </c:pt>
                <c:pt idx="2">
                  <c:v>24.132754748393275</c:v>
                </c:pt>
                <c:pt idx="3">
                  <c:v>5.0531493201617987</c:v>
                </c:pt>
                <c:pt idx="4">
                  <c:v>28.349513822823003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0-442F-822C-8EAFA866944D}"/>
            </c:ext>
          </c:extLst>
        </c:ser>
        <c:ser>
          <c:idx val="5"/>
          <c:order val="5"/>
          <c:tx>
            <c:strRef>
              <c:f>'Price per MHz per pop'!$AE$2:$AF$2</c:f>
              <c:strCache>
                <c:ptCount val="1"/>
                <c:pt idx="0">
                  <c:v>2100 MHz in 2010</c:v>
                </c:pt>
              </c:strCache>
            </c:strRef>
          </c:tx>
          <c:invertIfNegative val="0"/>
          <c:cat>
            <c:strRef>
              <c:f>('Price per MHz per pop'!$A$4,'Price per MHz per pop'!$A$8,'Price per MHz per pop'!$A$12,'Price per MHz per pop'!$A$15,'Price per MHz per pop'!$A$22)</c:f>
              <c:strCache>
                <c:ptCount val="5"/>
                <c:pt idx="0">
                  <c:v>AP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</c:strCache>
            </c:strRef>
          </c:cat>
          <c:val>
            <c:numRef>
              <c:f>('Price per MHz per pop'!$AE$4,'Price per MHz per pop'!$AE$8,'Price per MHz per pop'!$AE$12,'Price per MHz per pop'!$AE$15,'Price per MHz per pop'!$AE$22)</c:f>
              <c:numCache>
                <c:formatCode>0.00</c:formatCode>
                <c:ptCount val="5"/>
                <c:pt idx="0">
                  <c:v>32.422654696459823</c:v>
                </c:pt>
                <c:pt idx="1">
                  <c:v>36.313240325661489</c:v>
                </c:pt>
                <c:pt idx="2">
                  <c:v>52.03082063315675</c:v>
                </c:pt>
                <c:pt idx="3">
                  <c:v>5.4791097252343306</c:v>
                </c:pt>
                <c:pt idx="4">
                  <c:v>42.233322084480477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80-442F-822C-8EAFA866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956576"/>
        <c:axId val="1972945696"/>
      </c:barChart>
      <c:catAx>
        <c:axId val="19729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2945696"/>
        <c:crosses val="autoZero"/>
        <c:auto val="1"/>
        <c:lblAlgn val="ctr"/>
        <c:lblOffset val="100"/>
        <c:noMultiLvlLbl val="0"/>
      </c:catAx>
      <c:valAx>
        <c:axId val="1972945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72956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40308087291404"/>
          <c:y val="0.30831127342326176"/>
          <c:w val="0.15404364569961493"/>
          <c:h val="0.38605954416555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68549422336333E-2"/>
          <c:y val="4.2424242424242427E-2"/>
          <c:w val="0.74967907573812576"/>
          <c:h val="0.85151515151515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per MHz per pop'!$H$2:$I$2</c:f>
              <c:strCache>
                <c:ptCount val="1"/>
                <c:pt idx="0">
                  <c:v>800 MHz in 2013</c:v>
                </c:pt>
              </c:strCache>
            </c:strRef>
          </c:tx>
          <c:invertIfNegative val="0"/>
          <c:cat>
            <c:strRef>
              <c:f>('Price per MHz per pop'!$A$9,'Price per MHz per pop'!$A$13,'Price per MHz per pop'!$A$16,'Price per MHz per pop'!$A$20,'Price per MHz per pop'!$A$21,'Price per MHz per pop'!$A$23,'Price per MHz per pop'!$A$24,'Price per MHz per pop'!$A$25)</c:f>
              <c:strCache>
                <c:ptCount val="8"/>
                <c:pt idx="0">
                  <c:v>Haryana</c:v>
                </c:pt>
                <c:pt idx="1">
                  <c:v>Kerala</c:v>
                </c:pt>
                <c:pt idx="2">
                  <c:v>MP</c:v>
                </c:pt>
                <c:pt idx="3">
                  <c:v>Punjab</c:v>
                </c:pt>
                <c:pt idx="4">
                  <c:v>Rajasthan</c:v>
                </c:pt>
                <c:pt idx="5">
                  <c:v>UP(E)</c:v>
                </c:pt>
                <c:pt idx="6">
                  <c:v>UP(W)</c:v>
                </c:pt>
                <c:pt idx="7">
                  <c:v>WB, A&amp;N</c:v>
                </c:pt>
              </c:strCache>
            </c:strRef>
          </c:cat>
          <c:val>
            <c:numRef>
              <c:f>('Price per MHz per pop'!$H$9,'Price per MHz per pop'!$H$13,'Price per MHz per pop'!$H$16,'Price per MHz per pop'!$H$20,'Price per MHz per pop'!$H$21,'Price per MHz per pop'!$H$23,'Price per MHz per pop'!$H$24,'Price per MHz per pop'!$H$25)</c:f>
              <c:numCache>
                <c:formatCode>0.00</c:formatCode>
                <c:ptCount val="8"/>
                <c:pt idx="1">
                  <c:v>9.2477655581727038</c:v>
                </c:pt>
                <c:pt idx="6">
                  <c:v>5.0363130322979242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A-4DCD-A0F5-B87534326CDC}"/>
            </c:ext>
          </c:extLst>
        </c:ser>
        <c:ser>
          <c:idx val="1"/>
          <c:order val="1"/>
          <c:tx>
            <c:strRef>
              <c:f>'Price per MHz per pop'!$N$2:$O$2</c:f>
              <c:strCache>
                <c:ptCount val="1"/>
                <c:pt idx="0">
                  <c:v>900 MHz in 2014</c:v>
                </c:pt>
              </c:strCache>
            </c:strRef>
          </c:tx>
          <c:invertIfNegative val="0"/>
          <c:cat>
            <c:strRef>
              <c:f>('Price per MHz per pop'!$A$9,'Price per MHz per pop'!$A$13,'Price per MHz per pop'!$A$16,'Price per MHz per pop'!$A$20,'Price per MHz per pop'!$A$21,'Price per MHz per pop'!$A$23,'Price per MHz per pop'!$A$24,'Price per MHz per pop'!$A$25)</c:f>
              <c:strCache>
                <c:ptCount val="8"/>
                <c:pt idx="0">
                  <c:v>Haryana</c:v>
                </c:pt>
                <c:pt idx="1">
                  <c:v>Kerala</c:v>
                </c:pt>
                <c:pt idx="2">
                  <c:v>MP</c:v>
                </c:pt>
                <c:pt idx="3">
                  <c:v>Punjab</c:v>
                </c:pt>
                <c:pt idx="4">
                  <c:v>Rajasthan</c:v>
                </c:pt>
                <c:pt idx="5">
                  <c:v>UP(E)</c:v>
                </c:pt>
                <c:pt idx="6">
                  <c:v>UP(W)</c:v>
                </c:pt>
                <c:pt idx="7">
                  <c:v>WB, A&amp;N</c:v>
                </c:pt>
              </c:strCache>
            </c:strRef>
          </c:cat>
          <c:val>
            <c:numRef>
              <c:f>('Price per MHz per pop'!$N$9,'Price per MHz per pop'!$N$13,'Price per MHz per pop'!$N$16,'Price per MHz per pop'!$N$20,'Price per MHz per pop'!$N$21,'Price per MHz per pop'!$N$23,'Price per MHz per pop'!$N$24,'Price per MHz per pop'!$N$25)</c:f>
              <c:numCache>
                <c:formatCode>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E0A-4DCD-A0F5-B87534326CDC}"/>
            </c:ext>
          </c:extLst>
        </c:ser>
        <c:ser>
          <c:idx val="2"/>
          <c:order val="2"/>
          <c:tx>
            <c:strRef>
              <c:f>'Price per MHz per pop'!$T$2:$V$2</c:f>
              <c:strCache>
                <c:ptCount val="1"/>
                <c:pt idx="0">
                  <c:v>1800 MHz in 2001</c:v>
                </c:pt>
              </c:strCache>
            </c:strRef>
          </c:tx>
          <c:invertIfNegative val="0"/>
          <c:cat>
            <c:strRef>
              <c:f>('Price per MHz per pop'!$A$9,'Price per MHz per pop'!$A$13,'Price per MHz per pop'!$A$16,'Price per MHz per pop'!$A$20,'Price per MHz per pop'!$A$21,'Price per MHz per pop'!$A$23,'Price per MHz per pop'!$A$24,'Price per MHz per pop'!$A$25)</c:f>
              <c:strCache>
                <c:ptCount val="8"/>
                <c:pt idx="0">
                  <c:v>Haryana</c:v>
                </c:pt>
                <c:pt idx="1">
                  <c:v>Kerala</c:v>
                </c:pt>
                <c:pt idx="2">
                  <c:v>MP</c:v>
                </c:pt>
                <c:pt idx="3">
                  <c:v>Punjab</c:v>
                </c:pt>
                <c:pt idx="4">
                  <c:v>Rajasthan</c:v>
                </c:pt>
                <c:pt idx="5">
                  <c:v>UP(E)</c:v>
                </c:pt>
                <c:pt idx="6">
                  <c:v>UP(W)</c:v>
                </c:pt>
                <c:pt idx="7">
                  <c:v>WB, A&amp;N</c:v>
                </c:pt>
              </c:strCache>
            </c:strRef>
          </c:cat>
          <c:val>
            <c:numRef>
              <c:f>('Price per MHz per pop'!$U$9,'Price per MHz per pop'!$U$13,'Price per MHz per pop'!$U$16,'Price per MHz per pop'!$U$20,'Price per MHz per pop'!$U$21,'Price per MHz per pop'!$U$23,'Price per MHz per pop'!$U$24,'Price per MHz per pop'!$U$25)</c:f>
              <c:numCache>
                <c:formatCode>0.00</c:formatCode>
                <c:ptCount val="8"/>
                <c:pt idx="0">
                  <c:v>2.3371646183140036</c:v>
                </c:pt>
                <c:pt idx="1">
                  <c:v>2.9072593704914169</c:v>
                </c:pt>
                <c:pt idx="2">
                  <c:v>0.4911905991858051</c:v>
                </c:pt>
                <c:pt idx="3">
                  <c:v>13.690354939672464</c:v>
                </c:pt>
                <c:pt idx="4">
                  <c:v>1.3117653851054343</c:v>
                </c:pt>
                <c:pt idx="5">
                  <c:v>1.2508774625962977</c:v>
                </c:pt>
                <c:pt idx="6">
                  <c:v>0.76642335693656527</c:v>
                </c:pt>
                <c:pt idx="7">
                  <c:v>2.7856781114620921E-2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A-4DCD-A0F5-B87534326CDC}"/>
            </c:ext>
          </c:extLst>
        </c:ser>
        <c:ser>
          <c:idx val="3"/>
          <c:order val="3"/>
          <c:tx>
            <c:strRef>
              <c:f>'Price per MHz per pop'!$W$2:$X$2</c:f>
              <c:strCache>
                <c:ptCount val="1"/>
                <c:pt idx="0">
                  <c:v>1800 MHz in 2012</c:v>
                </c:pt>
              </c:strCache>
            </c:strRef>
          </c:tx>
          <c:invertIfNegative val="0"/>
          <c:cat>
            <c:strRef>
              <c:f>('Price per MHz per pop'!$A$9,'Price per MHz per pop'!$A$13,'Price per MHz per pop'!$A$16,'Price per MHz per pop'!$A$20,'Price per MHz per pop'!$A$21,'Price per MHz per pop'!$A$23,'Price per MHz per pop'!$A$24,'Price per MHz per pop'!$A$25)</c:f>
              <c:strCache>
                <c:ptCount val="8"/>
                <c:pt idx="0">
                  <c:v>Haryana</c:v>
                </c:pt>
                <c:pt idx="1">
                  <c:v>Kerala</c:v>
                </c:pt>
                <c:pt idx="2">
                  <c:v>MP</c:v>
                </c:pt>
                <c:pt idx="3">
                  <c:v>Punjab</c:v>
                </c:pt>
                <c:pt idx="4">
                  <c:v>Rajasthan</c:v>
                </c:pt>
                <c:pt idx="5">
                  <c:v>UP(E)</c:v>
                </c:pt>
                <c:pt idx="6">
                  <c:v>UP(W)</c:v>
                </c:pt>
                <c:pt idx="7">
                  <c:v>WB, A&amp;N</c:v>
                </c:pt>
              </c:strCache>
            </c:strRef>
          </c:cat>
          <c:val>
            <c:numRef>
              <c:f>('Price per MHz per pop'!$W$9,'Price per MHz per pop'!$W$13,'Price per MHz per pop'!$W$16,'Price per MHz per pop'!$W$20,'Price per MHz per pop'!$W$21,'Price per MHz per pop'!$W$23,'Price per MHz per pop'!$W$24,'Price per MHz per pop'!$W$25)</c:f>
              <c:numCache>
                <c:formatCode>0.00</c:formatCode>
                <c:ptCount val="8"/>
                <c:pt idx="0">
                  <c:v>14.72266620251596</c:v>
                </c:pt>
                <c:pt idx="1">
                  <c:v>14.426237600260398</c:v>
                </c:pt>
                <c:pt idx="2">
                  <c:v>29.219324243895734</c:v>
                </c:pt>
                <c:pt idx="3">
                  <c:v>18.600735229131374</c:v>
                </c:pt>
                <c:pt idx="5">
                  <c:v>6.1309936452605012</c:v>
                </c:pt>
                <c:pt idx="6">
                  <c:v>7.8570292637723824</c:v>
                </c:pt>
                <c:pt idx="7">
                  <c:v>9.0185742172936205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A-4DCD-A0F5-B87534326CDC}"/>
            </c:ext>
          </c:extLst>
        </c:ser>
        <c:ser>
          <c:idx val="4"/>
          <c:order val="4"/>
          <c:tx>
            <c:strRef>
              <c:f>'Price per MHz per pop'!$Y$2:$Z$2</c:f>
              <c:strCache>
                <c:ptCount val="1"/>
                <c:pt idx="0">
                  <c:v>1800 MHz in 2014</c:v>
                </c:pt>
              </c:strCache>
            </c:strRef>
          </c:tx>
          <c:invertIfNegative val="0"/>
          <c:cat>
            <c:strRef>
              <c:f>('Price per MHz per pop'!$A$9,'Price per MHz per pop'!$A$13,'Price per MHz per pop'!$A$16,'Price per MHz per pop'!$A$20,'Price per MHz per pop'!$A$21,'Price per MHz per pop'!$A$23,'Price per MHz per pop'!$A$24,'Price per MHz per pop'!$A$25)</c:f>
              <c:strCache>
                <c:ptCount val="8"/>
                <c:pt idx="0">
                  <c:v>Haryana</c:v>
                </c:pt>
                <c:pt idx="1">
                  <c:v>Kerala</c:v>
                </c:pt>
                <c:pt idx="2">
                  <c:v>MP</c:v>
                </c:pt>
                <c:pt idx="3">
                  <c:v>Punjab</c:v>
                </c:pt>
                <c:pt idx="4">
                  <c:v>Rajasthan</c:v>
                </c:pt>
                <c:pt idx="5">
                  <c:v>UP(E)</c:v>
                </c:pt>
                <c:pt idx="6">
                  <c:v>UP(W)</c:v>
                </c:pt>
                <c:pt idx="7">
                  <c:v>WB, A&amp;N</c:v>
                </c:pt>
              </c:strCache>
            </c:strRef>
          </c:cat>
          <c:val>
            <c:numRef>
              <c:f>('Price per MHz per pop'!$Y$9,'Price per MHz per pop'!$Y$13,'Price per MHz per pop'!$Y$16,'Price per MHz per pop'!$Y$20,'Price per MHz per pop'!$Y$21,'Price per MHz per pop'!$Y$23,'Price per MHz per pop'!$Y$24,'Price per MHz per pop'!$Y$25)</c:f>
              <c:numCache>
                <c:formatCode>0.00</c:formatCode>
                <c:ptCount val="8"/>
                <c:pt idx="0">
                  <c:v>10.386254769229591</c:v>
                </c:pt>
                <c:pt idx="1">
                  <c:v>13.963416447204562</c:v>
                </c:pt>
                <c:pt idx="2">
                  <c:v>39.237249807530134</c:v>
                </c:pt>
                <c:pt idx="3">
                  <c:v>18.146226836952948</c:v>
                </c:pt>
                <c:pt idx="4">
                  <c:v>3.744497177035667</c:v>
                </c:pt>
                <c:pt idx="5">
                  <c:v>6.2614559835784078</c:v>
                </c:pt>
                <c:pt idx="6">
                  <c:v>8.4422278785320035</c:v>
                </c:pt>
                <c:pt idx="7">
                  <c:v>2.5105953591930641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A-4DCD-A0F5-B87534326CDC}"/>
            </c:ext>
          </c:extLst>
        </c:ser>
        <c:ser>
          <c:idx val="5"/>
          <c:order val="5"/>
          <c:tx>
            <c:strRef>
              <c:f>'Price per MHz per pop'!$AE$2:$AF$2</c:f>
              <c:strCache>
                <c:ptCount val="1"/>
                <c:pt idx="0">
                  <c:v>2100 MHz in 2010</c:v>
                </c:pt>
              </c:strCache>
            </c:strRef>
          </c:tx>
          <c:invertIfNegative val="0"/>
          <c:cat>
            <c:strRef>
              <c:f>('Price per MHz per pop'!$A$9,'Price per MHz per pop'!$A$13,'Price per MHz per pop'!$A$16,'Price per MHz per pop'!$A$20,'Price per MHz per pop'!$A$21,'Price per MHz per pop'!$A$23,'Price per MHz per pop'!$A$24,'Price per MHz per pop'!$A$25)</c:f>
              <c:strCache>
                <c:ptCount val="8"/>
                <c:pt idx="0">
                  <c:v>Haryana</c:v>
                </c:pt>
                <c:pt idx="1">
                  <c:v>Kerala</c:v>
                </c:pt>
                <c:pt idx="2">
                  <c:v>MP</c:v>
                </c:pt>
                <c:pt idx="3">
                  <c:v>Punjab</c:v>
                </c:pt>
                <c:pt idx="4">
                  <c:v>Rajasthan</c:v>
                </c:pt>
                <c:pt idx="5">
                  <c:v>UP(E)</c:v>
                </c:pt>
                <c:pt idx="6">
                  <c:v>UP(W)</c:v>
                </c:pt>
                <c:pt idx="7">
                  <c:v>WB, A&amp;N</c:v>
                </c:pt>
              </c:strCache>
            </c:strRef>
          </c:cat>
          <c:val>
            <c:numRef>
              <c:f>('Price per MHz per pop'!$AE$9,'Price per MHz per pop'!$AE$13,'Price per MHz per pop'!$AE$16,'Price per MHz per pop'!$AE$20,'Price per MHz per pop'!$AE$21,'Price per MHz per pop'!$AE$23,'Price per MHz per pop'!$AE$24,'Price per MHz per pop'!$AE$25)</c:f>
              <c:numCache>
                <c:formatCode>0.00</c:formatCode>
                <c:ptCount val="8"/>
                <c:pt idx="0">
                  <c:v>18.110668107221475</c:v>
                </c:pt>
                <c:pt idx="1">
                  <c:v>17.748583558633086</c:v>
                </c:pt>
                <c:pt idx="2">
                  <c:v>35.954094171401309</c:v>
                </c:pt>
                <c:pt idx="3">
                  <c:v>22.888380312179276</c:v>
                </c:pt>
                <c:pt idx="4">
                  <c:v>9.7795507519232121</c:v>
                </c:pt>
                <c:pt idx="5">
                  <c:v>7.5444817573360101</c:v>
                </c:pt>
                <c:pt idx="6">
                  <c:v>9.6674546422845395</c:v>
                </c:pt>
                <c:pt idx="7">
                  <c:v>2.6688158631873731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A-4DCD-A0F5-B87534326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957664"/>
        <c:axId val="1972948960"/>
      </c:barChart>
      <c:catAx>
        <c:axId val="19729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2948960"/>
        <c:crosses val="autoZero"/>
        <c:auto val="1"/>
        <c:lblAlgn val="ctr"/>
        <c:lblOffset val="100"/>
        <c:noMultiLvlLbl val="0"/>
      </c:catAx>
      <c:valAx>
        <c:axId val="1972948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72957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40308087291404"/>
          <c:y val="0.27878883321403009"/>
          <c:w val="0.15404364569961493"/>
          <c:h val="0.436364908931838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68549422336333E-2"/>
          <c:y val="4.0935672514619881E-2"/>
          <c:w val="0.74967907573812576"/>
          <c:h val="0.85672514619883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per MHz per pop'!$H$2:$I$2</c:f>
              <c:strCache>
                <c:ptCount val="1"/>
                <c:pt idx="0">
                  <c:v>800 MHz in 2013</c:v>
                </c:pt>
              </c:strCache>
            </c:strRef>
          </c:tx>
          <c:invertIfNegative val="0"/>
          <c:cat>
            <c:strRef>
              <c:f>('Price per MHz per pop'!$A$5,'Price per MHz per pop'!$A$6,'Price per MHz per pop'!$A$10,'Price per MHz per pop'!$A$11,'Price per MHz per pop'!$A$18,'Price per MHz per pop'!$A$19)</c:f>
              <c:strCache>
                <c:ptCount val="6"/>
                <c:pt idx="0">
                  <c:v>Assam</c:v>
                </c:pt>
                <c:pt idx="1">
                  <c:v>Bihar</c:v>
                </c:pt>
                <c:pt idx="2">
                  <c:v>HP</c:v>
                </c:pt>
                <c:pt idx="3">
                  <c:v>J&amp;K</c:v>
                </c:pt>
                <c:pt idx="4">
                  <c:v>NE</c:v>
                </c:pt>
                <c:pt idx="5">
                  <c:v>Orissa</c:v>
                </c:pt>
              </c:strCache>
            </c:strRef>
          </c:cat>
          <c:val>
            <c:numRef>
              <c:f>('Price per MHz per pop'!$H$5,'Price per MHz per pop'!$H$6,'Price per MHz per pop'!$H$10,'Price per MHz per pop'!$H$11,'Price per MHz per pop'!$H$18,'Price per MHz per pop'!$H$19)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367-4061-B47D-F112167A7878}"/>
            </c:ext>
          </c:extLst>
        </c:ser>
        <c:ser>
          <c:idx val="1"/>
          <c:order val="1"/>
          <c:tx>
            <c:strRef>
              <c:f>'Price per MHz per pop'!$N$2:$O$2</c:f>
              <c:strCache>
                <c:ptCount val="1"/>
                <c:pt idx="0">
                  <c:v>900 MHz in 2014</c:v>
                </c:pt>
              </c:strCache>
            </c:strRef>
          </c:tx>
          <c:invertIfNegative val="0"/>
          <c:cat>
            <c:strRef>
              <c:f>('Price per MHz per pop'!$A$5,'Price per MHz per pop'!$A$6,'Price per MHz per pop'!$A$10,'Price per MHz per pop'!$A$11,'Price per MHz per pop'!$A$18,'Price per MHz per pop'!$A$19)</c:f>
              <c:strCache>
                <c:ptCount val="6"/>
                <c:pt idx="0">
                  <c:v>Assam</c:v>
                </c:pt>
                <c:pt idx="1">
                  <c:v>Bihar</c:v>
                </c:pt>
                <c:pt idx="2">
                  <c:v>HP</c:v>
                </c:pt>
                <c:pt idx="3">
                  <c:v>J&amp;K</c:v>
                </c:pt>
                <c:pt idx="4">
                  <c:v>NE</c:v>
                </c:pt>
                <c:pt idx="5">
                  <c:v>Orissa</c:v>
                </c:pt>
              </c:strCache>
            </c:strRef>
          </c:cat>
          <c:val>
            <c:numRef>
              <c:f>('Price per MHz per pop'!$N$5,'Price per MHz per pop'!$N$6,'Price per MHz per pop'!$N$10,'Price per MHz per pop'!$N$11,'Price per MHz per pop'!$N$18,'Price per MHz per pop'!$N$19)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367-4061-B47D-F112167A7878}"/>
            </c:ext>
          </c:extLst>
        </c:ser>
        <c:ser>
          <c:idx val="2"/>
          <c:order val="2"/>
          <c:tx>
            <c:strRef>
              <c:f>'Price per MHz per pop'!$T$2:$V$2</c:f>
              <c:strCache>
                <c:ptCount val="1"/>
                <c:pt idx="0">
                  <c:v>1800 MHz in 2001</c:v>
                </c:pt>
              </c:strCache>
            </c:strRef>
          </c:tx>
          <c:invertIfNegative val="0"/>
          <c:cat>
            <c:strRef>
              <c:f>('Price per MHz per pop'!$A$5,'Price per MHz per pop'!$A$6,'Price per MHz per pop'!$A$10,'Price per MHz per pop'!$A$11,'Price per MHz per pop'!$A$18,'Price per MHz per pop'!$A$19)</c:f>
              <c:strCache>
                <c:ptCount val="6"/>
                <c:pt idx="0">
                  <c:v>Assam</c:v>
                </c:pt>
                <c:pt idx="1">
                  <c:v>Bihar</c:v>
                </c:pt>
                <c:pt idx="2">
                  <c:v>HP</c:v>
                </c:pt>
                <c:pt idx="3">
                  <c:v>J&amp;K</c:v>
                </c:pt>
                <c:pt idx="4">
                  <c:v>NE</c:v>
                </c:pt>
                <c:pt idx="5">
                  <c:v>Orissa</c:v>
                </c:pt>
              </c:strCache>
            </c:strRef>
          </c:cat>
          <c:val>
            <c:numRef>
              <c:f>('Price per MHz per pop'!$U$5,'Price per MHz per pop'!$U$6,'Price per MHz per pop'!$U$10,'Price per MHz per pop'!$U$11,'Price per MHz per pop'!$U$18,'Price per MHz per pop'!$U$19)</c:f>
              <c:numCache>
                <c:formatCode>0.00</c:formatCode>
                <c:ptCount val="6"/>
                <c:pt idx="0">
                  <c:v>0.43267326445489929</c:v>
                </c:pt>
                <c:pt idx="1">
                  <c:v>0.20893228294572352</c:v>
                </c:pt>
                <c:pt idx="2">
                  <c:v>0.4188268314734101</c:v>
                </c:pt>
                <c:pt idx="3">
                  <c:v>0.44914853358561962</c:v>
                </c:pt>
                <c:pt idx="4">
                  <c:v>0.41747237141026844</c:v>
                </c:pt>
                <c:pt idx="5">
                  <c:v>0.31230554474316463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7-4061-B47D-F112167A7878}"/>
            </c:ext>
          </c:extLst>
        </c:ser>
        <c:ser>
          <c:idx val="3"/>
          <c:order val="3"/>
          <c:tx>
            <c:strRef>
              <c:f>'Price per MHz per pop'!$W$2:$X$2</c:f>
              <c:strCache>
                <c:ptCount val="1"/>
                <c:pt idx="0">
                  <c:v>1800 MHz in 2012</c:v>
                </c:pt>
              </c:strCache>
            </c:strRef>
          </c:tx>
          <c:invertIfNegative val="0"/>
          <c:cat>
            <c:strRef>
              <c:f>('Price per MHz per pop'!$A$5,'Price per MHz per pop'!$A$6,'Price per MHz per pop'!$A$10,'Price per MHz per pop'!$A$11,'Price per MHz per pop'!$A$18,'Price per MHz per pop'!$A$19)</c:f>
              <c:strCache>
                <c:ptCount val="6"/>
                <c:pt idx="0">
                  <c:v>Assam</c:v>
                </c:pt>
                <c:pt idx="1">
                  <c:v>Bihar</c:v>
                </c:pt>
                <c:pt idx="2">
                  <c:v>HP</c:v>
                </c:pt>
                <c:pt idx="3">
                  <c:v>J&amp;K</c:v>
                </c:pt>
                <c:pt idx="4">
                  <c:v>NE</c:v>
                </c:pt>
                <c:pt idx="5">
                  <c:v>Orissa</c:v>
                </c:pt>
              </c:strCache>
            </c:strRef>
          </c:cat>
          <c:val>
            <c:numRef>
              <c:f>('Price per MHz per pop'!$W$5,'Price per MHz per pop'!$W$6,'Price per MHz per pop'!$W$10,'Price per MHz per pop'!$W$11,'Price per MHz per pop'!$W$18,'Price per MHz per pop'!$W$19)</c:f>
              <c:numCache>
                <c:formatCode>0.00</c:formatCode>
                <c:ptCount val="6"/>
                <c:pt idx="0">
                  <c:v>2.2380998909838272</c:v>
                </c:pt>
                <c:pt idx="1">
                  <c:v>2.8574730116416109</c:v>
                </c:pt>
                <c:pt idx="2">
                  <c:v>8.6076255081860857</c:v>
                </c:pt>
                <c:pt idx="3">
                  <c:v>3.9241659315404802</c:v>
                </c:pt>
                <c:pt idx="4">
                  <c:v>5.120607657200611</c:v>
                </c:pt>
                <c:pt idx="5">
                  <c:v>3.852820077480779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7-4061-B47D-F112167A7878}"/>
            </c:ext>
          </c:extLst>
        </c:ser>
        <c:ser>
          <c:idx val="4"/>
          <c:order val="4"/>
          <c:tx>
            <c:strRef>
              <c:f>'Price per MHz per pop'!$Y$2:$Z$2</c:f>
              <c:strCache>
                <c:ptCount val="1"/>
                <c:pt idx="0">
                  <c:v>1800 MHz in 2014</c:v>
                </c:pt>
              </c:strCache>
            </c:strRef>
          </c:tx>
          <c:invertIfNegative val="0"/>
          <c:cat>
            <c:strRef>
              <c:f>('Price per MHz per pop'!$A$5,'Price per MHz per pop'!$A$6,'Price per MHz per pop'!$A$10,'Price per MHz per pop'!$A$11,'Price per MHz per pop'!$A$18,'Price per MHz per pop'!$A$19)</c:f>
              <c:strCache>
                <c:ptCount val="6"/>
                <c:pt idx="0">
                  <c:v>Assam</c:v>
                </c:pt>
                <c:pt idx="1">
                  <c:v>Bihar</c:v>
                </c:pt>
                <c:pt idx="2">
                  <c:v>HP</c:v>
                </c:pt>
                <c:pt idx="3">
                  <c:v>J&amp;K</c:v>
                </c:pt>
                <c:pt idx="4">
                  <c:v>NE</c:v>
                </c:pt>
                <c:pt idx="5">
                  <c:v>Orissa</c:v>
                </c:pt>
              </c:strCache>
            </c:strRef>
          </c:cat>
          <c:val>
            <c:numRef>
              <c:f>('Price per MHz per pop'!$Y$5,'Price per MHz per pop'!$Y$6,'Price per MHz per pop'!$Y$10,'Price per MHz per pop'!$Y$11,'Price per MHz per pop'!$Y$18,'Price per MHz per pop'!$Y$19)</c:f>
              <c:numCache>
                <c:formatCode>0.00</c:formatCode>
                <c:ptCount val="6"/>
                <c:pt idx="0">
                  <c:v>11.327029147864211</c:v>
                </c:pt>
                <c:pt idx="1">
                  <c:v>3.2241049570084179</c:v>
                </c:pt>
                <c:pt idx="2">
                  <c:v>8.0686980765559095</c:v>
                </c:pt>
                <c:pt idx="3">
                  <c:v>4.5964436007323854</c:v>
                </c:pt>
                <c:pt idx="4">
                  <c:v>4.9285109283749753</c:v>
                </c:pt>
                <c:pt idx="5">
                  <c:v>3.6965229761193181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67-4061-B47D-F112167A7878}"/>
            </c:ext>
          </c:extLst>
        </c:ser>
        <c:ser>
          <c:idx val="5"/>
          <c:order val="5"/>
          <c:tx>
            <c:strRef>
              <c:f>'Price per MHz per pop'!$AE$2:$AF$2</c:f>
              <c:strCache>
                <c:ptCount val="1"/>
                <c:pt idx="0">
                  <c:v>2100 MHz in 2010</c:v>
                </c:pt>
              </c:strCache>
            </c:strRef>
          </c:tx>
          <c:invertIfNegative val="0"/>
          <c:cat>
            <c:strRef>
              <c:f>('Price per MHz per pop'!$A$5,'Price per MHz per pop'!$A$6,'Price per MHz per pop'!$A$10,'Price per MHz per pop'!$A$11,'Price per MHz per pop'!$A$18,'Price per MHz per pop'!$A$19)</c:f>
              <c:strCache>
                <c:ptCount val="6"/>
                <c:pt idx="0">
                  <c:v>Assam</c:v>
                </c:pt>
                <c:pt idx="1">
                  <c:v>Bihar</c:v>
                </c:pt>
                <c:pt idx="2">
                  <c:v>HP</c:v>
                </c:pt>
                <c:pt idx="3">
                  <c:v>J&amp;K</c:v>
                </c:pt>
                <c:pt idx="4">
                  <c:v>NE</c:v>
                </c:pt>
                <c:pt idx="5">
                  <c:v>Orissa</c:v>
                </c:pt>
              </c:strCache>
            </c:strRef>
          </c:cat>
          <c:val>
            <c:numRef>
              <c:f>('Price per MHz per pop'!$AE$5,'Price per MHz per pop'!$AE$6,'Price per MHz per pop'!$AE$10,'Price per MHz per pop'!$AE$11,'Price per MHz per pop'!$AE$18,'Price per MHz per pop'!$AE$19)</c:f>
              <c:numCache>
                <c:formatCode>0.00</c:formatCode>
                <c:ptCount val="6"/>
                <c:pt idx="0">
                  <c:v>2.7529650026957411</c:v>
                </c:pt>
                <c:pt idx="1">
                  <c:v>3.2193194084579284</c:v>
                </c:pt>
                <c:pt idx="2">
                  <c:v>10.590058940036348</c:v>
                </c:pt>
                <c:pt idx="3">
                  <c:v>4.8293408175132226</c:v>
                </c:pt>
                <c:pt idx="4">
                  <c:v>6.299573940449843</c:v>
                </c:pt>
                <c:pt idx="5">
                  <c:v>4.7392403406808299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67-4061-B47D-F112167A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958208"/>
        <c:axId val="1972950048"/>
      </c:barChart>
      <c:catAx>
        <c:axId val="19729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2950048"/>
        <c:crosses val="autoZero"/>
        <c:auto val="1"/>
        <c:lblAlgn val="ctr"/>
        <c:lblOffset val="100"/>
        <c:noMultiLvlLbl val="0"/>
      </c:catAx>
      <c:valAx>
        <c:axId val="1972950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729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40308087291404"/>
          <c:y val="0.28655062853985358"/>
          <c:w val="0.15404364569961493"/>
          <c:h val="0.421053859495633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899843505477307E-2"/>
          <c:y val="4.2296072507552872E-2"/>
          <c:w val="0.72065727699530513"/>
          <c:h val="0.5226586102719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per MHz per pop'!$N$2:$O$2</c:f>
              <c:strCache>
                <c:ptCount val="1"/>
                <c:pt idx="0">
                  <c:v>900 MHz in 2014</c:v>
                </c:pt>
              </c:strCache>
            </c:strRef>
          </c:tx>
          <c:invertIfNegative val="0"/>
          <c:cat>
            <c:strRef>
              <c:f>('Price per MHz per pop'!$A$27:$A$30,'Price per MHz per pop'!$A$32:$A$44)</c:f>
              <c:strCache>
                <c:ptCount val="17"/>
                <c:pt idx="0">
                  <c:v>Metros</c:v>
                </c:pt>
                <c:pt idx="1">
                  <c:v>Category A</c:v>
                </c:pt>
                <c:pt idx="2">
                  <c:v>Category B</c:v>
                </c:pt>
                <c:pt idx="3">
                  <c:v>Category C</c:v>
                </c:pt>
                <c:pt idx="4">
                  <c:v>Germany (800 MHz, 2010)</c:v>
                </c:pt>
                <c:pt idx="5">
                  <c:v>France (800 MHz, 2010)</c:v>
                </c:pt>
                <c:pt idx="6">
                  <c:v>Sweden (800 MHz, 2010)</c:v>
                </c:pt>
                <c:pt idx="7">
                  <c:v>US (700 MHz, 2008)</c:v>
                </c:pt>
                <c:pt idx="8">
                  <c:v>Sweden (2600 MHz,2010)</c:v>
                </c:pt>
                <c:pt idx="9">
                  <c:v>Germany (2600 MHz, 2010)</c:v>
                </c:pt>
                <c:pt idx="10">
                  <c:v>Netherlands (2600 MHz, 2010)</c:v>
                </c:pt>
                <c:pt idx="11">
                  <c:v>Sweden (1800 MHz,2010)</c:v>
                </c:pt>
                <c:pt idx="12">
                  <c:v>France (2100 MHz,2010)</c:v>
                </c:pt>
                <c:pt idx="13">
                  <c:v>Germany (2100 MHz,2010)</c:v>
                </c:pt>
                <c:pt idx="14">
                  <c:v>U.S. (2100 MHz, 2006)</c:v>
                </c:pt>
                <c:pt idx="15">
                  <c:v>Germany (2100 MHz, 2001)</c:v>
                </c:pt>
                <c:pt idx="16">
                  <c:v>UK (2100 MHz, 2001)</c:v>
                </c:pt>
              </c:strCache>
            </c:strRef>
          </c:cat>
          <c:val>
            <c:numRef>
              <c:f>('Price per MHz per pop'!$O$27:$O$30,'Price per MHz per pop'!$O$32:$O$44)</c:f>
              <c:numCache>
                <c:formatCode>0.00</c:formatCode>
                <c:ptCount val="17"/>
                <c:pt idx="0">
                  <c:v>3.0934825799151286</c:v>
                </c:pt>
                <c:pt idx="4" formatCode="General">
                  <c:v>1.54</c:v>
                </c:pt>
                <c:pt idx="5" formatCode="General">
                  <c:v>1.35</c:v>
                </c:pt>
                <c:pt idx="6" formatCode="General">
                  <c:v>0.68</c:v>
                </c:pt>
                <c:pt idx="7" formatCode="General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7-407C-A745-A8E8E9AB43DF}"/>
            </c:ext>
          </c:extLst>
        </c:ser>
        <c:ser>
          <c:idx val="1"/>
          <c:order val="1"/>
          <c:tx>
            <c:strRef>
              <c:f>'Price per MHz per pop'!$Y$2:$Z$2</c:f>
              <c:strCache>
                <c:ptCount val="1"/>
                <c:pt idx="0">
                  <c:v>1800 MHz in 2014</c:v>
                </c:pt>
              </c:strCache>
            </c:strRef>
          </c:tx>
          <c:invertIfNegative val="0"/>
          <c:cat>
            <c:strRef>
              <c:f>('Price per MHz per pop'!$A$27:$A$30,'Price per MHz per pop'!$A$32:$A$44)</c:f>
              <c:strCache>
                <c:ptCount val="17"/>
                <c:pt idx="0">
                  <c:v>Metros</c:v>
                </c:pt>
                <c:pt idx="1">
                  <c:v>Category A</c:v>
                </c:pt>
                <c:pt idx="2">
                  <c:v>Category B</c:v>
                </c:pt>
                <c:pt idx="3">
                  <c:v>Category C</c:v>
                </c:pt>
                <c:pt idx="4">
                  <c:v>Germany (800 MHz, 2010)</c:v>
                </c:pt>
                <c:pt idx="5">
                  <c:v>France (800 MHz, 2010)</c:v>
                </c:pt>
                <c:pt idx="6">
                  <c:v>Sweden (800 MHz, 2010)</c:v>
                </c:pt>
                <c:pt idx="7">
                  <c:v>US (700 MHz, 2008)</c:v>
                </c:pt>
                <c:pt idx="8">
                  <c:v>Sweden (2600 MHz,2010)</c:v>
                </c:pt>
                <c:pt idx="9">
                  <c:v>Germany (2600 MHz, 2010)</c:v>
                </c:pt>
                <c:pt idx="10">
                  <c:v>Netherlands (2600 MHz, 2010)</c:v>
                </c:pt>
                <c:pt idx="11">
                  <c:v>Sweden (1800 MHz,2010)</c:v>
                </c:pt>
                <c:pt idx="12">
                  <c:v>France (2100 MHz,2010)</c:v>
                </c:pt>
                <c:pt idx="13">
                  <c:v>Germany (2100 MHz,2010)</c:v>
                </c:pt>
                <c:pt idx="14">
                  <c:v>U.S. (2100 MHz, 2006)</c:v>
                </c:pt>
                <c:pt idx="15">
                  <c:v>Germany (2100 MHz, 2001)</c:v>
                </c:pt>
                <c:pt idx="16">
                  <c:v>UK (2100 MHz, 2001)</c:v>
                </c:pt>
              </c:strCache>
            </c:strRef>
          </c:cat>
          <c:val>
            <c:numRef>
              <c:f>('Price per MHz per pop'!$Z$27:$Z$30,'Price per MHz per pop'!$Z$32:$Z$44)</c:f>
              <c:numCache>
                <c:formatCode>0.00</c:formatCode>
                <c:ptCount val="17"/>
                <c:pt idx="0">
                  <c:v>1.4575719765610751</c:v>
                </c:pt>
                <c:pt idx="1">
                  <c:v>0.26840664512247503</c:v>
                </c:pt>
                <c:pt idx="2">
                  <c:v>0.15155242659276325</c:v>
                </c:pt>
                <c:pt idx="3">
                  <c:v>7.0525993086688735E-2</c:v>
                </c:pt>
                <c:pt idx="11" formatCode="General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7-407C-A745-A8E8E9AB43DF}"/>
            </c:ext>
          </c:extLst>
        </c:ser>
        <c:ser>
          <c:idx val="2"/>
          <c:order val="2"/>
          <c:tx>
            <c:strRef>
              <c:f>'Price per MHz per pop'!$AE$2:$AF$2</c:f>
              <c:strCache>
                <c:ptCount val="1"/>
                <c:pt idx="0">
                  <c:v>2100 MHz in 2010</c:v>
                </c:pt>
              </c:strCache>
            </c:strRef>
          </c:tx>
          <c:invertIfNegative val="0"/>
          <c:cat>
            <c:strRef>
              <c:f>('Price per MHz per pop'!$A$27:$A$30,'Price per MHz per pop'!$A$32:$A$44)</c:f>
              <c:strCache>
                <c:ptCount val="17"/>
                <c:pt idx="0">
                  <c:v>Metros</c:v>
                </c:pt>
                <c:pt idx="1">
                  <c:v>Category A</c:v>
                </c:pt>
                <c:pt idx="2">
                  <c:v>Category B</c:v>
                </c:pt>
                <c:pt idx="3">
                  <c:v>Category C</c:v>
                </c:pt>
                <c:pt idx="4">
                  <c:v>Germany (800 MHz, 2010)</c:v>
                </c:pt>
                <c:pt idx="5">
                  <c:v>France (800 MHz, 2010)</c:v>
                </c:pt>
                <c:pt idx="6">
                  <c:v>Sweden (800 MHz, 2010)</c:v>
                </c:pt>
                <c:pt idx="7">
                  <c:v>US (700 MHz, 2008)</c:v>
                </c:pt>
                <c:pt idx="8">
                  <c:v>Sweden (2600 MHz,2010)</c:v>
                </c:pt>
                <c:pt idx="9">
                  <c:v>Germany (2600 MHz, 2010)</c:v>
                </c:pt>
                <c:pt idx="10">
                  <c:v>Netherlands (2600 MHz, 2010)</c:v>
                </c:pt>
                <c:pt idx="11">
                  <c:v>Sweden (1800 MHz,2010)</c:v>
                </c:pt>
                <c:pt idx="12">
                  <c:v>France (2100 MHz,2010)</c:v>
                </c:pt>
                <c:pt idx="13">
                  <c:v>Germany (2100 MHz,2010)</c:v>
                </c:pt>
                <c:pt idx="14">
                  <c:v>U.S. (2100 MHz, 2006)</c:v>
                </c:pt>
                <c:pt idx="15">
                  <c:v>Germany (2100 MHz, 2001)</c:v>
                </c:pt>
                <c:pt idx="16">
                  <c:v>UK (2100 MHz, 2001)</c:v>
                </c:pt>
              </c:strCache>
            </c:strRef>
          </c:cat>
          <c:val>
            <c:numRef>
              <c:f>('Price per MHz per pop'!$AF$27:$AF$30,'Price per MHz per pop'!$AF$32:$AF$42)</c:f>
              <c:numCache>
                <c:formatCode>0.00</c:formatCode>
                <c:ptCount val="15"/>
                <c:pt idx="0">
                  <c:v>4.5101115033778543</c:v>
                </c:pt>
                <c:pt idx="1">
                  <c:v>0.5890879281992758</c:v>
                </c:pt>
                <c:pt idx="2">
                  <c:v>0.27177016862798575</c:v>
                </c:pt>
                <c:pt idx="3">
                  <c:v>9.4494459352662916E-2</c:v>
                </c:pt>
                <c:pt idx="8" formatCode="General">
                  <c:v>0.3</c:v>
                </c:pt>
                <c:pt idx="9" formatCode="General">
                  <c:v>0.05</c:v>
                </c:pt>
                <c:pt idx="10" formatCode="General">
                  <c:v>0.01</c:v>
                </c:pt>
                <c:pt idx="12" formatCode="General">
                  <c:v>0.74</c:v>
                </c:pt>
                <c:pt idx="13" formatCode="General">
                  <c:v>0.23</c:v>
                </c:pt>
                <c:pt idx="14" formatCode="General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7-407C-A745-A8E8E9AB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72958752"/>
        <c:axId val="1972953312"/>
      </c:barChart>
      <c:catAx>
        <c:axId val="19729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2953312"/>
        <c:crosses val="autoZero"/>
        <c:auto val="1"/>
        <c:lblAlgn val="ctr"/>
        <c:lblOffset val="100"/>
        <c:noMultiLvlLbl val="0"/>
      </c:catAx>
      <c:valAx>
        <c:axId val="197295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  <a:r>
                  <a:rPr lang="en-US" baseline="0"/>
                  <a:t> (in Euros) per MHz per Pop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7295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9906169005869574"/>
          <c:y val="0.38972873103852951"/>
          <c:w val="0.992958485823075"/>
          <c:h val="0.607251706829697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400050</xdr:colOff>
      <xdr:row>19</xdr:row>
      <xdr:rowOff>95250</xdr:rowOff>
    </xdr:to>
    <xdr:graphicFrame macro="">
      <xdr:nvGraphicFramePr>
        <xdr:cNvPr id="14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200025</xdr:colOff>
      <xdr:row>5</xdr:row>
      <xdr:rowOff>19050</xdr:rowOff>
    </xdr:from>
    <xdr:to>
      <xdr:col>64</xdr:col>
      <xdr:colOff>219075</xdr:colOff>
      <xdr:row>22</xdr:row>
      <xdr:rowOff>38100</xdr:rowOff>
    </xdr:to>
    <xdr:graphicFrame macro="">
      <xdr:nvGraphicFramePr>
        <xdr:cNvPr id="13937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24</xdr:row>
      <xdr:rowOff>0</xdr:rowOff>
    </xdr:from>
    <xdr:to>
      <xdr:col>64</xdr:col>
      <xdr:colOff>19050</xdr:colOff>
      <xdr:row>43</xdr:row>
      <xdr:rowOff>190500</xdr:rowOff>
    </xdr:to>
    <xdr:graphicFrame macro="">
      <xdr:nvGraphicFramePr>
        <xdr:cNvPr id="13937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0</xdr:colOff>
      <xdr:row>46</xdr:row>
      <xdr:rowOff>0</xdr:rowOff>
    </xdr:from>
    <xdr:to>
      <xdr:col>64</xdr:col>
      <xdr:colOff>19050</xdr:colOff>
      <xdr:row>63</xdr:row>
      <xdr:rowOff>47625</xdr:rowOff>
    </xdr:to>
    <xdr:graphicFrame macro="">
      <xdr:nvGraphicFramePr>
        <xdr:cNvPr id="139370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0</xdr:colOff>
      <xdr:row>65</xdr:row>
      <xdr:rowOff>0</xdr:rowOff>
    </xdr:from>
    <xdr:to>
      <xdr:col>64</xdr:col>
      <xdr:colOff>19050</xdr:colOff>
      <xdr:row>85</xdr:row>
      <xdr:rowOff>19050</xdr:rowOff>
    </xdr:to>
    <xdr:graphicFrame macro="">
      <xdr:nvGraphicFramePr>
        <xdr:cNvPr id="139370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152400</xdr:colOff>
      <xdr:row>72</xdr:row>
      <xdr:rowOff>85725</xdr:rowOff>
    </xdr:from>
    <xdr:to>
      <xdr:col>32</xdr:col>
      <xdr:colOff>0</xdr:colOff>
      <xdr:row>92</xdr:row>
      <xdr:rowOff>0</xdr:rowOff>
    </xdr:to>
    <xdr:graphicFrame macro="">
      <xdr:nvGraphicFramePr>
        <xdr:cNvPr id="139370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search\Mobile%20Services\Mobile%20Growth\Data\India\Panel%20Data\Quarterly_Subscriber_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a China Yearly Data"/>
      <sheetName val="China Panel Data"/>
      <sheetName val="India Yearly Panel Data"/>
      <sheetName val="96Q1-10Q4"/>
      <sheetName val="HHI"/>
      <sheetName val="China 2008"/>
      <sheetName val="Spectrum Allocation"/>
    </sheetNames>
    <sheetDataSet>
      <sheetData sheetId="0"/>
      <sheetData sheetId="1"/>
      <sheetData sheetId="2"/>
      <sheetData sheetId="3"/>
      <sheetData sheetId="4">
        <row r="51">
          <cell r="R51" t="str">
            <v>Average HHI</v>
          </cell>
        </row>
        <row r="52">
          <cell r="R52">
            <v>0.61838125466207206</v>
          </cell>
        </row>
        <row r="53">
          <cell r="R53">
            <v>0.47631113465766062</v>
          </cell>
        </row>
        <row r="54">
          <cell r="R54">
            <v>0.3724830863695896</v>
          </cell>
        </row>
        <row r="55">
          <cell r="R55">
            <v>0.2948026731944432</v>
          </cell>
        </row>
        <row r="56">
          <cell r="R56">
            <v>0.21360000000000001</v>
          </cell>
        </row>
        <row r="57">
          <cell r="R57">
            <v>0.21360000000000001</v>
          </cell>
        </row>
        <row r="58">
          <cell r="R58">
            <v>0.18659999999999999</v>
          </cell>
        </row>
        <row r="59">
          <cell r="R59">
            <v>0.15110000000000001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B1" workbookViewId="0">
      <pane xSplit="1" ySplit="2" topLeftCell="F21" activePane="bottomRight" state="frozenSplit"/>
      <selection activeCell="B1" sqref="B1"/>
      <selection pane="topRight" activeCell="C1" sqref="C1"/>
      <selection pane="bottomLeft" activeCell="B3" sqref="B3"/>
      <selection pane="bottomRight" activeCell="M30" sqref="M30"/>
    </sheetView>
  </sheetViews>
  <sheetFormatPr defaultRowHeight="13.5"/>
  <cols>
    <col min="1" max="1" width="5.81640625" style="37" bestFit="1" customWidth="1"/>
    <col min="2" max="2" width="17.81640625" bestFit="1" customWidth="1"/>
    <col min="3" max="3" width="12.26953125" style="11" bestFit="1" customWidth="1"/>
    <col min="4" max="4" width="14.81640625" style="8" bestFit="1" customWidth="1"/>
    <col min="5" max="5" width="19.81640625" style="8" customWidth="1"/>
    <col min="6" max="7" width="14.81640625" style="11" customWidth="1"/>
    <col min="8" max="8" width="17.81640625" bestFit="1" customWidth="1"/>
    <col min="9" max="9" width="12.26953125" style="11" bestFit="1" customWidth="1"/>
    <col min="10" max="10" width="14.81640625" style="13" bestFit="1" customWidth="1"/>
    <col min="11" max="11" width="17.26953125" style="13" customWidth="1"/>
    <col min="12" max="12" width="10.453125" style="11" bestFit="1" customWidth="1"/>
    <col min="13" max="13" width="14.7265625" style="30" bestFit="1" customWidth="1"/>
    <col min="14" max="15" width="9.1796875" style="39" customWidth="1"/>
  </cols>
  <sheetData>
    <row r="1" spans="1:15" s="3" customFormat="1">
      <c r="A1" s="32" t="s">
        <v>21</v>
      </c>
      <c r="B1" s="3" t="s">
        <v>22</v>
      </c>
      <c r="C1" s="273" t="s">
        <v>24</v>
      </c>
      <c r="D1" s="273"/>
      <c r="E1" s="273"/>
      <c r="F1" s="273"/>
      <c r="G1" s="28"/>
      <c r="H1" s="3" t="s">
        <v>22</v>
      </c>
      <c r="I1" s="273" t="s">
        <v>25</v>
      </c>
      <c r="J1" s="273"/>
      <c r="K1" s="273"/>
      <c r="L1" s="273"/>
      <c r="M1" s="29"/>
      <c r="N1" s="274" t="s">
        <v>30</v>
      </c>
      <c r="O1" s="274"/>
    </row>
    <row r="2" spans="1:15" s="18" customFormat="1" ht="40.5">
      <c r="A2" s="33"/>
      <c r="B2" s="14"/>
      <c r="C2" s="15" t="s">
        <v>58</v>
      </c>
      <c r="D2" s="16" t="s">
        <v>23</v>
      </c>
      <c r="E2" s="16" t="s">
        <v>31</v>
      </c>
      <c r="F2" s="15" t="s">
        <v>57</v>
      </c>
      <c r="G2" s="15" t="s">
        <v>118</v>
      </c>
      <c r="H2" s="14"/>
      <c r="I2" s="15" t="s">
        <v>59</v>
      </c>
      <c r="J2" s="17" t="s">
        <v>23</v>
      </c>
      <c r="K2" s="17" t="s">
        <v>31</v>
      </c>
      <c r="L2" s="15" t="s">
        <v>57</v>
      </c>
      <c r="M2" s="31" t="s">
        <v>29</v>
      </c>
      <c r="N2" s="38" t="s">
        <v>24</v>
      </c>
      <c r="O2" s="38" t="s">
        <v>25</v>
      </c>
    </row>
    <row r="3" spans="1:15" s="48" customFormat="1" ht="14.5">
      <c r="A3" s="40">
        <v>1</v>
      </c>
      <c r="B3" s="1" t="s">
        <v>5</v>
      </c>
      <c r="C3" s="2">
        <v>1373.14</v>
      </c>
      <c r="D3" s="6">
        <v>3</v>
      </c>
      <c r="E3" s="6" t="s">
        <v>41</v>
      </c>
      <c r="F3" s="2">
        <f t="shared" ref="F3:F24" si="0">C3*D3</f>
        <v>4119.42</v>
      </c>
      <c r="G3" s="2">
        <f>C3/5</f>
        <v>274.62800000000004</v>
      </c>
      <c r="H3" s="1" t="s">
        <v>5</v>
      </c>
      <c r="I3" s="2">
        <v>1059.1199999999999</v>
      </c>
      <c r="J3" s="12">
        <v>2</v>
      </c>
      <c r="K3" s="12" t="s">
        <v>35</v>
      </c>
      <c r="L3" s="11">
        <f t="shared" ref="L3:L24" si="1">I3*J3</f>
        <v>2118.2399999999998</v>
      </c>
      <c r="M3" s="30">
        <f t="shared" ref="M3:M24" si="2">I3/C3</f>
        <v>0.77131246631807382</v>
      </c>
      <c r="N3" s="39">
        <v>320</v>
      </c>
      <c r="O3" s="39">
        <v>160</v>
      </c>
    </row>
    <row r="4" spans="1:15" s="48" customFormat="1" ht="27">
      <c r="A4" s="40">
        <f>A3+1</f>
        <v>2</v>
      </c>
      <c r="B4" s="1" t="s">
        <v>18</v>
      </c>
      <c r="C4" s="2">
        <v>41.48</v>
      </c>
      <c r="D4" s="6">
        <v>3</v>
      </c>
      <c r="E4" s="6" t="s">
        <v>54</v>
      </c>
      <c r="F4" s="2">
        <f t="shared" si="0"/>
        <v>124.44</v>
      </c>
      <c r="G4" s="2">
        <f t="shared" ref="G4:G24" si="3">C4/5</f>
        <v>8.2959999999999994</v>
      </c>
      <c r="H4" s="1" t="s">
        <v>18</v>
      </c>
      <c r="I4" s="2">
        <v>33.020000000000003</v>
      </c>
      <c r="J4" s="12">
        <v>2</v>
      </c>
      <c r="K4" s="12" t="s">
        <v>35</v>
      </c>
      <c r="L4" s="11">
        <f t="shared" si="1"/>
        <v>66.040000000000006</v>
      </c>
      <c r="M4" s="30">
        <f t="shared" si="2"/>
        <v>0.79604628736740612</v>
      </c>
      <c r="N4" s="39">
        <v>30</v>
      </c>
      <c r="O4" s="39">
        <v>15</v>
      </c>
    </row>
    <row r="5" spans="1:15" s="48" customFormat="1" ht="27">
      <c r="A5" s="40">
        <f t="shared" ref="A5:A24" si="4">A4+1</f>
        <v>3</v>
      </c>
      <c r="B5" s="1" t="s">
        <v>16</v>
      </c>
      <c r="C5" s="2">
        <v>203.46</v>
      </c>
      <c r="D5" s="6">
        <v>4</v>
      </c>
      <c r="E5" s="6" t="s">
        <v>52</v>
      </c>
      <c r="F5" s="2">
        <f t="shared" si="0"/>
        <v>813.84</v>
      </c>
      <c r="G5" s="2">
        <f t="shared" si="3"/>
        <v>40.692</v>
      </c>
      <c r="H5" s="1" t="s">
        <v>16</v>
      </c>
      <c r="I5" s="2">
        <v>99.28</v>
      </c>
      <c r="J5" s="12">
        <v>2</v>
      </c>
      <c r="K5" s="12" t="s">
        <v>35</v>
      </c>
      <c r="L5" s="11">
        <f t="shared" si="1"/>
        <v>198.56</v>
      </c>
      <c r="M5" s="30">
        <f t="shared" si="2"/>
        <v>0.48795832104590581</v>
      </c>
      <c r="N5" s="39">
        <v>30</v>
      </c>
      <c r="O5" s="39">
        <v>15</v>
      </c>
    </row>
    <row r="6" spans="1:15" ht="29">
      <c r="A6" s="34">
        <f t="shared" si="4"/>
        <v>4</v>
      </c>
      <c r="B6" s="41" t="s">
        <v>0</v>
      </c>
      <c r="C6" s="42">
        <v>3316.93</v>
      </c>
      <c r="D6" s="43">
        <v>3</v>
      </c>
      <c r="E6" s="43" t="s">
        <v>38</v>
      </c>
      <c r="F6" s="42">
        <f t="shared" si="0"/>
        <v>9950.7899999999991</v>
      </c>
      <c r="G6" s="2">
        <f t="shared" si="3"/>
        <v>663.38599999999997</v>
      </c>
      <c r="H6" s="41" t="s">
        <v>0</v>
      </c>
      <c r="I6" s="42">
        <v>2241.02</v>
      </c>
      <c r="J6" s="44">
        <v>2</v>
      </c>
      <c r="K6" s="44" t="s">
        <v>32</v>
      </c>
      <c r="L6" s="45">
        <f t="shared" si="1"/>
        <v>4482.04</v>
      </c>
      <c r="M6" s="46">
        <f t="shared" si="2"/>
        <v>0.67563077906377289</v>
      </c>
      <c r="N6" s="47">
        <v>320</v>
      </c>
      <c r="O6" s="47">
        <v>160</v>
      </c>
    </row>
    <row r="7" spans="1:15" ht="27">
      <c r="A7" s="34">
        <f t="shared" si="4"/>
        <v>5</v>
      </c>
      <c r="B7" s="1" t="s">
        <v>4</v>
      </c>
      <c r="C7" s="2">
        <v>1076.06</v>
      </c>
      <c r="D7" s="6">
        <v>3</v>
      </c>
      <c r="E7" s="6" t="s">
        <v>40</v>
      </c>
      <c r="F7" s="2">
        <f t="shared" si="0"/>
        <v>3228.18</v>
      </c>
      <c r="G7" s="2">
        <f t="shared" si="3"/>
        <v>215.21199999999999</v>
      </c>
      <c r="H7" s="1" t="s">
        <v>4</v>
      </c>
      <c r="I7" s="2">
        <v>613.85</v>
      </c>
      <c r="J7" s="12">
        <v>2</v>
      </c>
      <c r="K7" s="12" t="s">
        <v>34</v>
      </c>
      <c r="L7" s="11">
        <f t="shared" si="1"/>
        <v>1227.7</v>
      </c>
      <c r="M7" s="30">
        <f t="shared" si="2"/>
        <v>0.5704607549764884</v>
      </c>
      <c r="N7" s="39">
        <v>320</v>
      </c>
      <c r="O7" s="39">
        <v>160</v>
      </c>
    </row>
    <row r="8" spans="1:15" ht="16.5" customHeight="1">
      <c r="A8" s="34">
        <f t="shared" si="4"/>
        <v>6</v>
      </c>
      <c r="B8" s="41" t="s">
        <v>10</v>
      </c>
      <c r="C8" s="42">
        <v>222.58</v>
      </c>
      <c r="D8" s="43">
        <v>3</v>
      </c>
      <c r="E8" s="43" t="s">
        <v>40</v>
      </c>
      <c r="F8" s="42">
        <f t="shared" si="0"/>
        <v>667.74</v>
      </c>
      <c r="G8" s="2">
        <f t="shared" si="3"/>
        <v>44.516000000000005</v>
      </c>
      <c r="H8" s="41" t="s">
        <v>10</v>
      </c>
      <c r="I8" s="42">
        <v>119.9</v>
      </c>
      <c r="J8" s="44">
        <v>2</v>
      </c>
      <c r="K8" s="44" t="s">
        <v>32</v>
      </c>
      <c r="L8" s="45">
        <f t="shared" si="1"/>
        <v>239.8</v>
      </c>
      <c r="M8" s="46">
        <f t="shared" si="2"/>
        <v>0.53868272081948065</v>
      </c>
      <c r="N8" s="47">
        <v>120</v>
      </c>
      <c r="O8" s="47">
        <v>60</v>
      </c>
    </row>
    <row r="9" spans="1:15" ht="27">
      <c r="A9" s="34">
        <f t="shared" si="4"/>
        <v>7</v>
      </c>
      <c r="B9" s="1" t="s">
        <v>15</v>
      </c>
      <c r="C9" s="2">
        <v>37.229999999999997</v>
      </c>
      <c r="D9" s="6">
        <v>3</v>
      </c>
      <c r="E9" s="6" t="s">
        <v>51</v>
      </c>
      <c r="F9" s="2">
        <f t="shared" si="0"/>
        <v>111.69</v>
      </c>
      <c r="G9" s="2">
        <f t="shared" si="3"/>
        <v>7.4459999999999997</v>
      </c>
      <c r="H9" s="1" t="s">
        <v>15</v>
      </c>
      <c r="I9" s="2">
        <v>20.66</v>
      </c>
      <c r="J9" s="12">
        <v>2</v>
      </c>
      <c r="K9" s="12" t="s">
        <v>34</v>
      </c>
      <c r="L9" s="11">
        <f t="shared" si="1"/>
        <v>41.32</v>
      </c>
      <c r="M9" s="30">
        <f t="shared" si="2"/>
        <v>0.55492882084340589</v>
      </c>
      <c r="N9" s="39">
        <v>30</v>
      </c>
      <c r="O9" s="39">
        <v>15</v>
      </c>
    </row>
    <row r="10" spans="1:15" ht="27">
      <c r="A10" s="34">
        <f t="shared" si="4"/>
        <v>8</v>
      </c>
      <c r="B10" s="1" t="s">
        <v>20</v>
      </c>
      <c r="C10" s="2">
        <v>30.3</v>
      </c>
      <c r="D10" s="6">
        <v>4</v>
      </c>
      <c r="E10" s="6" t="s">
        <v>56</v>
      </c>
      <c r="F10" s="2">
        <f t="shared" si="0"/>
        <v>121.2</v>
      </c>
      <c r="G10" s="2">
        <f t="shared" si="3"/>
        <v>6.0600000000000005</v>
      </c>
      <c r="H10" s="1" t="s">
        <v>20</v>
      </c>
      <c r="I10" s="2">
        <v>21.27</v>
      </c>
      <c r="J10" s="12">
        <v>2</v>
      </c>
      <c r="K10" s="12" t="s">
        <v>35</v>
      </c>
      <c r="L10" s="11">
        <f t="shared" si="1"/>
        <v>42.54</v>
      </c>
      <c r="M10" s="30">
        <f t="shared" si="2"/>
        <v>0.70198019801980194</v>
      </c>
      <c r="N10" s="39">
        <v>30</v>
      </c>
      <c r="O10" s="39">
        <v>15</v>
      </c>
    </row>
    <row r="11" spans="1:15" s="48" customFormat="1" ht="27">
      <c r="A11" s="40">
        <f t="shared" si="4"/>
        <v>9</v>
      </c>
      <c r="B11" s="1" t="s">
        <v>6</v>
      </c>
      <c r="C11" s="2">
        <v>1579.91</v>
      </c>
      <c r="D11" s="6">
        <v>3</v>
      </c>
      <c r="E11" s="6" t="s">
        <v>42</v>
      </c>
      <c r="F11" s="2">
        <f t="shared" si="0"/>
        <v>4739.7300000000005</v>
      </c>
      <c r="G11" s="2">
        <f t="shared" si="3"/>
        <v>315.98200000000003</v>
      </c>
      <c r="H11" s="1" t="s">
        <v>6</v>
      </c>
      <c r="I11" s="2">
        <v>1543.25</v>
      </c>
      <c r="J11" s="12">
        <v>2</v>
      </c>
      <c r="K11" s="12" t="s">
        <v>33</v>
      </c>
      <c r="L11" s="11">
        <f t="shared" si="1"/>
        <v>3086.5</v>
      </c>
      <c r="M11" s="30">
        <f t="shared" si="2"/>
        <v>0.97679614661594638</v>
      </c>
      <c r="N11" s="39">
        <v>320</v>
      </c>
      <c r="O11" s="39">
        <v>160</v>
      </c>
    </row>
    <row r="12" spans="1:15" s="48" customFormat="1" ht="14.5">
      <c r="A12" s="40">
        <f t="shared" si="4"/>
        <v>10</v>
      </c>
      <c r="B12" s="41" t="s">
        <v>8</v>
      </c>
      <c r="C12" s="42">
        <v>312.48</v>
      </c>
      <c r="D12" s="43">
        <v>3</v>
      </c>
      <c r="E12" s="43" t="s">
        <v>44</v>
      </c>
      <c r="F12" s="42">
        <f t="shared" si="0"/>
        <v>937.44</v>
      </c>
      <c r="G12" s="2">
        <f t="shared" si="3"/>
        <v>62.496000000000002</v>
      </c>
      <c r="H12" s="41" t="s">
        <v>8</v>
      </c>
      <c r="I12" s="42">
        <v>258.67</v>
      </c>
      <c r="J12" s="44">
        <v>2</v>
      </c>
      <c r="K12" s="44" t="s">
        <v>32</v>
      </c>
      <c r="L12" s="45">
        <f t="shared" si="1"/>
        <v>517.34</v>
      </c>
      <c r="M12" s="46">
        <f t="shared" si="2"/>
        <v>0.82779697900665639</v>
      </c>
      <c r="N12" s="47">
        <v>120</v>
      </c>
      <c r="O12" s="47">
        <v>60</v>
      </c>
    </row>
    <row r="13" spans="1:15" s="48" customFormat="1" ht="29">
      <c r="A13" s="40">
        <f t="shared" si="4"/>
        <v>11</v>
      </c>
      <c r="B13" s="41" t="s">
        <v>2</v>
      </c>
      <c r="C13" s="42">
        <v>544.26</v>
      </c>
      <c r="D13" s="43">
        <v>3</v>
      </c>
      <c r="E13" s="43" t="s">
        <v>39</v>
      </c>
      <c r="F13" s="42">
        <f t="shared" si="0"/>
        <v>1632.78</v>
      </c>
      <c r="G13" s="2">
        <f t="shared" si="3"/>
        <v>108.852</v>
      </c>
      <c r="H13" s="41" t="s">
        <v>2</v>
      </c>
      <c r="I13" s="42">
        <v>523.20000000000005</v>
      </c>
      <c r="J13" s="44">
        <v>2</v>
      </c>
      <c r="K13" s="44" t="s">
        <v>33</v>
      </c>
      <c r="L13" s="45">
        <f t="shared" si="1"/>
        <v>1046.4000000000001</v>
      </c>
      <c r="M13" s="46">
        <f t="shared" si="2"/>
        <v>0.96130525851615045</v>
      </c>
      <c r="N13" s="47">
        <v>120</v>
      </c>
      <c r="O13" s="47">
        <v>60</v>
      </c>
    </row>
    <row r="14" spans="1:15" s="48" customFormat="1" ht="29">
      <c r="A14" s="40">
        <f t="shared" si="4"/>
        <v>12</v>
      </c>
      <c r="B14" s="41" t="s">
        <v>14</v>
      </c>
      <c r="C14" s="42">
        <v>258.36</v>
      </c>
      <c r="D14" s="43">
        <v>3</v>
      </c>
      <c r="E14" s="43" t="s">
        <v>49</v>
      </c>
      <c r="F14" s="42">
        <f t="shared" si="0"/>
        <v>775.08</v>
      </c>
      <c r="G14" s="2">
        <f t="shared" si="3"/>
        <v>51.672000000000004</v>
      </c>
      <c r="H14" s="41" t="s">
        <v>14</v>
      </c>
      <c r="I14" s="42">
        <v>124.66</v>
      </c>
      <c r="J14" s="44">
        <v>2</v>
      </c>
      <c r="K14" s="44" t="s">
        <v>36</v>
      </c>
      <c r="L14" s="45">
        <f t="shared" si="1"/>
        <v>249.32</v>
      </c>
      <c r="M14" s="46">
        <f t="shared" si="2"/>
        <v>0.48250503173865922</v>
      </c>
      <c r="N14" s="47">
        <v>120</v>
      </c>
      <c r="O14" s="47">
        <v>60</v>
      </c>
    </row>
    <row r="15" spans="1:15" s="48" customFormat="1" ht="27">
      <c r="A15" s="40">
        <f t="shared" si="4"/>
        <v>13</v>
      </c>
      <c r="B15" s="1" t="s">
        <v>3</v>
      </c>
      <c r="C15" s="2">
        <v>1257.82</v>
      </c>
      <c r="D15" s="6">
        <v>3</v>
      </c>
      <c r="E15" s="6" t="s">
        <v>40</v>
      </c>
      <c r="F15" s="2">
        <f t="shared" si="0"/>
        <v>3773.46</v>
      </c>
      <c r="G15" s="2">
        <f t="shared" si="3"/>
        <v>251.56399999999999</v>
      </c>
      <c r="H15" s="1" t="s">
        <v>3</v>
      </c>
      <c r="I15" s="2">
        <v>915.64</v>
      </c>
      <c r="J15" s="12">
        <v>2</v>
      </c>
      <c r="K15" s="12" t="s">
        <v>33</v>
      </c>
      <c r="L15" s="11">
        <f t="shared" si="1"/>
        <v>1831.28</v>
      </c>
      <c r="M15" s="30">
        <f t="shared" si="2"/>
        <v>0.72795789540633793</v>
      </c>
      <c r="N15" s="39">
        <v>320</v>
      </c>
      <c r="O15" s="39">
        <v>160</v>
      </c>
    </row>
    <row r="16" spans="1:15" s="48" customFormat="1" ht="29">
      <c r="A16" s="40">
        <f t="shared" si="4"/>
        <v>14</v>
      </c>
      <c r="B16" s="41" t="s">
        <v>1</v>
      </c>
      <c r="C16" s="42">
        <v>3247.07</v>
      </c>
      <c r="D16" s="43">
        <v>3</v>
      </c>
      <c r="E16" s="43" t="s">
        <v>38</v>
      </c>
      <c r="F16" s="42">
        <f t="shared" si="0"/>
        <v>9741.2100000000009</v>
      </c>
      <c r="G16" s="2">
        <f t="shared" si="3"/>
        <v>649.41399999999999</v>
      </c>
      <c r="H16" s="41" t="s">
        <v>1</v>
      </c>
      <c r="I16" s="42">
        <v>2292.9499999999998</v>
      </c>
      <c r="J16" s="44">
        <v>2</v>
      </c>
      <c r="K16" s="44" t="s">
        <v>32</v>
      </c>
      <c r="L16" s="45">
        <f t="shared" si="1"/>
        <v>4585.8999999999996</v>
      </c>
      <c r="M16" s="46">
        <f t="shared" si="2"/>
        <v>0.70615970705897924</v>
      </c>
      <c r="N16" s="47">
        <v>320</v>
      </c>
      <c r="O16" s="47">
        <v>160</v>
      </c>
    </row>
    <row r="17" spans="1:15" s="48" customFormat="1" ht="27">
      <c r="A17" s="40">
        <f t="shared" si="4"/>
        <v>15</v>
      </c>
      <c r="B17" s="1" t="s">
        <v>19</v>
      </c>
      <c r="C17" s="2">
        <v>42.3</v>
      </c>
      <c r="D17" s="6">
        <v>3</v>
      </c>
      <c r="E17" s="6" t="s">
        <v>55</v>
      </c>
      <c r="F17" s="2">
        <f t="shared" si="0"/>
        <v>126.89999999999999</v>
      </c>
      <c r="G17" s="2">
        <f t="shared" si="3"/>
        <v>8.4599999999999991</v>
      </c>
      <c r="H17" s="1" t="s">
        <v>19</v>
      </c>
      <c r="I17" s="2">
        <v>21.27</v>
      </c>
      <c r="J17" s="12">
        <v>2</v>
      </c>
      <c r="K17" s="12" t="s">
        <v>35</v>
      </c>
      <c r="L17" s="11">
        <f t="shared" si="1"/>
        <v>42.54</v>
      </c>
      <c r="M17" s="30">
        <f t="shared" si="2"/>
        <v>0.50283687943262412</v>
      </c>
      <c r="N17" s="39">
        <v>30</v>
      </c>
      <c r="O17" s="39">
        <v>15</v>
      </c>
    </row>
    <row r="18" spans="1:15" s="48" customFormat="1" ht="14.5">
      <c r="A18" s="40">
        <f t="shared" si="4"/>
        <v>16</v>
      </c>
      <c r="B18" s="1" t="s">
        <v>17</v>
      </c>
      <c r="C18" s="2">
        <v>96.98</v>
      </c>
      <c r="D18" s="6">
        <v>3</v>
      </c>
      <c r="E18" s="6" t="s">
        <v>53</v>
      </c>
      <c r="F18" s="2">
        <f t="shared" si="0"/>
        <v>290.94</v>
      </c>
      <c r="G18" s="2">
        <f t="shared" si="3"/>
        <v>19.396000000000001</v>
      </c>
      <c r="H18" s="1" t="s">
        <v>17</v>
      </c>
      <c r="I18" s="2">
        <v>63.63</v>
      </c>
      <c r="J18" s="12">
        <v>2</v>
      </c>
      <c r="K18" s="12" t="s">
        <v>35</v>
      </c>
      <c r="L18" s="11">
        <f t="shared" si="1"/>
        <v>127.26</v>
      </c>
      <c r="M18" s="30">
        <f t="shared" si="2"/>
        <v>0.65611466281707564</v>
      </c>
      <c r="N18" s="39">
        <v>30</v>
      </c>
      <c r="O18" s="39">
        <v>15</v>
      </c>
    </row>
    <row r="19" spans="1:15" ht="29">
      <c r="A19" s="34">
        <f t="shared" si="4"/>
        <v>17</v>
      </c>
      <c r="B19" s="41" t="s">
        <v>9</v>
      </c>
      <c r="C19" s="42">
        <v>322.01</v>
      </c>
      <c r="D19" s="43">
        <v>4</v>
      </c>
      <c r="E19" s="43" t="s">
        <v>45</v>
      </c>
      <c r="F19" s="42">
        <f t="shared" si="0"/>
        <v>1288.04</v>
      </c>
      <c r="G19" s="2">
        <f t="shared" si="3"/>
        <v>64.402000000000001</v>
      </c>
      <c r="H19" s="41" t="s">
        <v>9</v>
      </c>
      <c r="I19" s="42">
        <v>332.27</v>
      </c>
      <c r="J19" s="44">
        <v>2</v>
      </c>
      <c r="K19" s="44" t="s">
        <v>33</v>
      </c>
      <c r="L19" s="45">
        <f t="shared" si="1"/>
        <v>664.54</v>
      </c>
      <c r="M19" s="46">
        <f t="shared" si="2"/>
        <v>1.0318623645228409</v>
      </c>
      <c r="N19" s="47">
        <v>120</v>
      </c>
      <c r="O19" s="47">
        <v>60</v>
      </c>
    </row>
    <row r="20" spans="1:15" ht="29">
      <c r="A20" s="34">
        <f t="shared" si="4"/>
        <v>18</v>
      </c>
      <c r="B20" s="41" t="s">
        <v>13</v>
      </c>
      <c r="C20" s="42">
        <v>321.02999999999997</v>
      </c>
      <c r="D20" s="43">
        <v>3</v>
      </c>
      <c r="E20" s="43" t="s">
        <v>48</v>
      </c>
      <c r="F20" s="42">
        <f t="shared" si="0"/>
        <v>963.08999999999992</v>
      </c>
      <c r="G20" s="2">
        <f t="shared" si="3"/>
        <v>64.205999999999989</v>
      </c>
      <c r="H20" s="41" t="s">
        <v>13</v>
      </c>
      <c r="I20" s="42">
        <v>97.32</v>
      </c>
      <c r="J20" s="44">
        <v>2</v>
      </c>
      <c r="K20" s="44" t="s">
        <v>34</v>
      </c>
      <c r="L20" s="45">
        <f t="shared" si="1"/>
        <v>194.64</v>
      </c>
      <c r="M20" s="46">
        <f t="shared" si="2"/>
        <v>0.30314923838893559</v>
      </c>
      <c r="N20" s="47">
        <v>120</v>
      </c>
      <c r="O20" s="47">
        <v>60</v>
      </c>
    </row>
    <row r="21" spans="1:15" ht="27">
      <c r="A21" s="34">
        <f t="shared" si="4"/>
        <v>19</v>
      </c>
      <c r="B21" s="1" t="s">
        <v>7</v>
      </c>
      <c r="C21" s="2">
        <v>1464.94</v>
      </c>
      <c r="D21" s="6">
        <v>3</v>
      </c>
      <c r="E21" s="6" t="s">
        <v>43</v>
      </c>
      <c r="F21" s="2">
        <f t="shared" si="0"/>
        <v>4394.82</v>
      </c>
      <c r="G21" s="2">
        <f t="shared" si="3"/>
        <v>292.988</v>
      </c>
      <c r="H21" s="1" t="s">
        <v>7</v>
      </c>
      <c r="I21" s="2">
        <v>2069.4499999999998</v>
      </c>
      <c r="J21" s="12">
        <v>2</v>
      </c>
      <c r="K21" s="12" t="s">
        <v>35</v>
      </c>
      <c r="L21" s="11">
        <f t="shared" si="1"/>
        <v>4138.8999999999996</v>
      </c>
      <c r="M21" s="30">
        <f t="shared" si="2"/>
        <v>1.4126517126981308</v>
      </c>
      <c r="N21" s="39">
        <v>320</v>
      </c>
      <c r="O21" s="39">
        <v>160</v>
      </c>
    </row>
    <row r="22" spans="1:15" ht="14.5">
      <c r="A22" s="34">
        <f t="shared" si="4"/>
        <v>20</v>
      </c>
      <c r="B22" s="41" t="s">
        <v>12</v>
      </c>
      <c r="C22" s="42">
        <v>364.57</v>
      </c>
      <c r="D22" s="43">
        <v>3</v>
      </c>
      <c r="E22" s="43" t="s">
        <v>47</v>
      </c>
      <c r="F22" s="42">
        <f t="shared" si="0"/>
        <v>1093.71</v>
      </c>
      <c r="G22" s="2">
        <f t="shared" si="3"/>
        <v>72.914000000000001</v>
      </c>
      <c r="H22" s="41" t="s">
        <v>12</v>
      </c>
      <c r="I22" s="42">
        <v>142.5</v>
      </c>
      <c r="J22" s="44">
        <v>2</v>
      </c>
      <c r="K22" s="44" t="s">
        <v>34</v>
      </c>
      <c r="L22" s="45">
        <f t="shared" si="1"/>
        <v>285</v>
      </c>
      <c r="M22" s="46">
        <f t="shared" si="2"/>
        <v>0.39087143758400306</v>
      </c>
      <c r="N22" s="47">
        <v>120</v>
      </c>
      <c r="O22" s="47">
        <v>60</v>
      </c>
    </row>
    <row r="23" spans="1:15" ht="14.5">
      <c r="A23" s="34">
        <f t="shared" si="4"/>
        <v>21</v>
      </c>
      <c r="B23" s="41" t="s">
        <v>11</v>
      </c>
      <c r="C23" s="42">
        <v>514.04</v>
      </c>
      <c r="D23" s="43">
        <v>3</v>
      </c>
      <c r="E23" s="43" t="s">
        <v>46</v>
      </c>
      <c r="F23" s="42">
        <f t="shared" si="0"/>
        <v>1542.12</v>
      </c>
      <c r="G23" s="2">
        <f t="shared" si="3"/>
        <v>102.80799999999999</v>
      </c>
      <c r="H23" s="41" t="s">
        <v>11</v>
      </c>
      <c r="I23" s="42">
        <v>183.37</v>
      </c>
      <c r="J23" s="44">
        <v>2</v>
      </c>
      <c r="K23" s="44" t="s">
        <v>34</v>
      </c>
      <c r="L23" s="45">
        <f t="shared" si="1"/>
        <v>366.74</v>
      </c>
      <c r="M23" s="46">
        <f t="shared" si="2"/>
        <v>0.35672321220138514</v>
      </c>
      <c r="N23" s="47">
        <v>120</v>
      </c>
      <c r="O23" s="47">
        <v>60</v>
      </c>
    </row>
    <row r="24" spans="1:15" ht="29">
      <c r="A24" s="34">
        <f t="shared" si="4"/>
        <v>22</v>
      </c>
      <c r="B24" s="41" t="s">
        <v>37</v>
      </c>
      <c r="C24" s="42">
        <v>123.63</v>
      </c>
      <c r="D24" s="43">
        <v>4</v>
      </c>
      <c r="E24" s="43" t="s">
        <v>50</v>
      </c>
      <c r="F24" s="42">
        <f t="shared" si="0"/>
        <v>494.52</v>
      </c>
      <c r="G24" s="2">
        <f t="shared" si="3"/>
        <v>24.725999999999999</v>
      </c>
      <c r="H24" s="41" t="s">
        <v>37</v>
      </c>
      <c r="I24" s="42">
        <v>70.97</v>
      </c>
      <c r="J24" s="44">
        <v>2</v>
      </c>
      <c r="K24" s="44" t="s">
        <v>35</v>
      </c>
      <c r="L24" s="45">
        <f t="shared" si="1"/>
        <v>141.94</v>
      </c>
      <c r="M24" s="46">
        <f t="shared" si="2"/>
        <v>0.57405160559734691</v>
      </c>
      <c r="N24" s="47">
        <v>120</v>
      </c>
      <c r="O24" s="47">
        <v>60</v>
      </c>
    </row>
    <row r="25" spans="1:15">
      <c r="A25" s="34"/>
      <c r="B25" s="4"/>
      <c r="C25" s="10"/>
      <c r="D25" s="7"/>
      <c r="E25" s="7"/>
      <c r="F25" s="10"/>
      <c r="G25" s="10"/>
      <c r="H25" s="4"/>
      <c r="I25" s="10"/>
      <c r="J25" s="12"/>
      <c r="K25" s="12"/>
    </row>
    <row r="26" spans="1:15" s="19" customFormat="1">
      <c r="A26" s="35"/>
      <c r="B26" s="5" t="s">
        <v>26</v>
      </c>
      <c r="C26" s="23">
        <f>SUM(C3:C24)</f>
        <v>16750.580000000002</v>
      </c>
      <c r="D26" s="24"/>
      <c r="E26" s="24"/>
      <c r="F26" s="23">
        <f>SUM(F3:F24)</f>
        <v>50931.14</v>
      </c>
      <c r="G26" s="23"/>
      <c r="H26" s="5" t="s">
        <v>26</v>
      </c>
      <c r="I26" s="23">
        <f>SUM(I3:I24)</f>
        <v>12847.27</v>
      </c>
      <c r="J26" s="25"/>
      <c r="K26" s="25"/>
      <c r="L26" s="23">
        <f>SUM(L3:L24)</f>
        <v>25694.54</v>
      </c>
      <c r="M26" s="30">
        <f>I26/C26</f>
        <v>0.76697463610215277</v>
      </c>
      <c r="N26" s="39">
        <f>SUM(N3:N24)</f>
        <v>3500</v>
      </c>
      <c r="O26" s="39">
        <f>SUM(O3:O24)</f>
        <v>1750</v>
      </c>
    </row>
    <row r="27" spans="1:15" s="19" customFormat="1">
      <c r="A27" s="36"/>
      <c r="B27" s="19" t="s">
        <v>28</v>
      </c>
      <c r="C27" s="23">
        <f>C26</f>
        <v>16750.580000000002</v>
      </c>
      <c r="D27" s="26"/>
      <c r="E27" s="26"/>
      <c r="F27" s="23">
        <f>C27</f>
        <v>16750.580000000002</v>
      </c>
      <c r="G27" s="23">
        <f>AVERAGE(G3:G24)</f>
        <v>152.27800000000005</v>
      </c>
      <c r="H27" s="19" t="s">
        <v>28</v>
      </c>
      <c r="I27" s="9">
        <f>I26</f>
        <v>12847.27</v>
      </c>
      <c r="J27" s="27"/>
      <c r="K27" s="27"/>
      <c r="L27" s="9">
        <f>I27</f>
        <v>12847.27</v>
      </c>
      <c r="M27" s="29"/>
      <c r="N27" s="39">
        <f>C26/N26</f>
        <v>4.7858800000000006</v>
      </c>
      <c r="O27" s="39">
        <f>I26/O26</f>
        <v>7.341297142857143</v>
      </c>
    </row>
    <row r="28" spans="1:15" s="19" customFormat="1">
      <c r="A28" s="36"/>
      <c r="C28" s="9"/>
      <c r="D28" s="26"/>
      <c r="E28" s="26"/>
      <c r="F28" s="9"/>
      <c r="G28" s="9"/>
      <c r="I28" s="9"/>
      <c r="J28" s="27"/>
      <c r="K28" s="27"/>
      <c r="L28" s="9"/>
      <c r="M28" s="29"/>
      <c r="N28" s="39"/>
      <c r="O28" s="39"/>
    </row>
    <row r="29" spans="1:15" s="19" customFormat="1">
      <c r="A29" s="36"/>
      <c r="B29" s="22" t="s">
        <v>27</v>
      </c>
      <c r="C29" s="9"/>
      <c r="D29" s="26"/>
      <c r="E29" s="26"/>
      <c r="F29" s="9">
        <f>SUM(F26:F27)</f>
        <v>67681.72</v>
      </c>
      <c r="G29" s="9"/>
      <c r="H29" s="22" t="s">
        <v>27</v>
      </c>
      <c r="I29" s="9"/>
      <c r="J29" s="27"/>
      <c r="K29" s="27"/>
      <c r="L29" s="9">
        <f>SUM(L26:L27)</f>
        <v>38541.81</v>
      </c>
      <c r="M29" s="23">
        <f>AVERAGE(M5:M24)</f>
        <v>0.67202118631769658</v>
      </c>
      <c r="N29" s="39"/>
      <c r="O29" s="39"/>
    </row>
    <row r="30" spans="1:15" s="19" customFormat="1">
      <c r="A30" s="36"/>
      <c r="D30" s="20"/>
      <c r="E30" s="20"/>
      <c r="F30" s="11"/>
      <c r="G30" s="11"/>
      <c r="I30" s="11"/>
      <c r="J30" s="21"/>
      <c r="K30" s="21"/>
      <c r="L30" s="11"/>
      <c r="M30" s="30"/>
      <c r="N30" s="39"/>
      <c r="O30" s="39"/>
    </row>
    <row r="31" spans="1:15" s="19" customFormat="1">
      <c r="A31" s="36"/>
      <c r="C31" s="11"/>
      <c r="D31" s="20"/>
      <c r="E31" s="20"/>
      <c r="F31" s="11">
        <f>5000/40</f>
        <v>125</v>
      </c>
      <c r="G31" s="11"/>
      <c r="I31" s="11"/>
      <c r="J31" s="21"/>
      <c r="K31" s="21"/>
      <c r="L31" s="11"/>
      <c r="M31" s="30"/>
      <c r="N31" s="39"/>
      <c r="O31" s="39"/>
    </row>
  </sheetData>
  <mergeCells count="3">
    <mergeCell ref="I1:L1"/>
    <mergeCell ref="C1:F1"/>
    <mergeCell ref="N1:O1"/>
  </mergeCells>
  <phoneticPr fontId="3" type="noConversion"/>
  <printOptions horizontalCentered="1" gridLines="1"/>
  <pageMargins left="0.18" right="0.17" top="0.75" bottom="0.75" header="0.3" footer="0.3"/>
  <pageSetup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0" sqref="B30:B31"/>
    </sheetView>
  </sheetViews>
  <sheetFormatPr defaultRowHeight="12.5"/>
  <sheetData>
    <row r="1" spans="1:2" ht="13">
      <c r="A1" s="3" t="s">
        <v>60</v>
      </c>
      <c r="B1" s="3" t="s">
        <v>61</v>
      </c>
    </row>
    <row r="2" spans="1:2" ht="13.5">
      <c r="A2" s="8">
        <v>2</v>
      </c>
      <c r="B2" s="49">
        <v>0.61838125466207206</v>
      </c>
    </row>
    <row r="3" spans="1:2" ht="13.5">
      <c r="A3" s="8">
        <v>3</v>
      </c>
      <c r="B3" s="49">
        <v>0.47631113465766062</v>
      </c>
    </row>
    <row r="4" spans="1:2" ht="13.5">
      <c r="A4" s="8">
        <v>4</v>
      </c>
      <c r="B4" s="49">
        <v>0.3724830863695896</v>
      </c>
    </row>
    <row r="5" spans="1:2" ht="13.5">
      <c r="A5" s="8">
        <v>5</v>
      </c>
      <c r="B5" s="49">
        <v>0.2948026731944432</v>
      </c>
    </row>
    <row r="6" spans="1:2" ht="13.5">
      <c r="A6" s="8">
        <v>6</v>
      </c>
      <c r="B6" s="49">
        <v>0.21360000000000001</v>
      </c>
    </row>
    <row r="7" spans="1:2" ht="13.5">
      <c r="A7" s="8">
        <v>7</v>
      </c>
      <c r="B7" s="49">
        <v>0.21360000000000001</v>
      </c>
    </row>
    <row r="8" spans="1:2" ht="13.5">
      <c r="A8" s="8">
        <v>8</v>
      </c>
      <c r="B8" s="49">
        <v>0.18659999999999999</v>
      </c>
    </row>
    <row r="9" spans="1:2" ht="13.5">
      <c r="A9" s="50">
        <v>12</v>
      </c>
      <c r="B9" s="49">
        <v>0.15110000000000001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M25"/>
    </sheetView>
  </sheetViews>
  <sheetFormatPr defaultRowHeight="13.5"/>
  <cols>
    <col min="1" max="1" width="4.1796875" style="36" bestFit="1" customWidth="1"/>
    <col min="2" max="2" width="8.1796875" style="36" bestFit="1" customWidth="1"/>
    <col min="3" max="3" width="5.26953125" style="36" bestFit="1" customWidth="1"/>
    <col min="4" max="4" width="8.1796875" style="36" bestFit="1" customWidth="1"/>
    <col min="5" max="8" width="5.26953125" style="36" bestFit="1" customWidth="1"/>
    <col min="9" max="9" width="8.1796875" style="36" bestFit="1" customWidth="1"/>
    <col min="10" max="10" width="5.26953125" style="36" bestFit="1" customWidth="1"/>
    <col min="11" max="13" width="6.453125" style="36" bestFit="1" customWidth="1"/>
    <col min="14" max="14" width="5.453125" style="36" bestFit="1" customWidth="1"/>
  </cols>
  <sheetData>
    <row r="1" spans="1:15">
      <c r="A1" s="52" t="s">
        <v>22</v>
      </c>
      <c r="B1" s="277" t="s">
        <v>63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</row>
    <row r="2" spans="1:15">
      <c r="B2" s="52">
        <v>1</v>
      </c>
      <c r="C2" s="52">
        <v>2</v>
      </c>
      <c r="D2" s="52">
        <v>3</v>
      </c>
      <c r="E2" s="52">
        <v>4</v>
      </c>
      <c r="F2" s="52">
        <v>5</v>
      </c>
      <c r="G2" s="52">
        <v>6</v>
      </c>
      <c r="H2" s="52">
        <v>7</v>
      </c>
      <c r="I2" s="52">
        <v>8</v>
      </c>
      <c r="J2" s="52">
        <v>9</v>
      </c>
      <c r="K2" s="52">
        <v>10</v>
      </c>
      <c r="L2" s="52">
        <v>11</v>
      </c>
      <c r="M2" s="52">
        <v>12</v>
      </c>
      <c r="N2" s="275" t="s">
        <v>26</v>
      </c>
      <c r="O2" s="276"/>
    </row>
    <row r="3" spans="1:1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 t="s">
        <v>24</v>
      </c>
      <c r="O3" s="53" t="s">
        <v>25</v>
      </c>
    </row>
    <row r="4" spans="1:15">
      <c r="A4" s="52">
        <v>1</v>
      </c>
      <c r="B4" s="51" t="s">
        <v>62</v>
      </c>
      <c r="C4" s="51" t="s">
        <v>25</v>
      </c>
      <c r="D4" s="51" t="s">
        <v>24</v>
      </c>
      <c r="E4" s="51" t="s">
        <v>24</v>
      </c>
      <c r="F4" s="51"/>
      <c r="G4" s="51" t="s">
        <v>24</v>
      </c>
      <c r="H4" s="51"/>
      <c r="I4" s="51"/>
      <c r="J4" s="51"/>
      <c r="K4" s="51" t="s">
        <v>25</v>
      </c>
      <c r="L4" s="51"/>
      <c r="M4" s="51"/>
      <c r="N4" s="51">
        <v>4</v>
      </c>
      <c r="O4">
        <v>3</v>
      </c>
    </row>
    <row r="5" spans="1:15">
      <c r="A5" s="52">
        <f>A4+1</f>
        <v>2</v>
      </c>
      <c r="B5" s="51" t="s">
        <v>62</v>
      </c>
      <c r="C5" s="51" t="s">
        <v>25</v>
      </c>
      <c r="D5" s="51" t="s">
        <v>25</v>
      </c>
      <c r="E5" s="51" t="s">
        <v>24</v>
      </c>
      <c r="F5" s="51"/>
      <c r="G5" s="51" t="s">
        <v>24</v>
      </c>
      <c r="H5" s="51"/>
      <c r="I5" s="51" t="s">
        <v>24</v>
      </c>
      <c r="J5" s="51"/>
      <c r="K5" s="51"/>
      <c r="L5" s="51"/>
      <c r="M5" s="51"/>
      <c r="N5" s="51">
        <v>4</v>
      </c>
      <c r="O5">
        <v>3</v>
      </c>
    </row>
    <row r="6" spans="1:15">
      <c r="A6" s="52">
        <f t="shared" ref="A6:A25" si="0">A5+1</f>
        <v>3</v>
      </c>
      <c r="B6" s="51" t="s">
        <v>62</v>
      </c>
      <c r="C6" s="51" t="s">
        <v>25</v>
      </c>
      <c r="D6" s="51" t="s">
        <v>24</v>
      </c>
      <c r="E6" s="51" t="s">
        <v>24</v>
      </c>
      <c r="F6" s="51"/>
      <c r="G6" s="51" t="s">
        <v>24</v>
      </c>
      <c r="H6" s="51"/>
      <c r="I6" s="51"/>
      <c r="J6" s="51"/>
      <c r="K6" s="51" t="s">
        <v>25</v>
      </c>
      <c r="L6" s="51"/>
      <c r="M6" s="51"/>
      <c r="N6" s="51">
        <v>4</v>
      </c>
      <c r="O6">
        <v>3</v>
      </c>
    </row>
    <row r="7" spans="1:15">
      <c r="A7" s="52">
        <f t="shared" si="0"/>
        <v>4</v>
      </c>
      <c r="B7" s="51" t="s">
        <v>62</v>
      </c>
      <c r="C7" s="51" t="s">
        <v>25</v>
      </c>
      <c r="D7" s="51" t="s">
        <v>24</v>
      </c>
      <c r="E7" s="51"/>
      <c r="F7" s="51" t="s">
        <v>24</v>
      </c>
      <c r="G7" s="51"/>
      <c r="H7" s="51"/>
      <c r="I7" s="51" t="s">
        <v>62</v>
      </c>
      <c r="J7" s="51"/>
      <c r="K7" s="51"/>
      <c r="L7" s="51"/>
      <c r="M7" s="51"/>
      <c r="N7" s="51">
        <v>4</v>
      </c>
      <c r="O7">
        <v>3</v>
      </c>
    </row>
    <row r="8" spans="1:15">
      <c r="A8" s="52">
        <f t="shared" si="0"/>
        <v>5</v>
      </c>
      <c r="B8" s="51" t="s">
        <v>62</v>
      </c>
      <c r="C8" s="51" t="s">
        <v>25</v>
      </c>
      <c r="D8" s="51"/>
      <c r="E8" s="51"/>
      <c r="F8" s="51" t="s">
        <v>24</v>
      </c>
      <c r="G8" s="51" t="s">
        <v>24</v>
      </c>
      <c r="H8" s="51" t="s">
        <v>24</v>
      </c>
      <c r="I8" s="51"/>
      <c r="J8" s="51"/>
      <c r="K8" s="51"/>
      <c r="L8" s="51" t="s">
        <v>25</v>
      </c>
      <c r="M8" s="51"/>
      <c r="N8" s="51">
        <v>4</v>
      </c>
      <c r="O8">
        <v>3</v>
      </c>
    </row>
    <row r="9" spans="1:15">
      <c r="A9" s="52">
        <f t="shared" si="0"/>
        <v>6</v>
      </c>
      <c r="B9" s="51" t="s">
        <v>62</v>
      </c>
      <c r="C9" s="51" t="s">
        <v>25</v>
      </c>
      <c r="D9" s="51" t="s">
        <v>62</v>
      </c>
      <c r="E9" s="51"/>
      <c r="F9" s="51"/>
      <c r="G9" s="51"/>
      <c r="H9" s="51" t="s">
        <v>24</v>
      </c>
      <c r="I9" s="51" t="s">
        <v>24</v>
      </c>
      <c r="J9" s="51"/>
      <c r="K9" s="51"/>
      <c r="L9" s="51"/>
      <c r="M9" s="51"/>
      <c r="N9" s="51">
        <v>4</v>
      </c>
      <c r="O9">
        <v>3</v>
      </c>
    </row>
    <row r="10" spans="1:15">
      <c r="A10" s="52">
        <f t="shared" si="0"/>
        <v>7</v>
      </c>
      <c r="B10" s="51" t="s">
        <v>62</v>
      </c>
      <c r="C10" s="51" t="s">
        <v>25</v>
      </c>
      <c r="D10" s="51" t="s">
        <v>25</v>
      </c>
      <c r="E10" s="51"/>
      <c r="F10" s="51" t="s">
        <v>24</v>
      </c>
      <c r="G10" s="51" t="s">
        <v>24</v>
      </c>
      <c r="H10" s="51" t="s">
        <v>24</v>
      </c>
      <c r="I10" s="51"/>
      <c r="J10" s="51"/>
      <c r="K10" s="51"/>
      <c r="L10" s="51"/>
      <c r="M10" s="51"/>
      <c r="N10" s="51">
        <v>4</v>
      </c>
      <c r="O10">
        <v>3</v>
      </c>
    </row>
    <row r="11" spans="1:15">
      <c r="A11" s="52">
        <f t="shared" si="0"/>
        <v>8</v>
      </c>
      <c r="B11" s="51" t="s">
        <v>62</v>
      </c>
      <c r="C11" s="51" t="s">
        <v>25</v>
      </c>
      <c r="D11" s="51" t="s">
        <v>24</v>
      </c>
      <c r="E11" s="51"/>
      <c r="F11" s="51"/>
      <c r="G11" s="51" t="s">
        <v>24</v>
      </c>
      <c r="H11" s="51"/>
      <c r="I11" s="51" t="s">
        <v>62</v>
      </c>
      <c r="J11" s="51"/>
      <c r="K11" s="51"/>
      <c r="L11" s="51"/>
      <c r="M11" s="51"/>
      <c r="N11" s="51">
        <v>4</v>
      </c>
      <c r="O11">
        <v>3</v>
      </c>
    </row>
    <row r="12" spans="1:15">
      <c r="A12" s="52">
        <f t="shared" si="0"/>
        <v>9</v>
      </c>
      <c r="B12" s="51" t="s">
        <v>62</v>
      </c>
      <c r="C12" s="51" t="s">
        <v>25</v>
      </c>
      <c r="D12" s="51"/>
      <c r="E12" s="51"/>
      <c r="F12" s="51" t="s">
        <v>24</v>
      </c>
      <c r="G12" s="51" t="s">
        <v>24</v>
      </c>
      <c r="H12" s="51" t="s">
        <v>24</v>
      </c>
      <c r="I12" s="51"/>
      <c r="J12" s="51"/>
      <c r="K12" s="51" t="s">
        <v>25</v>
      </c>
      <c r="L12" s="51"/>
      <c r="M12" s="51"/>
      <c r="N12" s="51">
        <v>4</v>
      </c>
      <c r="O12">
        <v>3</v>
      </c>
    </row>
    <row r="13" spans="1:15">
      <c r="A13" s="52">
        <f t="shared" si="0"/>
        <v>10</v>
      </c>
      <c r="B13" s="51" t="s">
        <v>62</v>
      </c>
      <c r="C13" s="51" t="s">
        <v>25</v>
      </c>
      <c r="D13" s="51"/>
      <c r="E13" s="51"/>
      <c r="F13" s="51" t="s">
        <v>24</v>
      </c>
      <c r="G13" s="51"/>
      <c r="H13" s="51" t="s">
        <v>24</v>
      </c>
      <c r="I13" s="51" t="s">
        <v>24</v>
      </c>
      <c r="J13" s="51"/>
      <c r="K13" s="51" t="s">
        <v>25</v>
      </c>
      <c r="L13" s="51"/>
      <c r="M13" s="51"/>
      <c r="N13" s="51">
        <v>6</v>
      </c>
    </row>
    <row r="14" spans="1:15">
      <c r="A14" s="52">
        <f t="shared" si="0"/>
        <v>11</v>
      </c>
      <c r="B14" s="51" t="s">
        <v>62</v>
      </c>
      <c r="C14" s="51" t="s">
        <v>25</v>
      </c>
      <c r="D14" s="51"/>
      <c r="E14" s="51" t="s">
        <v>24</v>
      </c>
      <c r="F14" s="51" t="s">
        <v>24</v>
      </c>
      <c r="G14" s="51"/>
      <c r="H14" s="51" t="s">
        <v>24</v>
      </c>
      <c r="I14" s="51"/>
      <c r="J14" s="51"/>
      <c r="K14" s="51"/>
      <c r="L14" s="51"/>
      <c r="M14" s="51" t="s">
        <v>25</v>
      </c>
      <c r="N14" s="51">
        <v>6</v>
      </c>
    </row>
    <row r="15" spans="1:15">
      <c r="A15" s="52">
        <f t="shared" si="0"/>
        <v>12</v>
      </c>
      <c r="B15" s="51" t="s">
        <v>62</v>
      </c>
      <c r="C15" s="51" t="s">
        <v>25</v>
      </c>
      <c r="D15" s="51" t="s">
        <v>25</v>
      </c>
      <c r="E15" s="51" t="s">
        <v>24</v>
      </c>
      <c r="F15" s="51" t="s">
        <v>24</v>
      </c>
      <c r="G15" s="51"/>
      <c r="H15" s="51" t="s">
        <v>24</v>
      </c>
      <c r="I15" s="51" t="s">
        <v>24</v>
      </c>
      <c r="J15" s="51"/>
      <c r="K15" s="51"/>
      <c r="L15" s="51"/>
      <c r="M15" s="51"/>
      <c r="N15" s="51">
        <v>7</v>
      </c>
    </row>
    <row r="16" spans="1:15">
      <c r="A16" s="52">
        <f t="shared" si="0"/>
        <v>13</v>
      </c>
      <c r="B16" s="51" t="s">
        <v>62</v>
      </c>
      <c r="C16" s="51" t="s">
        <v>25</v>
      </c>
      <c r="D16" s="51" t="s">
        <v>24</v>
      </c>
      <c r="E16" s="51" t="s">
        <v>24</v>
      </c>
      <c r="F16" s="51"/>
      <c r="G16" s="51"/>
      <c r="H16" s="51" t="s">
        <v>24</v>
      </c>
      <c r="I16" s="51"/>
      <c r="J16" s="51"/>
      <c r="K16" s="51"/>
      <c r="L16" s="51" t="s">
        <v>25</v>
      </c>
      <c r="M16" s="51"/>
      <c r="N16" s="51">
        <v>6</v>
      </c>
    </row>
    <row r="17" spans="1:14">
      <c r="A17" s="52">
        <f t="shared" si="0"/>
        <v>14</v>
      </c>
      <c r="B17" s="51" t="s">
        <v>62</v>
      </c>
      <c r="C17" s="51" t="s">
        <v>25</v>
      </c>
      <c r="D17" s="51"/>
      <c r="E17" s="51"/>
      <c r="F17" s="51" t="s">
        <v>24</v>
      </c>
      <c r="G17" s="51" t="s">
        <v>24</v>
      </c>
      <c r="H17" s="51"/>
      <c r="I17" s="51" t="s">
        <v>24</v>
      </c>
      <c r="J17" s="51"/>
      <c r="K17" s="51"/>
      <c r="L17" s="51" t="s">
        <v>25</v>
      </c>
      <c r="M17" s="51"/>
      <c r="N17" s="51">
        <v>6</v>
      </c>
    </row>
    <row r="18" spans="1:14">
      <c r="A18" s="52">
        <f t="shared" si="0"/>
        <v>15</v>
      </c>
      <c r="B18" s="51" t="s">
        <v>62</v>
      </c>
      <c r="C18" s="51" t="s">
        <v>25</v>
      </c>
      <c r="D18" s="51" t="s">
        <v>24</v>
      </c>
      <c r="E18" s="51"/>
      <c r="F18" s="51" t="s">
        <v>24</v>
      </c>
      <c r="G18" s="51"/>
      <c r="H18" s="51" t="s">
        <v>24</v>
      </c>
      <c r="I18" s="51"/>
      <c r="J18" s="51"/>
      <c r="K18" s="51"/>
      <c r="L18" s="51" t="s">
        <v>25</v>
      </c>
      <c r="M18" s="51"/>
      <c r="N18" s="51">
        <v>6</v>
      </c>
    </row>
    <row r="19" spans="1:14">
      <c r="A19" s="52">
        <f t="shared" si="0"/>
        <v>16</v>
      </c>
      <c r="B19" s="51" t="s">
        <v>62</v>
      </c>
      <c r="C19" s="51" t="s">
        <v>25</v>
      </c>
      <c r="D19" s="51" t="s">
        <v>24</v>
      </c>
      <c r="E19" s="51" t="s">
        <v>24</v>
      </c>
      <c r="F19" s="51"/>
      <c r="G19" s="51" t="s">
        <v>24</v>
      </c>
      <c r="H19" s="51"/>
      <c r="I19" s="51" t="s">
        <v>62</v>
      </c>
      <c r="J19" s="51"/>
      <c r="K19" s="51"/>
      <c r="L19" s="51"/>
      <c r="M19" s="51"/>
      <c r="N19" s="51">
        <v>6</v>
      </c>
    </row>
    <row r="20" spans="1:14">
      <c r="A20" s="52">
        <f t="shared" si="0"/>
        <v>17</v>
      </c>
      <c r="B20" s="51" t="s">
        <v>62</v>
      </c>
      <c r="C20" s="51" t="s">
        <v>25</v>
      </c>
      <c r="D20" s="51" t="s">
        <v>24</v>
      </c>
      <c r="E20" s="51" t="s">
        <v>24</v>
      </c>
      <c r="F20" s="51"/>
      <c r="G20" s="51"/>
      <c r="H20" s="51"/>
      <c r="I20" s="51" t="s">
        <v>62</v>
      </c>
      <c r="J20" s="51"/>
      <c r="K20" s="51"/>
      <c r="L20" s="51"/>
      <c r="M20" s="51"/>
      <c r="N20" s="51">
        <v>5</v>
      </c>
    </row>
    <row r="21" spans="1:14">
      <c r="A21" s="52">
        <f t="shared" si="0"/>
        <v>18</v>
      </c>
      <c r="B21" s="51" t="s">
        <v>62</v>
      </c>
      <c r="C21" s="51" t="s">
        <v>25</v>
      </c>
      <c r="D21" s="51" t="s">
        <v>24</v>
      </c>
      <c r="E21" s="51" t="s">
        <v>24</v>
      </c>
      <c r="F21" s="51"/>
      <c r="G21" s="51"/>
      <c r="H21" s="51"/>
      <c r="I21" s="51" t="s">
        <v>62</v>
      </c>
      <c r="J21" s="51" t="s">
        <v>24</v>
      </c>
      <c r="K21" s="51"/>
      <c r="L21" s="51"/>
      <c r="M21" s="51"/>
      <c r="N21" s="51">
        <v>6</v>
      </c>
    </row>
    <row r="22" spans="1:14">
      <c r="A22" s="52">
        <f t="shared" si="0"/>
        <v>19</v>
      </c>
      <c r="B22" s="51" t="s">
        <v>62</v>
      </c>
      <c r="C22" s="51" t="s">
        <v>25</v>
      </c>
      <c r="D22" s="51" t="s">
        <v>24</v>
      </c>
      <c r="E22" s="51" t="s">
        <v>24</v>
      </c>
      <c r="F22" s="51" t="s">
        <v>24</v>
      </c>
      <c r="G22" s="51"/>
      <c r="H22" s="51"/>
      <c r="I22" s="51"/>
      <c r="J22" s="51" t="s">
        <v>24</v>
      </c>
      <c r="K22" s="51"/>
      <c r="L22" s="51" t="s">
        <v>25</v>
      </c>
      <c r="M22" s="51"/>
      <c r="N22" s="51">
        <v>7</v>
      </c>
    </row>
    <row r="23" spans="1:14">
      <c r="A23" s="52">
        <f t="shared" si="0"/>
        <v>20</v>
      </c>
      <c r="B23" s="51" t="s">
        <v>62</v>
      </c>
      <c r="C23" s="51" t="s">
        <v>25</v>
      </c>
      <c r="D23" s="51" t="s">
        <v>24</v>
      </c>
      <c r="E23" s="51" t="s">
        <v>24</v>
      </c>
      <c r="F23" s="51" t="s">
        <v>24</v>
      </c>
      <c r="G23" s="51"/>
      <c r="H23" s="51"/>
      <c r="I23" s="51" t="s">
        <v>62</v>
      </c>
      <c r="J23" s="51"/>
      <c r="K23" s="51"/>
      <c r="L23" s="51"/>
      <c r="M23" s="51"/>
      <c r="N23" s="51">
        <v>6</v>
      </c>
    </row>
    <row r="24" spans="1:14">
      <c r="A24" s="52">
        <f t="shared" si="0"/>
        <v>21</v>
      </c>
      <c r="B24" s="51" t="s">
        <v>62</v>
      </c>
      <c r="C24" s="51" t="s">
        <v>25</v>
      </c>
      <c r="D24" s="51" t="s">
        <v>24</v>
      </c>
      <c r="E24" s="51" t="s">
        <v>24</v>
      </c>
      <c r="F24" s="51"/>
      <c r="G24" s="51"/>
      <c r="H24" s="51"/>
      <c r="I24" s="51" t="s">
        <v>62</v>
      </c>
      <c r="J24" s="51"/>
      <c r="K24" s="51"/>
      <c r="L24" s="51"/>
      <c r="M24" s="51"/>
      <c r="N24" s="51">
        <v>5</v>
      </c>
    </row>
    <row r="25" spans="1:14">
      <c r="A25" s="52">
        <f t="shared" si="0"/>
        <v>22</v>
      </c>
      <c r="B25" s="51" t="s">
        <v>62</v>
      </c>
      <c r="C25" s="51" t="s">
        <v>25</v>
      </c>
      <c r="D25" s="51"/>
      <c r="E25" s="51" t="s">
        <v>24</v>
      </c>
      <c r="F25" s="51"/>
      <c r="G25" s="51"/>
      <c r="H25" s="51"/>
      <c r="I25" s="51" t="s">
        <v>62</v>
      </c>
      <c r="J25" s="51" t="s">
        <v>24</v>
      </c>
      <c r="K25" s="51"/>
      <c r="L25" s="51"/>
      <c r="M25" s="51"/>
      <c r="N25" s="51">
        <v>5</v>
      </c>
    </row>
  </sheetData>
  <mergeCells count="2">
    <mergeCell ref="N2:O2"/>
    <mergeCell ref="B1:M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10" sqref="K10"/>
    </sheetView>
  </sheetViews>
  <sheetFormatPr defaultRowHeight="13.5"/>
  <cols>
    <col min="1" max="1" width="17.81640625" bestFit="1" customWidth="1"/>
    <col min="2" max="2" width="12.26953125" style="11" bestFit="1" customWidth="1"/>
    <col min="3" max="3" width="14.81640625" style="8" bestFit="1" customWidth="1"/>
    <col min="4" max="4" width="14.54296875" style="8" customWidth="1"/>
    <col min="5" max="5" width="14.26953125" style="8" customWidth="1"/>
    <col min="6" max="6" width="14.81640625" style="11" customWidth="1"/>
    <col min="8" max="8" width="10.54296875" style="67" customWidth="1"/>
  </cols>
  <sheetData>
    <row r="1" spans="1:9">
      <c r="A1" s="54" t="s">
        <v>22</v>
      </c>
      <c r="B1" s="278" t="s">
        <v>64</v>
      </c>
      <c r="C1" s="278"/>
      <c r="D1" s="278"/>
      <c r="E1" s="278"/>
      <c r="F1" s="278"/>
      <c r="G1" s="278"/>
      <c r="H1" s="278"/>
    </row>
    <row r="2" spans="1:9" ht="67.5">
      <c r="A2" s="55"/>
      <c r="B2" s="56" t="s">
        <v>65</v>
      </c>
      <c r="C2" s="57" t="s">
        <v>67</v>
      </c>
      <c r="D2" s="64" t="s">
        <v>68</v>
      </c>
      <c r="E2" s="64" t="s">
        <v>80</v>
      </c>
      <c r="F2" s="65" t="s">
        <v>57</v>
      </c>
      <c r="G2" s="68" t="s">
        <v>81</v>
      </c>
      <c r="H2" s="69" t="s">
        <v>82</v>
      </c>
      <c r="I2" s="69" t="s">
        <v>119</v>
      </c>
    </row>
    <row r="3" spans="1:9" ht="14.5">
      <c r="A3" s="62" t="s">
        <v>5</v>
      </c>
      <c r="B3" s="61">
        <v>286.91000000000003</v>
      </c>
      <c r="C3" s="63" t="s">
        <v>66</v>
      </c>
      <c r="D3" s="63">
        <v>4</v>
      </c>
      <c r="E3" s="60">
        <f t="shared" ref="E3:E24" si="0">D3*1.25</f>
        <v>5</v>
      </c>
      <c r="F3" s="61">
        <f t="shared" ref="F3:F23" si="1">B3*D3</f>
        <v>1147.6400000000001</v>
      </c>
      <c r="G3">
        <v>286.91000000000003</v>
      </c>
      <c r="H3" s="67">
        <f>(B3-G3)/G3</f>
        <v>0</v>
      </c>
      <c r="I3">
        <f>F3/E3</f>
        <v>229.52800000000002</v>
      </c>
    </row>
    <row r="4" spans="1:9" ht="40.5">
      <c r="A4" s="62" t="s">
        <v>18</v>
      </c>
      <c r="B4" s="61">
        <v>8.67</v>
      </c>
      <c r="C4" s="63" t="s">
        <v>69</v>
      </c>
      <c r="D4" s="63">
        <v>7</v>
      </c>
      <c r="E4" s="60">
        <f t="shared" si="0"/>
        <v>8.75</v>
      </c>
      <c r="F4" s="61">
        <f t="shared" si="1"/>
        <v>60.69</v>
      </c>
      <c r="G4">
        <v>8.67</v>
      </c>
      <c r="H4" s="67">
        <f>(B4-G4)/G4</f>
        <v>0</v>
      </c>
      <c r="I4">
        <f t="shared" ref="I4:I24" si="2">F4/E4</f>
        <v>6.9359999999999999</v>
      </c>
    </row>
    <row r="5" spans="1:9" ht="54">
      <c r="A5" s="62" t="s">
        <v>16</v>
      </c>
      <c r="B5" s="61">
        <v>46.43</v>
      </c>
      <c r="C5" s="63" t="s">
        <v>70</v>
      </c>
      <c r="D5" s="63">
        <v>11</v>
      </c>
      <c r="E5" s="60">
        <f t="shared" si="0"/>
        <v>13.75</v>
      </c>
      <c r="F5" s="61">
        <f t="shared" si="1"/>
        <v>510.73</v>
      </c>
      <c r="G5">
        <v>42.51</v>
      </c>
      <c r="H5" s="67">
        <f>(B5-G5)/G5</f>
        <v>9.2213596800752806E-2</v>
      </c>
      <c r="I5">
        <f t="shared" si="2"/>
        <v>37.143999999999998</v>
      </c>
    </row>
    <row r="6" spans="1:9" ht="14.5">
      <c r="A6" s="58" t="s">
        <v>0</v>
      </c>
      <c r="B6" s="59"/>
      <c r="C6" s="60">
        <v>0</v>
      </c>
      <c r="D6" s="60">
        <v>0</v>
      </c>
      <c r="E6" s="60">
        <f t="shared" si="0"/>
        <v>0</v>
      </c>
      <c r="F6" s="61">
        <f t="shared" si="1"/>
        <v>0</v>
      </c>
      <c r="G6">
        <v>693.06</v>
      </c>
    </row>
    <row r="7" spans="1:9" ht="27">
      <c r="A7" s="62" t="s">
        <v>4</v>
      </c>
      <c r="B7" s="61">
        <v>224.84</v>
      </c>
      <c r="C7" s="63" t="s">
        <v>71</v>
      </c>
      <c r="D7" s="63">
        <v>8</v>
      </c>
      <c r="E7" s="60">
        <f t="shared" si="0"/>
        <v>10</v>
      </c>
      <c r="F7" s="61">
        <f t="shared" si="1"/>
        <v>1798.72</v>
      </c>
      <c r="G7">
        <v>224.84</v>
      </c>
      <c r="H7" s="67">
        <f>(B7-G7)/G7</f>
        <v>0</v>
      </c>
      <c r="I7">
        <f t="shared" si="2"/>
        <v>179.87200000000001</v>
      </c>
    </row>
    <row r="8" spans="1:9" ht="29">
      <c r="A8" s="58" t="s">
        <v>10</v>
      </c>
      <c r="B8" s="59">
        <v>46.52</v>
      </c>
      <c r="C8" s="60" t="s">
        <v>72</v>
      </c>
      <c r="D8" s="60">
        <v>6</v>
      </c>
      <c r="E8" s="60">
        <f t="shared" si="0"/>
        <v>7.5</v>
      </c>
      <c r="F8" s="61">
        <f t="shared" si="1"/>
        <v>279.12</v>
      </c>
      <c r="G8">
        <v>46.52</v>
      </c>
      <c r="H8" s="67">
        <f>(B8-G8)/G8</f>
        <v>0</v>
      </c>
      <c r="I8">
        <f t="shared" si="2"/>
        <v>37.216000000000001</v>
      </c>
    </row>
    <row r="9" spans="1:9" ht="14.5">
      <c r="A9" s="62" t="s">
        <v>15</v>
      </c>
      <c r="B9" s="61">
        <v>7.78</v>
      </c>
      <c r="C9" s="63" t="s">
        <v>73</v>
      </c>
      <c r="D9" s="63">
        <v>1</v>
      </c>
      <c r="E9" s="60">
        <f t="shared" si="0"/>
        <v>1.25</v>
      </c>
      <c r="F9" s="61">
        <f t="shared" si="1"/>
        <v>7.78</v>
      </c>
      <c r="G9">
        <v>7.78</v>
      </c>
      <c r="H9" s="67">
        <f>(B9-G9)/G9</f>
        <v>0</v>
      </c>
      <c r="I9">
        <f t="shared" si="2"/>
        <v>6.2240000000000002</v>
      </c>
    </row>
    <row r="10" spans="1:9" ht="27">
      <c r="A10" s="62" t="s">
        <v>20</v>
      </c>
      <c r="B10" s="61">
        <v>6.33</v>
      </c>
      <c r="C10" s="63" t="s">
        <v>74</v>
      </c>
      <c r="D10" s="63">
        <v>6</v>
      </c>
      <c r="E10" s="60">
        <f t="shared" si="0"/>
        <v>7.5</v>
      </c>
      <c r="F10" s="61">
        <f t="shared" si="1"/>
        <v>37.980000000000004</v>
      </c>
      <c r="G10">
        <v>6.33</v>
      </c>
      <c r="H10" s="67">
        <f>(B10-G10)/G10</f>
        <v>0</v>
      </c>
      <c r="I10">
        <f t="shared" si="2"/>
        <v>5.0640000000000009</v>
      </c>
    </row>
    <row r="11" spans="1:9" ht="14.5">
      <c r="A11" s="62" t="s">
        <v>6</v>
      </c>
      <c r="B11" s="61"/>
      <c r="C11" s="60">
        <v>0</v>
      </c>
      <c r="D11" s="60">
        <v>0</v>
      </c>
      <c r="E11" s="60">
        <f t="shared" si="0"/>
        <v>0</v>
      </c>
      <c r="F11" s="61">
        <f t="shared" si="1"/>
        <v>0</v>
      </c>
      <c r="G11">
        <v>330.12</v>
      </c>
    </row>
    <row r="12" spans="1:9" ht="14.5">
      <c r="A12" s="58" t="s">
        <v>8</v>
      </c>
      <c r="B12" s="59">
        <v>65.3</v>
      </c>
      <c r="C12" s="60" t="s">
        <v>73</v>
      </c>
      <c r="D12" s="60">
        <v>1</v>
      </c>
      <c r="E12" s="60">
        <f t="shared" si="0"/>
        <v>1.25</v>
      </c>
      <c r="F12" s="61">
        <f t="shared" si="1"/>
        <v>65.3</v>
      </c>
      <c r="G12">
        <v>65.3</v>
      </c>
      <c r="H12" s="67">
        <f>(B12-G12)/G12</f>
        <v>0</v>
      </c>
      <c r="I12">
        <f t="shared" si="2"/>
        <v>52.239999999999995</v>
      </c>
    </row>
    <row r="13" spans="1:9" ht="14.5">
      <c r="A13" s="58" t="s">
        <v>2</v>
      </c>
      <c r="B13" s="59">
        <v>113.72</v>
      </c>
      <c r="C13" s="60" t="s">
        <v>75</v>
      </c>
      <c r="D13" s="60">
        <v>4</v>
      </c>
      <c r="E13" s="60">
        <f t="shared" si="0"/>
        <v>5</v>
      </c>
      <c r="F13" s="61">
        <f t="shared" si="1"/>
        <v>454.88</v>
      </c>
      <c r="G13">
        <v>113.72</v>
      </c>
      <c r="H13" s="67">
        <f>(B13-G13)/G13</f>
        <v>0</v>
      </c>
      <c r="I13">
        <f t="shared" si="2"/>
        <v>90.975999999999999</v>
      </c>
    </row>
    <row r="14" spans="1:9" ht="29">
      <c r="A14" s="58" t="s">
        <v>14</v>
      </c>
      <c r="B14" s="59">
        <v>53.99</v>
      </c>
      <c r="C14" s="60" t="s">
        <v>72</v>
      </c>
      <c r="D14" s="60">
        <v>6</v>
      </c>
      <c r="E14" s="60">
        <f t="shared" si="0"/>
        <v>7.5</v>
      </c>
      <c r="F14" s="61">
        <f t="shared" si="1"/>
        <v>323.94</v>
      </c>
      <c r="G14">
        <v>53.99</v>
      </c>
      <c r="H14" s="67">
        <f>(B14-G14)/G14</f>
        <v>0</v>
      </c>
      <c r="I14">
        <f t="shared" si="2"/>
        <v>43.192</v>
      </c>
    </row>
    <row r="15" spans="1:9" ht="27">
      <c r="A15" s="62" t="s">
        <v>3</v>
      </c>
      <c r="B15" s="61">
        <v>262.81</v>
      </c>
      <c r="C15" s="63" t="s">
        <v>76</v>
      </c>
      <c r="D15" s="63">
        <v>5</v>
      </c>
      <c r="E15" s="60">
        <f t="shared" si="0"/>
        <v>6.25</v>
      </c>
      <c r="F15" s="61">
        <f t="shared" si="1"/>
        <v>1314.05</v>
      </c>
      <c r="G15">
        <v>262.81</v>
      </c>
      <c r="H15" s="67">
        <f>(B15-G15)/G15</f>
        <v>0</v>
      </c>
      <c r="I15">
        <f t="shared" si="2"/>
        <v>210.24799999999999</v>
      </c>
    </row>
    <row r="16" spans="1:9" ht="14.5">
      <c r="A16" s="58" t="s">
        <v>1</v>
      </c>
      <c r="B16" s="59"/>
      <c r="C16" s="60">
        <v>0</v>
      </c>
      <c r="D16" s="60">
        <v>0</v>
      </c>
      <c r="E16" s="60">
        <f t="shared" si="0"/>
        <v>0</v>
      </c>
      <c r="F16" s="61">
        <f t="shared" si="1"/>
        <v>0</v>
      </c>
      <c r="G16">
        <v>678.45</v>
      </c>
    </row>
    <row r="17" spans="1:9" ht="27">
      <c r="A17" s="62" t="s">
        <v>19</v>
      </c>
      <c r="B17" s="61">
        <v>8.84</v>
      </c>
      <c r="C17" s="63" t="s">
        <v>77</v>
      </c>
      <c r="D17" s="63">
        <v>6</v>
      </c>
      <c r="E17" s="60">
        <f t="shared" si="0"/>
        <v>7.5</v>
      </c>
      <c r="F17" s="61">
        <f t="shared" si="1"/>
        <v>53.04</v>
      </c>
      <c r="G17">
        <v>8.84</v>
      </c>
      <c r="H17" s="67">
        <f>(B17-G17)/G17</f>
        <v>0</v>
      </c>
      <c r="I17">
        <f t="shared" si="2"/>
        <v>7.0720000000000001</v>
      </c>
    </row>
    <row r="18" spans="1:9" ht="27">
      <c r="A18" s="62" t="s">
        <v>17</v>
      </c>
      <c r="B18" s="61">
        <v>20.27</v>
      </c>
      <c r="C18" s="63" t="s">
        <v>77</v>
      </c>
      <c r="D18" s="63">
        <v>6</v>
      </c>
      <c r="E18" s="60">
        <f t="shared" si="0"/>
        <v>7.5</v>
      </c>
      <c r="F18" s="61">
        <f t="shared" si="1"/>
        <v>121.62</v>
      </c>
      <c r="G18">
        <v>20.27</v>
      </c>
      <c r="H18" s="67">
        <f>(B18-G18)/G18</f>
        <v>0</v>
      </c>
      <c r="I18">
        <f t="shared" si="2"/>
        <v>16.216000000000001</v>
      </c>
    </row>
    <row r="19" spans="1:9" ht="14.5">
      <c r="A19" s="58" t="s">
        <v>9</v>
      </c>
      <c r="B19" s="59">
        <v>67.28</v>
      </c>
      <c r="C19" s="60" t="s">
        <v>73</v>
      </c>
      <c r="D19" s="60">
        <v>1</v>
      </c>
      <c r="E19" s="60">
        <f t="shared" si="0"/>
        <v>1.25</v>
      </c>
      <c r="F19" s="61">
        <f t="shared" si="1"/>
        <v>67.28</v>
      </c>
      <c r="G19">
        <v>67.28</v>
      </c>
      <c r="H19" s="67">
        <f>(B19-G19)/G19</f>
        <v>0</v>
      </c>
      <c r="I19">
        <f t="shared" si="2"/>
        <v>53.823999999999998</v>
      </c>
    </row>
    <row r="20" spans="1:9" ht="14.5">
      <c r="A20" s="58" t="s">
        <v>13</v>
      </c>
      <c r="B20" s="59"/>
      <c r="C20" s="60">
        <v>0</v>
      </c>
      <c r="D20" s="60">
        <v>0</v>
      </c>
      <c r="E20" s="60">
        <f t="shared" si="0"/>
        <v>0</v>
      </c>
      <c r="F20" s="61">
        <f t="shared" si="1"/>
        <v>0</v>
      </c>
      <c r="G20" s="66">
        <v>67.08</v>
      </c>
    </row>
    <row r="21" spans="1:9" ht="14.5">
      <c r="A21" s="62" t="s">
        <v>7</v>
      </c>
      <c r="B21" s="61">
        <v>306.08999999999997</v>
      </c>
      <c r="C21" s="63" t="s">
        <v>75</v>
      </c>
      <c r="D21" s="63">
        <v>4</v>
      </c>
      <c r="E21" s="60">
        <f t="shared" si="0"/>
        <v>5</v>
      </c>
      <c r="F21" s="61">
        <f t="shared" si="1"/>
        <v>1224.3599999999999</v>
      </c>
      <c r="G21">
        <v>306.08999999999997</v>
      </c>
      <c r="H21" s="67">
        <f>(B21-G21)/G21</f>
        <v>0</v>
      </c>
      <c r="I21">
        <f t="shared" si="2"/>
        <v>244.87199999999999</v>
      </c>
    </row>
    <row r="22" spans="1:9" ht="43.5">
      <c r="A22" s="58" t="s">
        <v>12</v>
      </c>
      <c r="B22" s="59">
        <v>76.17</v>
      </c>
      <c r="C22" s="60" t="s">
        <v>78</v>
      </c>
      <c r="D22" s="60">
        <v>9</v>
      </c>
      <c r="E22" s="60">
        <f t="shared" si="0"/>
        <v>11.25</v>
      </c>
      <c r="F22" s="61">
        <f t="shared" si="1"/>
        <v>685.53</v>
      </c>
      <c r="G22">
        <v>76.17</v>
      </c>
      <c r="H22" s="67">
        <f>(B22-G22)/G22</f>
        <v>0</v>
      </c>
      <c r="I22">
        <f t="shared" si="2"/>
        <v>60.936</v>
      </c>
    </row>
    <row r="23" spans="1:9" ht="29">
      <c r="A23" s="58" t="s">
        <v>11</v>
      </c>
      <c r="B23" s="59">
        <v>107.41</v>
      </c>
      <c r="C23" s="60" t="s">
        <v>79</v>
      </c>
      <c r="D23" s="60">
        <v>8</v>
      </c>
      <c r="E23" s="60">
        <f t="shared" si="0"/>
        <v>10</v>
      </c>
      <c r="F23" s="61">
        <f t="shared" si="1"/>
        <v>859.28</v>
      </c>
      <c r="G23">
        <v>107.41</v>
      </c>
      <c r="H23" s="67">
        <f>(B23-G23)/G23</f>
        <v>0</v>
      </c>
      <c r="I23">
        <f t="shared" si="2"/>
        <v>85.927999999999997</v>
      </c>
    </row>
    <row r="24" spans="1:9" ht="29">
      <c r="A24" s="58" t="s">
        <v>37</v>
      </c>
      <c r="B24" s="59">
        <v>25.84</v>
      </c>
      <c r="C24" s="59" t="s">
        <v>77</v>
      </c>
      <c r="D24" s="60">
        <v>6</v>
      </c>
      <c r="E24" s="60">
        <f t="shared" si="0"/>
        <v>7.5</v>
      </c>
      <c r="F24" s="61">
        <f>B23*D24</f>
        <v>644.46</v>
      </c>
      <c r="G24">
        <v>25.84</v>
      </c>
      <c r="H24" s="67">
        <f>(B24-G24)/G24</f>
        <v>0</v>
      </c>
      <c r="I24">
        <f t="shared" si="2"/>
        <v>85.928000000000011</v>
      </c>
    </row>
    <row r="25" spans="1:9">
      <c r="A25" s="4"/>
      <c r="B25" s="10"/>
      <c r="C25" s="7"/>
      <c r="D25" s="7"/>
      <c r="E25" s="7"/>
      <c r="F25" s="10"/>
    </row>
    <row r="26" spans="1:9">
      <c r="A26" s="5" t="s">
        <v>26</v>
      </c>
      <c r="B26" s="23"/>
      <c r="C26" s="24"/>
      <c r="D26" s="25">
        <f>SUM(D3:D24)</f>
        <v>99</v>
      </c>
      <c r="E26" s="25">
        <f>SUM(E3:E24)</f>
        <v>123.75</v>
      </c>
      <c r="F26" s="25">
        <f>SUM(F3:F24)</f>
        <v>9656.3999999999978</v>
      </c>
    </row>
    <row r="27" spans="1:9">
      <c r="A27" s="19"/>
      <c r="B27" s="23"/>
      <c r="C27" s="26"/>
      <c r="D27" s="26"/>
      <c r="E27" s="26"/>
      <c r="F27" s="23"/>
    </row>
    <row r="28" spans="1:9">
      <c r="A28" s="19"/>
      <c r="B28" s="9"/>
      <c r="C28" s="26"/>
      <c r="D28" s="26"/>
      <c r="E28" s="26"/>
      <c r="F28" s="9"/>
    </row>
    <row r="29" spans="1:9">
      <c r="A29" s="22"/>
      <c r="B29" s="9"/>
      <c r="C29" s="26"/>
      <c r="D29" s="26"/>
      <c r="E29" s="26"/>
      <c r="F29" s="9"/>
    </row>
    <row r="30" spans="1:9">
      <c r="A30" s="19"/>
      <c r="B30" s="19"/>
      <c r="C30" s="20"/>
      <c r="D30" s="20"/>
      <c r="E30" s="20"/>
    </row>
    <row r="31" spans="1:9">
      <c r="A31" s="19"/>
      <c r="C31" s="20"/>
      <c r="D31" s="20"/>
      <c r="E31" s="20"/>
    </row>
  </sheetData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5" sqref="I25"/>
    </sheetView>
  </sheetViews>
  <sheetFormatPr defaultRowHeight="12.5"/>
  <cols>
    <col min="1" max="1" width="19" customWidth="1"/>
    <col min="2" max="2" width="11.7265625" customWidth="1"/>
    <col min="3" max="3" width="11.81640625" customWidth="1"/>
    <col min="5" max="5" width="11" customWidth="1"/>
    <col min="6" max="6" width="12.7265625" customWidth="1"/>
    <col min="7" max="7" width="11.453125" customWidth="1"/>
    <col min="8" max="8" width="12.54296875" customWidth="1"/>
  </cols>
  <sheetData>
    <row r="1" spans="1:9" ht="13">
      <c r="A1" s="54" t="s">
        <v>22</v>
      </c>
      <c r="B1" s="279" t="s">
        <v>83</v>
      </c>
      <c r="C1" s="279"/>
      <c r="D1" s="279"/>
      <c r="E1" s="279"/>
      <c r="F1" s="279"/>
      <c r="G1" s="279"/>
      <c r="H1" s="279"/>
    </row>
    <row r="2" spans="1:9" ht="65">
      <c r="A2" s="55"/>
      <c r="B2" s="71" t="s">
        <v>65</v>
      </c>
      <c r="C2" s="85" t="s">
        <v>67</v>
      </c>
      <c r="D2" s="64" t="s">
        <v>68</v>
      </c>
      <c r="E2" s="64" t="s">
        <v>80</v>
      </c>
      <c r="F2" s="71" t="s">
        <v>57</v>
      </c>
      <c r="G2" s="68" t="s">
        <v>81</v>
      </c>
      <c r="H2" s="69" t="s">
        <v>82</v>
      </c>
      <c r="I2" s="69" t="s">
        <v>119</v>
      </c>
    </row>
    <row r="3" spans="1:9" ht="14">
      <c r="A3" s="78" t="s">
        <v>5</v>
      </c>
      <c r="B3" s="76"/>
      <c r="C3" s="79"/>
      <c r="D3" s="79"/>
      <c r="E3" s="75"/>
      <c r="F3" s="76"/>
      <c r="G3" s="70"/>
      <c r="H3" s="77"/>
    </row>
    <row r="4" spans="1:9" ht="14">
      <c r="A4" s="78" t="s">
        <v>18</v>
      </c>
      <c r="B4" s="76"/>
      <c r="C4" s="79"/>
      <c r="D4" s="79"/>
      <c r="E4" s="75"/>
      <c r="F4" s="76"/>
      <c r="G4" s="70"/>
      <c r="H4" s="77"/>
    </row>
    <row r="5" spans="1:9" ht="14">
      <c r="A5" s="78" t="s">
        <v>16</v>
      </c>
      <c r="B5" s="76"/>
      <c r="C5" s="79"/>
      <c r="D5" s="79"/>
      <c r="E5" s="75"/>
      <c r="F5" s="76"/>
      <c r="G5" s="70"/>
      <c r="H5" s="77"/>
    </row>
    <row r="6" spans="1:9" ht="14">
      <c r="A6" s="72" t="s">
        <v>0</v>
      </c>
      <c r="B6" s="73">
        <v>450.49</v>
      </c>
      <c r="C6" s="74" t="s">
        <v>84</v>
      </c>
      <c r="D6" s="74">
        <v>3</v>
      </c>
      <c r="E6" s="75">
        <f>D6*1.25</f>
        <v>3.75</v>
      </c>
      <c r="F6" s="76">
        <f>B6*D6</f>
        <v>1351.47</v>
      </c>
      <c r="G6" s="70"/>
      <c r="H6" s="77"/>
      <c r="I6">
        <f>F6/E6</f>
        <v>360.392</v>
      </c>
    </row>
    <row r="7" spans="1:9" ht="14">
      <c r="A7" s="78" t="s">
        <v>4</v>
      </c>
      <c r="B7" s="76">
        <v>146.5</v>
      </c>
      <c r="C7" s="74" t="s">
        <v>84</v>
      </c>
      <c r="D7" s="79">
        <v>3</v>
      </c>
      <c r="E7" s="75">
        <f>D7*1.25</f>
        <v>3.75</v>
      </c>
      <c r="F7" s="76">
        <f>B7*D7</f>
        <v>439.5</v>
      </c>
      <c r="G7" s="70">
        <v>146.5</v>
      </c>
      <c r="H7" s="77">
        <f>(B7-G7)/G7</f>
        <v>0</v>
      </c>
      <c r="I7">
        <f>F7/E7</f>
        <v>117.2</v>
      </c>
    </row>
    <row r="8" spans="1:9" ht="14">
      <c r="A8" s="72" t="s">
        <v>10</v>
      </c>
      <c r="B8" s="73"/>
      <c r="C8" s="74"/>
      <c r="D8" s="74"/>
      <c r="E8" s="75"/>
      <c r="F8" s="76"/>
      <c r="G8" s="70"/>
      <c r="H8" s="77"/>
    </row>
    <row r="9" spans="1:9" ht="14">
      <c r="A9" s="78" t="s">
        <v>15</v>
      </c>
      <c r="B9" s="76"/>
      <c r="C9" s="79"/>
      <c r="D9" s="79"/>
      <c r="E9" s="75"/>
      <c r="F9" s="76"/>
      <c r="G9" s="70"/>
      <c r="H9" s="77"/>
    </row>
    <row r="10" spans="1:9" ht="14">
      <c r="A10" s="78" t="s">
        <v>20</v>
      </c>
      <c r="B10" s="76"/>
      <c r="C10" s="79"/>
      <c r="D10" s="79"/>
      <c r="E10" s="75"/>
      <c r="F10" s="76"/>
      <c r="G10" s="70"/>
      <c r="H10" s="77"/>
    </row>
    <row r="11" spans="1:9" ht="14">
      <c r="A11" s="78" t="s">
        <v>6</v>
      </c>
      <c r="B11" s="76">
        <v>214.58</v>
      </c>
      <c r="C11" s="74" t="s">
        <v>84</v>
      </c>
      <c r="D11" s="74">
        <v>3</v>
      </c>
      <c r="E11" s="75">
        <f>D11*1.25</f>
        <v>3.75</v>
      </c>
      <c r="F11" s="76">
        <f>B11*D11</f>
        <v>643.74</v>
      </c>
      <c r="G11" s="70">
        <v>214.58</v>
      </c>
      <c r="H11" s="77"/>
    </row>
    <row r="12" spans="1:9" ht="14">
      <c r="A12" s="72" t="s">
        <v>8</v>
      </c>
      <c r="B12" s="73">
        <v>42.45</v>
      </c>
      <c r="C12" s="74" t="s">
        <v>84</v>
      </c>
      <c r="D12" s="74">
        <v>3</v>
      </c>
      <c r="E12" s="75">
        <f>D12*1.25</f>
        <v>3.75</v>
      </c>
      <c r="F12" s="76">
        <f>B12*D12</f>
        <v>127.35000000000001</v>
      </c>
      <c r="G12" s="70">
        <v>42.45</v>
      </c>
      <c r="H12" s="77">
        <f>(B12-G12)/G12</f>
        <v>0</v>
      </c>
      <c r="I12">
        <f>F12/E12</f>
        <v>33.96</v>
      </c>
    </row>
    <row r="13" spans="1:9" ht="14">
      <c r="A13" s="72" t="s">
        <v>2</v>
      </c>
      <c r="B13" s="73">
        <v>73.92</v>
      </c>
      <c r="C13" s="74" t="s">
        <v>84</v>
      </c>
      <c r="D13" s="74">
        <v>3</v>
      </c>
      <c r="E13" s="75">
        <f>D13*1.25</f>
        <v>3.75</v>
      </c>
      <c r="F13" s="76">
        <f>B13*D13</f>
        <v>221.76</v>
      </c>
      <c r="G13" s="70">
        <v>73.92</v>
      </c>
      <c r="H13" s="77">
        <f>(B13-G13)/G13</f>
        <v>0</v>
      </c>
      <c r="I13">
        <f>F13/E13</f>
        <v>59.135999999999996</v>
      </c>
    </row>
    <row r="14" spans="1:9" ht="14">
      <c r="A14" s="72" t="s">
        <v>14</v>
      </c>
      <c r="B14" s="73"/>
      <c r="C14" s="74"/>
      <c r="D14" s="74"/>
      <c r="E14" s="75"/>
      <c r="F14" s="76"/>
      <c r="G14" s="70"/>
      <c r="H14" s="77"/>
    </row>
    <row r="15" spans="1:9" ht="14">
      <c r="A15" s="78" t="s">
        <v>3</v>
      </c>
      <c r="B15" s="76"/>
      <c r="C15" s="79"/>
      <c r="D15" s="79"/>
      <c r="E15" s="75"/>
      <c r="F15" s="76"/>
      <c r="G15" s="70"/>
      <c r="H15" s="77"/>
    </row>
    <row r="16" spans="1:9" ht="14">
      <c r="A16" s="72" t="s">
        <v>1</v>
      </c>
      <c r="B16" s="73"/>
      <c r="C16" s="74"/>
      <c r="D16" s="74"/>
      <c r="E16" s="75"/>
      <c r="F16" s="76"/>
      <c r="G16" s="70"/>
      <c r="H16" s="77"/>
    </row>
    <row r="17" spans="1:9" ht="14">
      <c r="A17" s="78" t="s">
        <v>19</v>
      </c>
      <c r="B17" s="76"/>
      <c r="C17" s="79"/>
      <c r="D17" s="79"/>
      <c r="E17" s="75"/>
      <c r="F17" s="76"/>
      <c r="G17" s="70"/>
      <c r="H17" s="77"/>
    </row>
    <row r="18" spans="1:9" ht="14">
      <c r="A18" s="78" t="s">
        <v>17</v>
      </c>
      <c r="B18" s="76"/>
      <c r="C18" s="79"/>
      <c r="D18" s="79"/>
      <c r="E18" s="75"/>
      <c r="F18" s="76"/>
      <c r="G18" s="70"/>
      <c r="H18" s="77"/>
    </row>
    <row r="19" spans="1:9" ht="14">
      <c r="A19" s="72" t="s">
        <v>9</v>
      </c>
      <c r="B19" s="73"/>
      <c r="C19" s="74"/>
      <c r="D19" s="74"/>
      <c r="E19" s="75"/>
      <c r="F19" s="76"/>
      <c r="G19" s="70"/>
      <c r="H19" s="77"/>
    </row>
    <row r="20" spans="1:9" ht="14">
      <c r="A20" s="72" t="s">
        <v>13</v>
      </c>
      <c r="B20" s="73"/>
      <c r="C20" s="74"/>
      <c r="D20" s="74"/>
      <c r="E20" s="75"/>
      <c r="F20" s="76"/>
      <c r="G20" s="70"/>
      <c r="H20" s="77"/>
    </row>
    <row r="21" spans="1:9" ht="14">
      <c r="A21" s="78" t="s">
        <v>7</v>
      </c>
      <c r="B21" s="76">
        <v>198.96</v>
      </c>
      <c r="C21" s="74" t="s">
        <v>84</v>
      </c>
      <c r="D21" s="74">
        <v>3</v>
      </c>
      <c r="E21" s="75">
        <f>D21*1.25</f>
        <v>3.75</v>
      </c>
      <c r="F21" s="76">
        <f>B21*D21</f>
        <v>596.88</v>
      </c>
      <c r="G21" s="70">
        <v>198.96</v>
      </c>
      <c r="H21" s="77">
        <f>(B21-G21)/G21</f>
        <v>0</v>
      </c>
      <c r="I21">
        <f>F21/E21</f>
        <v>159.16800000000001</v>
      </c>
    </row>
    <row r="22" spans="1:9" ht="14">
      <c r="A22" s="72" t="s">
        <v>85</v>
      </c>
      <c r="B22" s="73"/>
      <c r="C22" s="74"/>
      <c r="D22" s="74"/>
      <c r="E22" s="75"/>
      <c r="F22" s="76"/>
      <c r="G22" s="70"/>
      <c r="H22" s="77"/>
    </row>
    <row r="23" spans="1:9" ht="14">
      <c r="A23" s="72" t="s">
        <v>11</v>
      </c>
      <c r="B23" s="73">
        <v>69.819999999999993</v>
      </c>
      <c r="C23" s="74" t="s">
        <v>84</v>
      </c>
      <c r="D23" s="74">
        <v>3</v>
      </c>
      <c r="E23" s="75">
        <f>D23*1.25</f>
        <v>3.75</v>
      </c>
      <c r="F23" s="76">
        <f>B23*D23</f>
        <v>209.45999999999998</v>
      </c>
      <c r="G23" s="70">
        <v>69.819999999999993</v>
      </c>
      <c r="H23" s="77">
        <f>(B23-G23)/G23</f>
        <v>0</v>
      </c>
      <c r="I23">
        <f>F23/E23</f>
        <v>55.855999999999995</v>
      </c>
    </row>
    <row r="24" spans="1:9" ht="14">
      <c r="A24" s="72" t="s">
        <v>37</v>
      </c>
      <c r="B24" s="73">
        <v>16.79</v>
      </c>
      <c r="C24" s="74" t="s">
        <v>84</v>
      </c>
      <c r="D24" s="74">
        <v>3</v>
      </c>
      <c r="E24" s="75">
        <f>D24*1.25</f>
        <v>3.75</v>
      </c>
      <c r="F24" s="76">
        <f>B24*D24</f>
        <v>50.37</v>
      </c>
      <c r="G24" s="70">
        <v>16.79</v>
      </c>
      <c r="H24" s="77"/>
    </row>
    <row r="25" spans="1:9" ht="13">
      <c r="A25" s="80" t="s">
        <v>26</v>
      </c>
      <c r="B25" s="81"/>
      <c r="C25" s="82"/>
      <c r="D25" s="83">
        <f>SUM(D3:D24)</f>
        <v>24</v>
      </c>
      <c r="E25" s="83">
        <f>SUM(E3:E24)</f>
        <v>30</v>
      </c>
      <c r="F25" s="84">
        <f>SUM(F3:F24)</f>
        <v>3640.5299999999997</v>
      </c>
      <c r="G25" s="70"/>
      <c r="H25" s="77"/>
    </row>
  </sheetData>
  <mergeCells count="1">
    <mergeCell ref="B1:H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B2" sqref="B2"/>
    </sheetView>
  </sheetViews>
  <sheetFormatPr defaultRowHeight="12.5"/>
  <cols>
    <col min="1" max="1" width="15.81640625" customWidth="1"/>
    <col min="2" max="2" width="10.26953125" customWidth="1"/>
    <col min="3" max="3" width="30.54296875" customWidth="1"/>
    <col min="4" max="4" width="10.26953125" style="88" customWidth="1"/>
    <col min="5" max="5" width="12.81640625" style="91" customWidth="1"/>
    <col min="6" max="6" width="10.26953125" style="88" customWidth="1"/>
    <col min="7" max="7" width="10.26953125" customWidth="1"/>
    <col min="12" max="12" width="28.81640625" customWidth="1"/>
    <col min="14" max="14" width="11.54296875" customWidth="1"/>
    <col min="15" max="15" width="14" style="91" customWidth="1"/>
    <col min="16" max="16" width="11.54296875" customWidth="1"/>
  </cols>
  <sheetData>
    <row r="1" spans="1:18" ht="13.5">
      <c r="A1" s="54" t="s">
        <v>22</v>
      </c>
      <c r="B1" s="278" t="s">
        <v>64</v>
      </c>
      <c r="C1" s="278"/>
      <c r="D1" s="278"/>
      <c r="E1" s="278"/>
      <c r="F1" s="278"/>
      <c r="G1" s="278"/>
      <c r="J1" s="54" t="s">
        <v>22</v>
      </c>
      <c r="K1" s="278" t="s">
        <v>88</v>
      </c>
      <c r="L1" s="278"/>
      <c r="M1" s="278"/>
      <c r="N1" s="278"/>
      <c r="O1" s="278"/>
      <c r="P1" s="278"/>
      <c r="Q1" s="278"/>
    </row>
    <row r="2" spans="1:18" ht="94.5">
      <c r="A2" s="95"/>
      <c r="B2" s="56" t="s">
        <v>86</v>
      </c>
      <c r="C2" s="96" t="s">
        <v>92</v>
      </c>
      <c r="D2" s="97" t="s">
        <v>80</v>
      </c>
      <c r="E2" s="90" t="s">
        <v>57</v>
      </c>
      <c r="F2" s="98" t="s">
        <v>87</v>
      </c>
      <c r="G2" s="31" t="s">
        <v>91</v>
      </c>
      <c r="H2" s="31" t="s">
        <v>119</v>
      </c>
      <c r="J2" s="55"/>
      <c r="K2" s="56" t="s">
        <v>89</v>
      </c>
      <c r="L2" s="57" t="s">
        <v>67</v>
      </c>
      <c r="M2" s="64" t="s">
        <v>68</v>
      </c>
      <c r="N2" s="86" t="s">
        <v>80</v>
      </c>
      <c r="O2" s="90" t="s">
        <v>57</v>
      </c>
      <c r="P2" s="89" t="s">
        <v>90</v>
      </c>
      <c r="Q2" s="69" t="s">
        <v>91</v>
      </c>
      <c r="R2" s="31" t="s">
        <v>119</v>
      </c>
    </row>
    <row r="3" spans="1:18" ht="27">
      <c r="A3" s="62" t="s">
        <v>5</v>
      </c>
      <c r="B3" s="61">
        <v>32.6</v>
      </c>
      <c r="C3" s="63" t="s">
        <v>93</v>
      </c>
      <c r="D3" s="104">
        <v>22.6</v>
      </c>
      <c r="E3" s="92">
        <f t="shared" ref="E3:E24" si="0">D3/0.2*B3</f>
        <v>3683.8</v>
      </c>
      <c r="F3" s="99">
        <v>32.6</v>
      </c>
      <c r="G3" s="100">
        <f t="shared" ref="G3:G24" si="1">(B3-F3)/F3</f>
        <v>0</v>
      </c>
      <c r="H3">
        <f>E3/D3</f>
        <v>163</v>
      </c>
      <c r="J3" s="19" t="s">
        <v>0</v>
      </c>
      <c r="K3" s="19">
        <v>740.96</v>
      </c>
      <c r="L3" s="19" t="s">
        <v>115</v>
      </c>
      <c r="M3" s="19">
        <v>16</v>
      </c>
      <c r="N3" s="19">
        <f>M3*1</f>
        <v>16</v>
      </c>
      <c r="O3" s="39">
        <f>N3*K3</f>
        <v>11855.36</v>
      </c>
      <c r="P3" s="19">
        <v>360</v>
      </c>
      <c r="Q3" s="100">
        <f>(K3-P3)/P3</f>
        <v>1.0582222222222224</v>
      </c>
      <c r="R3">
        <f>O3/N3</f>
        <v>740.96</v>
      </c>
    </row>
    <row r="4" spans="1:18" ht="13.5">
      <c r="A4" s="62" t="s">
        <v>18</v>
      </c>
      <c r="B4" s="61">
        <v>7.22</v>
      </c>
      <c r="C4" s="63" t="s">
        <v>94</v>
      </c>
      <c r="D4" s="104">
        <v>11.4</v>
      </c>
      <c r="E4" s="92">
        <f t="shared" si="0"/>
        <v>411.53999999999996</v>
      </c>
      <c r="F4" s="99">
        <v>1.4</v>
      </c>
      <c r="G4" s="100">
        <f t="shared" si="1"/>
        <v>4.1571428571428575</v>
      </c>
      <c r="H4">
        <f t="shared" ref="H4:H24" si="2">E4/D4</f>
        <v>36.099999999999994</v>
      </c>
      <c r="J4" s="19" t="s">
        <v>2</v>
      </c>
      <c r="K4" s="19">
        <v>194.63</v>
      </c>
      <c r="L4" s="19" t="s">
        <v>116</v>
      </c>
      <c r="M4" s="19">
        <v>14</v>
      </c>
      <c r="N4" s="19">
        <f>M4*1</f>
        <v>14</v>
      </c>
      <c r="O4" s="39">
        <f>N4*K4</f>
        <v>2724.8199999999997</v>
      </c>
      <c r="P4" s="19">
        <v>125</v>
      </c>
      <c r="Q4" s="100">
        <f>(K4-P4)/P4</f>
        <v>0.55703999999999998</v>
      </c>
      <c r="R4">
        <f>O4/N4</f>
        <v>194.62999999999997</v>
      </c>
    </row>
    <row r="5" spans="1:18" ht="13.5">
      <c r="A5" s="62" t="s">
        <v>16</v>
      </c>
      <c r="B5" s="61">
        <v>8.6199999999999992</v>
      </c>
      <c r="C5" s="63" t="s">
        <v>95</v>
      </c>
      <c r="D5" s="104">
        <v>2.2000000000000002</v>
      </c>
      <c r="E5" s="92">
        <f t="shared" si="0"/>
        <v>94.82</v>
      </c>
      <c r="F5" s="99">
        <v>7.4</v>
      </c>
      <c r="G5" s="100">
        <f t="shared" si="1"/>
        <v>0.16486486486486471</v>
      </c>
      <c r="H5">
        <f t="shared" si="2"/>
        <v>43.099999999999994</v>
      </c>
      <c r="J5" s="19" t="s">
        <v>1</v>
      </c>
      <c r="K5" s="19">
        <v>563.09</v>
      </c>
      <c r="L5" s="19" t="s">
        <v>117</v>
      </c>
      <c r="M5" s="19">
        <v>16</v>
      </c>
      <c r="N5" s="19">
        <f>M5*1</f>
        <v>16</v>
      </c>
      <c r="O5" s="39">
        <f>N5*K5</f>
        <v>9009.44</v>
      </c>
      <c r="P5" s="19">
        <v>328</v>
      </c>
      <c r="Q5" s="100">
        <f>(K5-P5)/P5</f>
        <v>0.71673780487804883</v>
      </c>
      <c r="R5">
        <f>O5/N5</f>
        <v>563.09</v>
      </c>
    </row>
    <row r="6" spans="1:18" ht="27">
      <c r="A6" s="105" t="s">
        <v>0</v>
      </c>
      <c r="B6" s="106">
        <v>72.8</v>
      </c>
      <c r="C6" s="107" t="s">
        <v>96</v>
      </c>
      <c r="D6" s="104">
        <v>21</v>
      </c>
      <c r="E6" s="92">
        <f t="shared" si="0"/>
        <v>7644</v>
      </c>
      <c r="F6" s="99">
        <v>43.8</v>
      </c>
      <c r="G6" s="100">
        <f t="shared" si="1"/>
        <v>0.66210045662100458</v>
      </c>
      <c r="H6">
        <f t="shared" si="2"/>
        <v>364</v>
      </c>
      <c r="J6" s="19"/>
      <c r="K6" s="19"/>
      <c r="L6" s="19"/>
      <c r="M6" s="19"/>
      <c r="N6" s="19"/>
      <c r="O6" s="39"/>
      <c r="P6" s="19"/>
      <c r="Q6" s="19"/>
    </row>
    <row r="7" spans="1:18" ht="13.5">
      <c r="A7" s="62" t="s">
        <v>4</v>
      </c>
      <c r="B7" s="61">
        <v>47.56</v>
      </c>
      <c r="C7" s="63" t="s">
        <v>97</v>
      </c>
      <c r="D7" s="104">
        <v>12</v>
      </c>
      <c r="E7" s="92">
        <f t="shared" si="0"/>
        <v>2853.6000000000004</v>
      </c>
      <c r="F7" s="99">
        <v>28.6</v>
      </c>
      <c r="G7" s="100">
        <f t="shared" si="1"/>
        <v>0.66293706293706289</v>
      </c>
      <c r="H7">
        <f t="shared" si="2"/>
        <v>237.80000000000004</v>
      </c>
      <c r="J7" s="22" t="s">
        <v>26</v>
      </c>
      <c r="K7" s="19"/>
      <c r="L7" s="19"/>
      <c r="M7" s="19">
        <f>SUM(M3:M5)</f>
        <v>46</v>
      </c>
      <c r="N7" s="19">
        <f>SUM(N3:N5)</f>
        <v>46</v>
      </c>
      <c r="O7" s="39">
        <f>SUM(O3:O5)</f>
        <v>23589.620000000003</v>
      </c>
      <c r="P7" s="19"/>
      <c r="Q7" s="19"/>
    </row>
    <row r="8" spans="1:18" ht="13.5">
      <c r="A8" s="105" t="s">
        <v>10</v>
      </c>
      <c r="B8" s="106">
        <v>5.4</v>
      </c>
      <c r="C8" s="107" t="s">
        <v>98</v>
      </c>
      <c r="D8" s="104">
        <v>8.4</v>
      </c>
      <c r="E8" s="92">
        <f t="shared" si="0"/>
        <v>226.8</v>
      </c>
      <c r="F8" s="99">
        <v>5.4</v>
      </c>
      <c r="G8" s="100">
        <f t="shared" si="1"/>
        <v>0</v>
      </c>
      <c r="H8">
        <f t="shared" si="2"/>
        <v>27</v>
      </c>
    </row>
    <row r="9" spans="1:18" ht="13.5">
      <c r="A9" s="62" t="s">
        <v>15</v>
      </c>
      <c r="B9" s="61">
        <v>1.2</v>
      </c>
      <c r="C9" s="63" t="s">
        <v>99</v>
      </c>
      <c r="D9" s="104">
        <v>10.199999999999999</v>
      </c>
      <c r="E9" s="92">
        <f t="shared" si="0"/>
        <v>61.199999999999989</v>
      </c>
      <c r="F9" s="99">
        <v>1.2</v>
      </c>
      <c r="G9" s="100">
        <f t="shared" si="1"/>
        <v>0</v>
      </c>
      <c r="H9">
        <f t="shared" si="2"/>
        <v>5.9999999999999991</v>
      </c>
    </row>
    <row r="10" spans="1:18" ht="27">
      <c r="A10" s="62" t="s">
        <v>20</v>
      </c>
      <c r="B10" s="61">
        <v>1.22</v>
      </c>
      <c r="C10" s="63" t="s">
        <v>100</v>
      </c>
      <c r="D10" s="104">
        <v>4.4000000000000004</v>
      </c>
      <c r="E10" s="92">
        <f t="shared" si="0"/>
        <v>26.84</v>
      </c>
      <c r="F10" s="99">
        <v>1</v>
      </c>
      <c r="G10" s="100">
        <f t="shared" si="1"/>
        <v>0.21999999999999997</v>
      </c>
      <c r="H10">
        <f t="shared" si="2"/>
        <v>6.1</v>
      </c>
    </row>
    <row r="11" spans="1:18" ht="27">
      <c r="A11" s="62" t="s">
        <v>6</v>
      </c>
      <c r="B11" s="61">
        <v>31</v>
      </c>
      <c r="C11" s="107" t="s">
        <v>101</v>
      </c>
      <c r="D11" s="104">
        <v>23.8</v>
      </c>
      <c r="E11" s="92">
        <f t="shared" si="0"/>
        <v>3689</v>
      </c>
      <c r="F11" s="99">
        <v>31</v>
      </c>
      <c r="G11" s="100">
        <f t="shared" si="1"/>
        <v>0</v>
      </c>
      <c r="H11">
        <f t="shared" si="2"/>
        <v>155</v>
      </c>
    </row>
    <row r="12" spans="1:18" ht="13.5">
      <c r="A12" s="105" t="s">
        <v>8</v>
      </c>
      <c r="B12" s="106">
        <v>10.4</v>
      </c>
      <c r="C12" s="107" t="s">
        <v>102</v>
      </c>
      <c r="D12" s="104">
        <v>27</v>
      </c>
      <c r="E12" s="92">
        <f t="shared" si="0"/>
        <v>1404</v>
      </c>
      <c r="F12" s="99">
        <v>10.4</v>
      </c>
      <c r="G12" s="100">
        <f t="shared" si="1"/>
        <v>0</v>
      </c>
      <c r="H12">
        <f t="shared" si="2"/>
        <v>52</v>
      </c>
    </row>
    <row r="13" spans="1:18" ht="13.5">
      <c r="A13" s="105" t="s">
        <v>2</v>
      </c>
      <c r="B13" s="106">
        <v>14.6</v>
      </c>
      <c r="C13" s="107" t="s">
        <v>103</v>
      </c>
      <c r="D13" s="104">
        <v>18</v>
      </c>
      <c r="E13" s="92">
        <f t="shared" si="0"/>
        <v>1314</v>
      </c>
      <c r="F13" s="99">
        <v>14.6</v>
      </c>
      <c r="G13" s="100">
        <f t="shared" si="1"/>
        <v>0</v>
      </c>
      <c r="H13">
        <f t="shared" si="2"/>
        <v>73</v>
      </c>
    </row>
    <row r="14" spans="1:18" ht="13.5">
      <c r="A14" s="105" t="s">
        <v>14</v>
      </c>
      <c r="B14" s="106">
        <v>10.08</v>
      </c>
      <c r="C14" s="107" t="s">
        <v>104</v>
      </c>
      <c r="D14" s="104">
        <v>19.2</v>
      </c>
      <c r="E14" s="92">
        <f t="shared" si="0"/>
        <v>967.67999999999984</v>
      </c>
      <c r="F14" s="99">
        <v>8.6</v>
      </c>
      <c r="G14" s="100">
        <f t="shared" si="1"/>
        <v>0.17209302325581402</v>
      </c>
      <c r="H14">
        <f t="shared" si="2"/>
        <v>50.399999999999991</v>
      </c>
    </row>
    <row r="15" spans="1:18" ht="13.5">
      <c r="A15" s="62" t="s">
        <v>3</v>
      </c>
      <c r="B15" s="61">
        <v>58.07</v>
      </c>
      <c r="C15" s="63" t="s">
        <v>105</v>
      </c>
      <c r="D15" s="104">
        <v>14</v>
      </c>
      <c r="E15" s="92">
        <f t="shared" si="0"/>
        <v>4064.9</v>
      </c>
      <c r="F15" s="99">
        <v>34.6</v>
      </c>
      <c r="G15" s="100">
        <f t="shared" si="1"/>
        <v>0.67832369942196524</v>
      </c>
      <c r="H15">
        <f t="shared" si="2"/>
        <v>290.35000000000002</v>
      </c>
    </row>
    <row r="16" spans="1:18" ht="27">
      <c r="A16" s="105" t="s">
        <v>1</v>
      </c>
      <c r="B16" s="106">
        <v>54.4</v>
      </c>
      <c r="C16" s="107" t="s">
        <v>106</v>
      </c>
      <c r="D16" s="104">
        <v>23.4</v>
      </c>
      <c r="E16" s="92">
        <f t="shared" si="0"/>
        <v>6364.7999999999993</v>
      </c>
      <c r="F16" s="99">
        <v>41.4</v>
      </c>
      <c r="G16" s="100">
        <f t="shared" si="1"/>
        <v>0.3140096618357488</v>
      </c>
      <c r="H16">
        <f t="shared" si="2"/>
        <v>272</v>
      </c>
    </row>
    <row r="17" spans="1:8" ht="27">
      <c r="A17" s="62" t="s">
        <v>19</v>
      </c>
      <c r="B17" s="61">
        <v>1.4</v>
      </c>
      <c r="C17" s="107" t="s">
        <v>107</v>
      </c>
      <c r="D17" s="104">
        <v>20.2</v>
      </c>
      <c r="E17" s="92">
        <f t="shared" si="0"/>
        <v>141.39999999999998</v>
      </c>
      <c r="F17" s="99">
        <v>1.4</v>
      </c>
      <c r="G17" s="100">
        <f t="shared" si="1"/>
        <v>0</v>
      </c>
      <c r="H17">
        <f t="shared" si="2"/>
        <v>6.9999999999999991</v>
      </c>
    </row>
    <row r="18" spans="1:8" ht="13.5">
      <c r="A18" s="62" t="s">
        <v>17</v>
      </c>
      <c r="B18" s="61">
        <v>3.2</v>
      </c>
      <c r="C18" s="63" t="s">
        <v>108</v>
      </c>
      <c r="D18" s="104">
        <v>10</v>
      </c>
      <c r="E18" s="92">
        <f t="shared" si="0"/>
        <v>160</v>
      </c>
      <c r="F18" s="99">
        <v>3.2</v>
      </c>
      <c r="G18" s="100">
        <f t="shared" si="1"/>
        <v>0</v>
      </c>
      <c r="H18">
        <f t="shared" si="2"/>
        <v>16</v>
      </c>
    </row>
    <row r="19" spans="1:8" ht="13.5">
      <c r="A19" s="105" t="s">
        <v>9</v>
      </c>
      <c r="B19" s="106">
        <v>10.8</v>
      </c>
      <c r="C19" s="107" t="s">
        <v>109</v>
      </c>
      <c r="D19" s="104">
        <v>16.8</v>
      </c>
      <c r="E19" s="92">
        <f t="shared" si="0"/>
        <v>907.2</v>
      </c>
      <c r="F19" s="99">
        <v>10.8</v>
      </c>
      <c r="G19" s="100">
        <f t="shared" si="1"/>
        <v>0</v>
      </c>
      <c r="H19">
        <f t="shared" si="2"/>
        <v>54</v>
      </c>
    </row>
    <row r="20" spans="1:8" ht="13.5">
      <c r="A20" s="105" t="s">
        <v>13</v>
      </c>
      <c r="B20" s="106">
        <v>5.2</v>
      </c>
      <c r="C20" s="107" t="s">
        <v>110</v>
      </c>
      <c r="D20" s="104">
        <v>10.6</v>
      </c>
      <c r="E20" s="92">
        <f t="shared" si="0"/>
        <v>275.59999999999997</v>
      </c>
      <c r="F20" s="99">
        <v>5.2</v>
      </c>
      <c r="G20" s="100">
        <f t="shared" si="1"/>
        <v>0</v>
      </c>
      <c r="H20">
        <f t="shared" si="2"/>
        <v>25.999999999999996</v>
      </c>
    </row>
    <row r="21" spans="1:8" ht="13.5">
      <c r="A21" s="62" t="s">
        <v>7</v>
      </c>
      <c r="B21" s="61">
        <v>41.6</v>
      </c>
      <c r="C21" s="107" t="s">
        <v>111</v>
      </c>
      <c r="D21" s="104">
        <v>11.2</v>
      </c>
      <c r="E21" s="92">
        <f t="shared" si="0"/>
        <v>2329.6</v>
      </c>
      <c r="F21" s="99">
        <v>41.6</v>
      </c>
      <c r="G21" s="100">
        <f t="shared" si="1"/>
        <v>0</v>
      </c>
      <c r="H21">
        <f t="shared" si="2"/>
        <v>208</v>
      </c>
    </row>
    <row r="22" spans="1:8" ht="13.5">
      <c r="A22" s="105" t="s">
        <v>12</v>
      </c>
      <c r="B22" s="106">
        <v>12.8</v>
      </c>
      <c r="C22" s="107" t="s">
        <v>112</v>
      </c>
      <c r="D22" s="104">
        <v>7.6</v>
      </c>
      <c r="E22" s="92">
        <f t="shared" si="0"/>
        <v>486.39999999999992</v>
      </c>
      <c r="F22" s="99">
        <v>12.2</v>
      </c>
      <c r="G22" s="100">
        <f t="shared" si="1"/>
        <v>4.9180327868852576E-2</v>
      </c>
      <c r="H22">
        <f t="shared" si="2"/>
        <v>63.999999999999993</v>
      </c>
    </row>
    <row r="23" spans="1:8" ht="13.5">
      <c r="A23" s="105" t="s">
        <v>11</v>
      </c>
      <c r="B23" s="106">
        <v>18.989999999999998</v>
      </c>
      <c r="C23" s="107" t="s">
        <v>113</v>
      </c>
      <c r="D23" s="104">
        <v>2</v>
      </c>
      <c r="E23" s="92">
        <f t="shared" si="0"/>
        <v>189.89999999999998</v>
      </c>
      <c r="F23" s="99">
        <v>12.4</v>
      </c>
      <c r="G23" s="100">
        <f t="shared" si="1"/>
        <v>0.53145161290322562</v>
      </c>
      <c r="H23">
        <f t="shared" si="2"/>
        <v>94.949999999999989</v>
      </c>
    </row>
    <row r="24" spans="1:8" ht="13.5">
      <c r="A24" s="105" t="s">
        <v>37</v>
      </c>
      <c r="B24" s="106">
        <v>4.92</v>
      </c>
      <c r="C24" s="107" t="s">
        <v>114</v>
      </c>
      <c r="D24" s="104">
        <v>11.2</v>
      </c>
      <c r="E24" s="92">
        <f t="shared" si="0"/>
        <v>275.52</v>
      </c>
      <c r="F24" s="99">
        <v>4.2</v>
      </c>
      <c r="G24" s="100">
        <f t="shared" si="1"/>
        <v>0.17142857142857137</v>
      </c>
      <c r="H24">
        <f t="shared" si="2"/>
        <v>24.6</v>
      </c>
    </row>
    <row r="25" spans="1:8" ht="13.5">
      <c r="A25" s="101"/>
      <c r="B25" s="10"/>
      <c r="C25" s="102"/>
      <c r="D25" s="103"/>
      <c r="E25" s="93"/>
      <c r="F25" s="99"/>
      <c r="G25" s="100"/>
    </row>
    <row r="26" spans="1:8" ht="13.5">
      <c r="A26" s="5" t="s">
        <v>26</v>
      </c>
      <c r="B26" s="23"/>
      <c r="C26" s="24"/>
      <c r="D26" s="87">
        <f>SUM(D3:D24)</f>
        <v>307.2</v>
      </c>
      <c r="E26" s="94">
        <f>SUM(E3:E24)</f>
        <v>37572.599999999991</v>
      </c>
      <c r="F26" s="99"/>
      <c r="G26" s="100"/>
    </row>
  </sheetData>
  <mergeCells count="2">
    <mergeCell ref="B1:G1"/>
    <mergeCell ref="K1:Q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90" zoomScaleNormal="90" workbookViewId="0">
      <pane xSplit="1" ySplit="2" topLeftCell="V21" activePane="bottomRight" state="frozenSplit"/>
      <selection pane="topRight" activeCell="B1" sqref="B1"/>
      <selection pane="bottomLeft" activeCell="A3" sqref="A3"/>
      <selection pane="bottomRight" activeCell="AD26" sqref="AD26"/>
    </sheetView>
  </sheetViews>
  <sheetFormatPr defaultColWidth="9.1796875" defaultRowHeight="13"/>
  <cols>
    <col min="1" max="1" width="17.7265625" style="123" customWidth="1"/>
    <col min="2" max="3" width="15.453125" style="142" customWidth="1"/>
    <col min="4" max="4" width="11.54296875" style="142" customWidth="1"/>
    <col min="5" max="8" width="13" style="143" customWidth="1"/>
    <col min="9" max="10" width="14.81640625" style="133" customWidth="1"/>
    <col min="11" max="11" width="13" style="133" customWidth="1"/>
    <col min="12" max="15" width="13" style="134" customWidth="1"/>
    <col min="16" max="17" width="14.453125" style="146" customWidth="1"/>
    <col min="18" max="18" width="13" style="146" customWidth="1"/>
    <col min="19" max="22" width="13" style="147" customWidth="1"/>
    <col min="23" max="24" width="14" style="137" customWidth="1"/>
    <col min="25" max="25" width="15.1796875" style="137" customWidth="1"/>
    <col min="26" max="29" width="13" style="138" customWidth="1"/>
    <col min="30" max="30" width="11.54296875" style="161" customWidth="1"/>
    <col min="31" max="31" width="12.81640625" style="161" customWidth="1"/>
    <col min="32" max="32" width="16" style="161" customWidth="1"/>
    <col min="33" max="33" width="9.1796875" style="157"/>
    <col min="34" max="16384" width="9.1796875" style="123"/>
  </cols>
  <sheetData>
    <row r="1" spans="1:33">
      <c r="A1" s="122" t="s">
        <v>22</v>
      </c>
      <c r="B1" s="283" t="s">
        <v>83</v>
      </c>
      <c r="C1" s="283"/>
      <c r="D1" s="283"/>
      <c r="E1" s="283"/>
      <c r="F1" s="283"/>
      <c r="G1" s="283"/>
      <c r="H1" s="283"/>
      <c r="I1" s="280" t="s">
        <v>88</v>
      </c>
      <c r="J1" s="280"/>
      <c r="K1" s="280"/>
      <c r="L1" s="280"/>
      <c r="M1" s="163"/>
      <c r="N1" s="163"/>
      <c r="O1" s="165"/>
      <c r="P1" s="284" t="s">
        <v>64</v>
      </c>
      <c r="Q1" s="284"/>
      <c r="R1" s="284"/>
      <c r="S1" s="284"/>
      <c r="T1" s="284"/>
      <c r="U1" s="284"/>
      <c r="V1" s="166"/>
      <c r="W1" s="281" t="s">
        <v>120</v>
      </c>
      <c r="X1" s="281"/>
      <c r="Y1" s="281"/>
      <c r="Z1" s="281"/>
      <c r="AA1" s="164"/>
      <c r="AB1" s="164"/>
      <c r="AC1" s="167"/>
      <c r="AD1" s="282" t="s">
        <v>26</v>
      </c>
      <c r="AE1" s="282"/>
      <c r="AF1" s="168"/>
    </row>
    <row r="2" spans="1:33" s="129" customFormat="1" ht="104">
      <c r="A2" s="124"/>
      <c r="B2" s="139" t="s">
        <v>159</v>
      </c>
      <c r="C2" s="139" t="s">
        <v>170</v>
      </c>
      <c r="D2" s="140" t="s">
        <v>164</v>
      </c>
      <c r="E2" s="141" t="s">
        <v>158</v>
      </c>
      <c r="F2" s="141" t="s">
        <v>171</v>
      </c>
      <c r="G2" s="141" t="s">
        <v>169</v>
      </c>
      <c r="H2" s="141" t="s">
        <v>178</v>
      </c>
      <c r="I2" s="131" t="s">
        <v>159</v>
      </c>
      <c r="J2" s="131" t="s">
        <v>170</v>
      </c>
      <c r="K2" s="131" t="s">
        <v>162</v>
      </c>
      <c r="L2" s="132" t="s">
        <v>158</v>
      </c>
      <c r="M2" s="132" t="s">
        <v>171</v>
      </c>
      <c r="N2" s="132" t="s">
        <v>172</v>
      </c>
      <c r="O2" s="141" t="s">
        <v>178</v>
      </c>
      <c r="P2" s="144" t="s">
        <v>159</v>
      </c>
      <c r="Q2" s="144" t="s">
        <v>173</v>
      </c>
      <c r="R2" s="144" t="s">
        <v>162</v>
      </c>
      <c r="S2" s="145" t="s">
        <v>158</v>
      </c>
      <c r="T2" s="145" t="s">
        <v>171</v>
      </c>
      <c r="U2" s="145" t="s">
        <v>174</v>
      </c>
      <c r="V2" s="141" t="s">
        <v>178</v>
      </c>
      <c r="W2" s="135" t="s">
        <v>159</v>
      </c>
      <c r="X2" s="135" t="s">
        <v>175</v>
      </c>
      <c r="Y2" s="135" t="s">
        <v>165</v>
      </c>
      <c r="Z2" s="136" t="s">
        <v>158</v>
      </c>
      <c r="AA2" s="136" t="s">
        <v>171</v>
      </c>
      <c r="AB2" s="136" t="s">
        <v>176</v>
      </c>
      <c r="AC2" s="141" t="s">
        <v>178</v>
      </c>
      <c r="AD2" s="158" t="s">
        <v>167</v>
      </c>
      <c r="AE2" s="158" t="s">
        <v>166</v>
      </c>
      <c r="AF2" s="158" t="s">
        <v>177</v>
      </c>
      <c r="AG2" s="156" t="s">
        <v>168</v>
      </c>
    </row>
    <row r="3" spans="1:33">
      <c r="A3" s="125" t="s">
        <v>5</v>
      </c>
      <c r="B3" s="142">
        <v>6.25</v>
      </c>
      <c r="C3" s="142">
        <v>3.75</v>
      </c>
      <c r="D3" s="142">
        <v>292.5</v>
      </c>
      <c r="E3" s="143">
        <f>(B3*1000/1250)*D3</f>
        <v>1462.5</v>
      </c>
      <c r="F3" s="142">
        <v>757.48</v>
      </c>
      <c r="G3" s="143">
        <v>2272.44</v>
      </c>
      <c r="H3" s="143">
        <f>F3/1.25</f>
        <v>605.98400000000004</v>
      </c>
      <c r="I3" s="133">
        <v>14</v>
      </c>
      <c r="J3" s="133">
        <v>14</v>
      </c>
      <c r="K3" s="133">
        <v>91.8</v>
      </c>
      <c r="L3" s="134">
        <f>(I3*1000/200)*K3</f>
        <v>6426</v>
      </c>
      <c r="M3" s="134">
        <v>136.15</v>
      </c>
      <c r="N3" s="134">
        <v>9530.5</v>
      </c>
      <c r="O3" s="134">
        <f>M3*5</f>
        <v>680.75</v>
      </c>
      <c r="P3" s="146">
        <v>3.8</v>
      </c>
      <c r="Q3" s="146">
        <v>3.8</v>
      </c>
      <c r="R3" s="146">
        <v>33.799999999999997</v>
      </c>
      <c r="S3" s="147">
        <f>(P3*1000/200)*R3</f>
        <v>642.19999999999993</v>
      </c>
      <c r="T3" s="147">
        <v>48.56</v>
      </c>
      <c r="U3" s="147">
        <v>922.6400000000001</v>
      </c>
      <c r="V3" s="147">
        <f>T3*5</f>
        <v>242.8</v>
      </c>
      <c r="W3" s="137">
        <v>5</v>
      </c>
      <c r="Y3" s="137">
        <v>1375</v>
      </c>
      <c r="Z3" s="138">
        <f>Y3</f>
        <v>1375</v>
      </c>
      <c r="AA3" s="169">
        <v>0</v>
      </c>
      <c r="AB3" s="169">
        <v>0</v>
      </c>
      <c r="AC3" s="169"/>
      <c r="AD3" s="159">
        <f t="shared" ref="AD3:AD23" si="0">SUM(B3,I3,P3,W3)</f>
        <v>29.05</v>
      </c>
      <c r="AE3" s="160">
        <f t="shared" ref="AE3:AE23" si="1">SUM(E3,L3,S3,Z3)</f>
        <v>9905.7000000000007</v>
      </c>
      <c r="AF3" s="160">
        <f t="shared" ref="AF3:AF23" si="2">SUM(G3,N3,U3,AB3)</f>
        <v>12725.58</v>
      </c>
      <c r="AG3" s="157">
        <v>67.400000000000006</v>
      </c>
    </row>
    <row r="4" spans="1:33">
      <c r="A4" s="125" t="s">
        <v>18</v>
      </c>
      <c r="B4" s="142">
        <v>11.25</v>
      </c>
      <c r="C4" s="142">
        <v>10</v>
      </c>
      <c r="D4" s="142">
        <v>35</v>
      </c>
      <c r="E4" s="143">
        <f t="shared" ref="E4:E24" si="3">(B4*1000/1250)*D4</f>
        <v>315</v>
      </c>
      <c r="F4" s="142">
        <v>102.77</v>
      </c>
      <c r="G4" s="143">
        <v>822.16</v>
      </c>
      <c r="H4" s="143">
        <f t="shared" ref="H4:H24" si="4">F4/1.25</f>
        <v>82.215999999999994</v>
      </c>
      <c r="I4" s="133">
        <v>6.2</v>
      </c>
      <c r="J4" s="133">
        <v>6.2</v>
      </c>
      <c r="K4" s="133">
        <v>14.8</v>
      </c>
      <c r="L4" s="134">
        <f t="shared" ref="L4:L24" si="5">(I4*1000/200)*K4</f>
        <v>458.8</v>
      </c>
      <c r="M4" s="134">
        <v>36.99</v>
      </c>
      <c r="N4" s="134">
        <v>1146.69</v>
      </c>
      <c r="O4" s="134">
        <f t="shared" ref="O4:O24" si="6">M4*5</f>
        <v>184.95000000000002</v>
      </c>
      <c r="T4" s="147">
        <v>0</v>
      </c>
      <c r="U4" s="147">
        <v>0</v>
      </c>
      <c r="V4" s="147">
        <f t="shared" ref="V4:V24" si="7">T4*5</f>
        <v>0</v>
      </c>
      <c r="W4" s="137">
        <v>5</v>
      </c>
      <c r="X4" s="137">
        <v>5</v>
      </c>
      <c r="Y4" s="137">
        <v>145</v>
      </c>
      <c r="Z4" s="138">
        <f t="shared" ref="Z4:Z23" si="8">Y4</f>
        <v>145</v>
      </c>
      <c r="AA4" s="138">
        <v>193.18</v>
      </c>
      <c r="AB4" s="138">
        <v>193.18</v>
      </c>
      <c r="AC4" s="169">
        <f t="shared" ref="AC4:AC23" si="9">AA4/5</f>
        <v>38.636000000000003</v>
      </c>
      <c r="AD4" s="159">
        <f t="shared" si="0"/>
        <v>22.45</v>
      </c>
      <c r="AE4" s="160">
        <f t="shared" si="1"/>
        <v>918.8</v>
      </c>
      <c r="AF4" s="160">
        <f t="shared" si="2"/>
        <v>2162.0299999999997</v>
      </c>
      <c r="AG4" s="157">
        <v>62.2</v>
      </c>
    </row>
    <row r="5" spans="1:33">
      <c r="A5" s="125" t="s">
        <v>16</v>
      </c>
      <c r="B5" s="142">
        <v>5</v>
      </c>
      <c r="C5" s="142">
        <v>5</v>
      </c>
      <c r="D5" s="142">
        <v>106.25</v>
      </c>
      <c r="E5" s="143">
        <f t="shared" si="3"/>
        <v>425</v>
      </c>
      <c r="F5" s="142">
        <v>107.31</v>
      </c>
      <c r="G5" s="143">
        <v>429.24</v>
      </c>
      <c r="H5" s="143">
        <f t="shared" si="4"/>
        <v>85.847999999999999</v>
      </c>
      <c r="I5" s="133">
        <v>6.2</v>
      </c>
      <c r="J5" s="133">
        <v>1.6</v>
      </c>
      <c r="K5" s="133">
        <v>29.6</v>
      </c>
      <c r="L5" s="134">
        <f t="shared" si="5"/>
        <v>917.6</v>
      </c>
      <c r="M5" s="134">
        <v>88.96</v>
      </c>
      <c r="N5" s="134">
        <v>711.68</v>
      </c>
      <c r="O5" s="134">
        <f t="shared" si="6"/>
        <v>444.79999999999995</v>
      </c>
      <c r="P5" s="146">
        <v>2</v>
      </c>
      <c r="R5" s="146">
        <v>12.4</v>
      </c>
      <c r="S5" s="147">
        <f t="shared" ref="S5:S23" si="10">(P5*1000/200)*R5</f>
        <v>124</v>
      </c>
      <c r="T5" s="147">
        <v>0</v>
      </c>
      <c r="U5" s="147">
        <v>0</v>
      </c>
      <c r="V5" s="147">
        <f t="shared" si="7"/>
        <v>0</v>
      </c>
      <c r="AA5" s="138">
        <v>0</v>
      </c>
      <c r="AB5" s="138">
        <v>0</v>
      </c>
      <c r="AC5" s="169"/>
      <c r="AD5" s="159">
        <f t="shared" si="0"/>
        <v>13.2</v>
      </c>
      <c r="AE5" s="160">
        <f t="shared" si="1"/>
        <v>1466.6</v>
      </c>
      <c r="AF5" s="160">
        <f t="shared" si="2"/>
        <v>1140.92</v>
      </c>
      <c r="AG5" s="157">
        <v>62.98</v>
      </c>
    </row>
    <row r="6" spans="1:33">
      <c r="A6" s="126" t="s">
        <v>0</v>
      </c>
      <c r="B6" s="142">
        <v>3.75</v>
      </c>
      <c r="C6" s="142">
        <v>1.25</v>
      </c>
      <c r="D6" s="142">
        <v>771.25</v>
      </c>
      <c r="E6" s="143">
        <f t="shared" si="3"/>
        <v>2313.75</v>
      </c>
      <c r="F6" s="142">
        <v>1059.6199999999999</v>
      </c>
      <c r="G6" s="143">
        <v>1059.6199999999999</v>
      </c>
      <c r="H6" s="143">
        <f t="shared" si="4"/>
        <v>847.69599999999991</v>
      </c>
      <c r="M6" s="134">
        <v>0</v>
      </c>
      <c r="N6" s="134">
        <v>0</v>
      </c>
      <c r="O6" s="134">
        <f t="shared" si="6"/>
        <v>0</v>
      </c>
      <c r="T6" s="147">
        <v>0</v>
      </c>
      <c r="U6" s="147">
        <v>0</v>
      </c>
      <c r="V6" s="147">
        <f t="shared" si="7"/>
        <v>0</v>
      </c>
      <c r="W6" s="137">
        <v>5</v>
      </c>
      <c r="Y6" s="137">
        <v>3315</v>
      </c>
      <c r="Z6" s="138">
        <f t="shared" si="8"/>
        <v>3315</v>
      </c>
      <c r="AA6" s="138">
        <v>0</v>
      </c>
      <c r="AB6" s="138">
        <v>0</v>
      </c>
      <c r="AC6" s="169"/>
      <c r="AD6" s="159">
        <f t="shared" si="0"/>
        <v>8.75</v>
      </c>
      <c r="AE6" s="160">
        <f t="shared" si="1"/>
        <v>5628.75</v>
      </c>
      <c r="AF6" s="160">
        <f t="shared" si="2"/>
        <v>1059.6199999999999</v>
      </c>
      <c r="AG6" s="157">
        <v>61.73</v>
      </c>
    </row>
    <row r="7" spans="1:33">
      <c r="A7" s="125" t="s">
        <v>4</v>
      </c>
      <c r="B7" s="142">
        <v>2.5</v>
      </c>
      <c r="C7" s="142">
        <v>2.5</v>
      </c>
      <c r="D7" s="142">
        <v>343.75</v>
      </c>
      <c r="E7" s="143">
        <f t="shared" si="3"/>
        <v>687.5</v>
      </c>
      <c r="F7" s="142">
        <v>347.18</v>
      </c>
      <c r="G7" s="143">
        <v>694.36</v>
      </c>
      <c r="H7" s="143">
        <f t="shared" si="4"/>
        <v>277.74400000000003</v>
      </c>
      <c r="I7" s="133">
        <v>14</v>
      </c>
      <c r="J7" s="133">
        <v>11</v>
      </c>
      <c r="K7" s="133">
        <v>84.8</v>
      </c>
      <c r="L7" s="134">
        <f t="shared" si="5"/>
        <v>5936</v>
      </c>
      <c r="M7" s="134">
        <v>134.6</v>
      </c>
      <c r="N7" s="134">
        <v>7403</v>
      </c>
      <c r="O7" s="134">
        <f t="shared" si="6"/>
        <v>673</v>
      </c>
      <c r="P7" s="146">
        <v>3.4</v>
      </c>
      <c r="Q7" s="146">
        <v>3.4</v>
      </c>
      <c r="R7" s="146">
        <v>47.6</v>
      </c>
      <c r="S7" s="147">
        <f t="shared" si="10"/>
        <v>809.2</v>
      </c>
      <c r="T7" s="147">
        <v>47.6</v>
      </c>
      <c r="U7" s="147">
        <v>809.2</v>
      </c>
      <c r="V7" s="147">
        <f t="shared" si="7"/>
        <v>238</v>
      </c>
      <c r="W7" s="137">
        <v>5</v>
      </c>
      <c r="X7" s="137">
        <v>5</v>
      </c>
      <c r="Y7" s="137">
        <v>1290</v>
      </c>
      <c r="Z7" s="138">
        <f t="shared" si="8"/>
        <v>1290</v>
      </c>
      <c r="AA7" s="138">
        <v>1290</v>
      </c>
      <c r="AB7" s="138">
        <v>1290</v>
      </c>
      <c r="AC7" s="169">
        <f>AA7/5</f>
        <v>258</v>
      </c>
      <c r="AD7" s="159">
        <f t="shared" si="0"/>
        <v>24.9</v>
      </c>
      <c r="AE7" s="160">
        <f t="shared" si="1"/>
        <v>8722.7000000000007</v>
      </c>
      <c r="AF7" s="160">
        <f t="shared" si="2"/>
        <v>10196.56</v>
      </c>
      <c r="AG7" s="157">
        <v>63.1</v>
      </c>
    </row>
    <row r="8" spans="1:33">
      <c r="A8" s="126" t="s">
        <v>10</v>
      </c>
      <c r="B8" s="142">
        <v>7.5</v>
      </c>
      <c r="C8" s="142">
        <v>7.5</v>
      </c>
      <c r="D8" s="142">
        <v>47.5</v>
      </c>
      <c r="E8" s="143">
        <f t="shared" si="3"/>
        <v>285</v>
      </c>
      <c r="F8" s="142">
        <v>70.709999999999994</v>
      </c>
      <c r="G8" s="143">
        <v>424.26</v>
      </c>
      <c r="H8" s="143">
        <f t="shared" si="4"/>
        <v>56.567999999999998</v>
      </c>
      <c r="I8" s="133">
        <v>12.4</v>
      </c>
      <c r="J8" s="133">
        <v>12.2</v>
      </c>
      <c r="K8" s="133">
        <v>15.2</v>
      </c>
      <c r="L8" s="134">
        <f t="shared" si="5"/>
        <v>942.4</v>
      </c>
      <c r="M8" s="134">
        <v>30.24</v>
      </c>
      <c r="N8" s="134">
        <v>1844.6399999999999</v>
      </c>
      <c r="O8" s="134">
        <f t="shared" si="6"/>
        <v>151.19999999999999</v>
      </c>
      <c r="P8" s="146">
        <v>8</v>
      </c>
      <c r="Q8" s="146">
        <v>8</v>
      </c>
      <c r="R8" s="146">
        <v>6.4</v>
      </c>
      <c r="S8" s="147">
        <f t="shared" si="10"/>
        <v>256</v>
      </c>
      <c r="T8" s="147">
        <v>9.32</v>
      </c>
      <c r="U8" s="147">
        <v>372.8</v>
      </c>
      <c r="V8" s="147">
        <f t="shared" si="7"/>
        <v>46.6</v>
      </c>
      <c r="W8" s="137">
        <v>5</v>
      </c>
      <c r="X8" s="137">
        <v>5</v>
      </c>
      <c r="Y8" s="137">
        <v>230</v>
      </c>
      <c r="Z8" s="138">
        <f t="shared" si="8"/>
        <v>230</v>
      </c>
      <c r="AA8" s="138">
        <v>230</v>
      </c>
      <c r="AB8" s="138">
        <v>230</v>
      </c>
      <c r="AC8" s="169">
        <f t="shared" si="9"/>
        <v>46</v>
      </c>
      <c r="AD8" s="159">
        <f t="shared" si="0"/>
        <v>32.9</v>
      </c>
      <c r="AE8" s="160">
        <f t="shared" si="1"/>
        <v>1713.4</v>
      </c>
      <c r="AF8" s="160">
        <f t="shared" si="2"/>
        <v>2871.7</v>
      </c>
      <c r="AG8" s="157">
        <v>67.849999999999994</v>
      </c>
    </row>
    <row r="9" spans="1:33">
      <c r="A9" s="125" t="s">
        <v>15</v>
      </c>
      <c r="B9" s="142">
        <v>8.75</v>
      </c>
      <c r="C9" s="142">
        <v>7.5</v>
      </c>
      <c r="D9" s="142">
        <v>23.75</v>
      </c>
      <c r="E9" s="143">
        <f t="shared" si="3"/>
        <v>166.25</v>
      </c>
      <c r="F9" s="142">
        <v>24.46</v>
      </c>
      <c r="G9" s="143">
        <v>146.76</v>
      </c>
      <c r="H9" s="143">
        <f t="shared" si="4"/>
        <v>19.568000000000001</v>
      </c>
      <c r="I9" s="133">
        <v>12.4</v>
      </c>
      <c r="J9" s="133">
        <v>12.4</v>
      </c>
      <c r="K9" s="133">
        <v>5.4</v>
      </c>
      <c r="L9" s="134">
        <f t="shared" si="5"/>
        <v>334.8</v>
      </c>
      <c r="M9" s="134">
        <v>11.49</v>
      </c>
      <c r="N9" s="134">
        <v>712.38</v>
      </c>
      <c r="O9" s="134">
        <f t="shared" si="6"/>
        <v>57.45</v>
      </c>
      <c r="P9" s="146">
        <v>10.199999999999999</v>
      </c>
      <c r="Q9" s="146">
        <v>10.199999999999999</v>
      </c>
      <c r="R9" s="146">
        <v>1.8</v>
      </c>
      <c r="S9" s="147">
        <f t="shared" si="10"/>
        <v>91.8</v>
      </c>
      <c r="T9" s="147">
        <v>3.18</v>
      </c>
      <c r="U9" s="147">
        <v>162.18</v>
      </c>
      <c r="V9" s="147">
        <f t="shared" si="7"/>
        <v>15.9</v>
      </c>
      <c r="AA9" s="138">
        <v>0</v>
      </c>
      <c r="AB9" s="138">
        <v>0</v>
      </c>
      <c r="AC9" s="169"/>
      <c r="AD9" s="159">
        <f t="shared" si="0"/>
        <v>31.349999999999998</v>
      </c>
      <c r="AE9" s="160">
        <f t="shared" si="1"/>
        <v>592.85</v>
      </c>
      <c r="AF9" s="160">
        <f t="shared" si="2"/>
        <v>1021.3199999999999</v>
      </c>
      <c r="AG9" s="157">
        <v>63.95</v>
      </c>
    </row>
    <row r="10" spans="1:33">
      <c r="A10" s="125" t="s">
        <v>20</v>
      </c>
      <c r="B10" s="142">
        <v>8.75</v>
      </c>
      <c r="C10" s="142">
        <v>7.5</v>
      </c>
      <c r="D10" s="142">
        <v>35</v>
      </c>
      <c r="E10" s="143">
        <f t="shared" si="3"/>
        <v>245</v>
      </c>
      <c r="F10" s="142">
        <v>35.35</v>
      </c>
      <c r="G10" s="143">
        <v>212.10000000000002</v>
      </c>
      <c r="H10" s="143">
        <f t="shared" si="4"/>
        <v>28.28</v>
      </c>
      <c r="M10" s="134">
        <v>0</v>
      </c>
      <c r="N10" s="134">
        <v>0</v>
      </c>
      <c r="O10" s="134">
        <f t="shared" si="6"/>
        <v>0</v>
      </c>
      <c r="T10" s="147">
        <v>0</v>
      </c>
      <c r="U10" s="147">
        <v>0</v>
      </c>
      <c r="V10" s="147">
        <f t="shared" si="7"/>
        <v>0</v>
      </c>
      <c r="AA10" s="138">
        <v>0</v>
      </c>
      <c r="AB10" s="138">
        <v>0</v>
      </c>
      <c r="AC10" s="169"/>
      <c r="AD10" s="159">
        <f t="shared" si="0"/>
        <v>8.75</v>
      </c>
      <c r="AE10" s="160">
        <f t="shared" si="1"/>
        <v>245</v>
      </c>
      <c r="AF10" s="160">
        <f t="shared" si="2"/>
        <v>212.10000000000002</v>
      </c>
      <c r="AG10" s="157">
        <v>54.03</v>
      </c>
    </row>
    <row r="11" spans="1:33">
      <c r="A11" s="125" t="s">
        <v>6</v>
      </c>
      <c r="B11" s="142">
        <v>1.25</v>
      </c>
      <c r="D11" s="142">
        <v>378.75</v>
      </c>
      <c r="E11" s="143">
        <f t="shared" si="3"/>
        <v>378.75</v>
      </c>
      <c r="F11" s="143">
        <v>0</v>
      </c>
      <c r="G11" s="143">
        <v>0</v>
      </c>
      <c r="H11" s="143">
        <f t="shared" si="4"/>
        <v>0</v>
      </c>
      <c r="I11" s="133">
        <v>14</v>
      </c>
      <c r="J11" s="133">
        <v>13.8</v>
      </c>
      <c r="K11" s="133">
        <v>74</v>
      </c>
      <c r="L11" s="134">
        <f t="shared" si="5"/>
        <v>5180</v>
      </c>
      <c r="M11" s="134">
        <v>111.5</v>
      </c>
      <c r="N11" s="134">
        <v>7693.5</v>
      </c>
      <c r="O11" s="134">
        <f t="shared" si="6"/>
        <v>557.5</v>
      </c>
      <c r="P11" s="146">
        <v>1.8</v>
      </c>
      <c r="Q11" s="146">
        <v>1.6</v>
      </c>
      <c r="R11" s="146">
        <v>37</v>
      </c>
      <c r="S11" s="147">
        <f t="shared" si="10"/>
        <v>333</v>
      </c>
      <c r="T11" s="147">
        <v>37</v>
      </c>
      <c r="U11" s="147">
        <v>296</v>
      </c>
      <c r="V11" s="147">
        <f t="shared" si="7"/>
        <v>185</v>
      </c>
      <c r="W11" s="137">
        <v>5</v>
      </c>
      <c r="X11" s="137">
        <v>5</v>
      </c>
      <c r="Y11" s="137">
        <v>1610</v>
      </c>
      <c r="Z11" s="138">
        <f t="shared" si="8"/>
        <v>1610</v>
      </c>
      <c r="AA11" s="138">
        <v>1642.36</v>
      </c>
      <c r="AB11" s="138">
        <v>1642.36</v>
      </c>
      <c r="AC11" s="169">
        <f t="shared" si="9"/>
        <v>328.47199999999998</v>
      </c>
      <c r="AD11" s="159">
        <f t="shared" si="0"/>
        <v>22.05</v>
      </c>
      <c r="AE11" s="160">
        <f t="shared" si="1"/>
        <v>7501.75</v>
      </c>
      <c r="AF11" s="160">
        <f t="shared" si="2"/>
        <v>9631.86</v>
      </c>
      <c r="AG11" s="157">
        <v>65.400000000000006</v>
      </c>
    </row>
    <row r="12" spans="1:33">
      <c r="A12" s="126" t="s">
        <v>8</v>
      </c>
      <c r="E12" s="143">
        <f t="shared" si="3"/>
        <v>0</v>
      </c>
      <c r="F12" s="143">
        <v>0</v>
      </c>
      <c r="G12" s="143">
        <v>0</v>
      </c>
      <c r="H12" s="143">
        <f t="shared" si="4"/>
        <v>0</v>
      </c>
      <c r="I12" s="133">
        <v>12.4</v>
      </c>
      <c r="J12" s="133">
        <v>12.4</v>
      </c>
      <c r="K12" s="133">
        <v>33.6</v>
      </c>
      <c r="L12" s="134">
        <f t="shared" si="5"/>
        <v>2083.2000000000003</v>
      </c>
      <c r="M12" s="134">
        <v>73.88</v>
      </c>
      <c r="N12" s="134">
        <v>4580.5599999999995</v>
      </c>
      <c r="O12" s="134">
        <f t="shared" si="6"/>
        <v>369.4</v>
      </c>
      <c r="P12" s="146">
        <v>1</v>
      </c>
      <c r="R12" s="146">
        <v>15</v>
      </c>
      <c r="S12" s="147">
        <f t="shared" si="10"/>
        <v>75</v>
      </c>
      <c r="U12" s="147">
        <v>0</v>
      </c>
      <c r="V12" s="147">
        <f t="shared" si="7"/>
        <v>0</v>
      </c>
      <c r="W12" s="137">
        <v>5</v>
      </c>
      <c r="X12" s="137">
        <v>5</v>
      </c>
      <c r="Y12" s="137">
        <v>555</v>
      </c>
      <c r="Z12" s="138">
        <f t="shared" si="8"/>
        <v>555</v>
      </c>
      <c r="AA12" s="138">
        <v>588.57000000000005</v>
      </c>
      <c r="AB12" s="138">
        <v>588.57000000000005</v>
      </c>
      <c r="AC12" s="169">
        <f t="shared" si="9"/>
        <v>117.71400000000001</v>
      </c>
      <c r="AD12" s="159">
        <f t="shared" si="0"/>
        <v>18.399999999999999</v>
      </c>
      <c r="AE12" s="160">
        <f t="shared" si="1"/>
        <v>2713.2000000000003</v>
      </c>
      <c r="AF12" s="160">
        <f t="shared" si="2"/>
        <v>5169.1299999999992</v>
      </c>
      <c r="AG12" s="157">
        <v>69.900000000000006</v>
      </c>
    </row>
    <row r="13" spans="1:33">
      <c r="A13" s="126" t="s">
        <v>2</v>
      </c>
      <c r="B13" s="142">
        <v>1.25</v>
      </c>
      <c r="C13" s="142">
        <v>1.25</v>
      </c>
      <c r="D13" s="142">
        <v>183.75</v>
      </c>
      <c r="E13" s="143">
        <f t="shared" si="3"/>
        <v>183.75</v>
      </c>
      <c r="F13" s="142">
        <v>183.75</v>
      </c>
      <c r="G13" s="143">
        <v>183.75</v>
      </c>
      <c r="H13" s="143">
        <f t="shared" si="4"/>
        <v>147</v>
      </c>
      <c r="N13" s="134">
        <v>0</v>
      </c>
      <c r="O13" s="134">
        <f t="shared" si="6"/>
        <v>0</v>
      </c>
      <c r="P13" s="146">
        <v>7</v>
      </c>
      <c r="Q13" s="146">
        <v>8</v>
      </c>
      <c r="R13" s="146">
        <v>14.6</v>
      </c>
      <c r="S13" s="147">
        <f t="shared" si="10"/>
        <v>511</v>
      </c>
      <c r="T13" s="147">
        <v>29.82</v>
      </c>
      <c r="U13" s="147">
        <v>1192.8</v>
      </c>
      <c r="V13" s="147">
        <f t="shared" si="7"/>
        <v>149.1</v>
      </c>
      <c r="W13" s="137">
        <v>5</v>
      </c>
      <c r="X13" s="137">
        <v>5</v>
      </c>
      <c r="Y13" s="137">
        <v>545</v>
      </c>
      <c r="Z13" s="138">
        <f t="shared" si="8"/>
        <v>545</v>
      </c>
      <c r="AA13" s="138">
        <v>577.97</v>
      </c>
      <c r="AB13" s="138">
        <v>577.97</v>
      </c>
      <c r="AC13" s="169">
        <f t="shared" si="9"/>
        <v>115.59400000000001</v>
      </c>
      <c r="AD13" s="159">
        <f t="shared" si="0"/>
        <v>13.25</v>
      </c>
      <c r="AE13" s="160">
        <f t="shared" si="1"/>
        <v>1239.75</v>
      </c>
      <c r="AF13" s="160">
        <f t="shared" si="2"/>
        <v>1954.52</v>
      </c>
      <c r="AG13" s="157">
        <v>63.88</v>
      </c>
    </row>
    <row r="14" spans="1:33">
      <c r="A14" s="126" t="s">
        <v>163</v>
      </c>
      <c r="B14" s="142">
        <v>6.25</v>
      </c>
      <c r="C14" s="142">
        <v>5</v>
      </c>
      <c r="D14" s="142">
        <v>113.75</v>
      </c>
      <c r="E14" s="143">
        <f t="shared" si="3"/>
        <v>568.75</v>
      </c>
      <c r="F14" s="142">
        <v>510.49</v>
      </c>
      <c r="G14" s="143">
        <v>2041.96</v>
      </c>
      <c r="H14" s="143">
        <f t="shared" si="4"/>
        <v>408.392</v>
      </c>
      <c r="I14" s="133">
        <v>12.4</v>
      </c>
      <c r="J14" s="133">
        <v>12.4</v>
      </c>
      <c r="K14" s="133">
        <v>35</v>
      </c>
      <c r="L14" s="134">
        <f t="shared" si="5"/>
        <v>2170</v>
      </c>
      <c r="M14" s="134">
        <v>61.9</v>
      </c>
      <c r="N14" s="134">
        <v>3837.7999999999997</v>
      </c>
      <c r="O14" s="134">
        <f t="shared" si="6"/>
        <v>309.5</v>
      </c>
      <c r="T14" s="147">
        <v>0</v>
      </c>
      <c r="U14" s="147">
        <v>0</v>
      </c>
      <c r="V14" s="147">
        <f t="shared" si="7"/>
        <v>0</v>
      </c>
      <c r="W14" s="137">
        <v>5</v>
      </c>
      <c r="X14" s="137">
        <v>5</v>
      </c>
      <c r="Y14" s="137">
        <v>435</v>
      </c>
      <c r="Z14" s="138">
        <f t="shared" si="8"/>
        <v>435</v>
      </c>
      <c r="AA14" s="138">
        <v>456.75</v>
      </c>
      <c r="AB14" s="138">
        <v>456.75</v>
      </c>
      <c r="AC14" s="169">
        <f t="shared" si="9"/>
        <v>91.35</v>
      </c>
      <c r="AD14" s="159">
        <f t="shared" si="0"/>
        <v>23.65</v>
      </c>
      <c r="AE14" s="160">
        <f t="shared" si="1"/>
        <v>3173.75</v>
      </c>
      <c r="AF14" s="160">
        <f t="shared" si="2"/>
        <v>6336.51</v>
      </c>
      <c r="AG14" s="157">
        <v>69.88</v>
      </c>
    </row>
    <row r="15" spans="1:33">
      <c r="A15" s="125" t="s">
        <v>3</v>
      </c>
      <c r="B15" s="142">
        <v>3.75</v>
      </c>
      <c r="C15" s="142">
        <v>2.5</v>
      </c>
      <c r="D15" s="142">
        <v>423.75</v>
      </c>
      <c r="E15" s="143">
        <f t="shared" si="3"/>
        <v>1271.25</v>
      </c>
      <c r="F15" s="142">
        <v>999.27</v>
      </c>
      <c r="G15" s="143">
        <v>1998.54</v>
      </c>
      <c r="H15" s="143">
        <f t="shared" si="4"/>
        <v>799.41599999999994</v>
      </c>
      <c r="I15" s="133">
        <v>14</v>
      </c>
      <c r="J15" s="133">
        <v>14</v>
      </c>
      <c r="K15" s="133">
        <v>105</v>
      </c>
      <c r="L15" s="134">
        <f t="shared" si="5"/>
        <v>7350</v>
      </c>
      <c r="M15" s="134">
        <v>154.6</v>
      </c>
      <c r="N15" s="134">
        <v>10822</v>
      </c>
      <c r="O15" s="134">
        <f t="shared" si="6"/>
        <v>773</v>
      </c>
      <c r="T15" s="147">
        <v>0</v>
      </c>
      <c r="U15" s="147">
        <v>0</v>
      </c>
      <c r="V15" s="147">
        <f t="shared" si="7"/>
        <v>0</v>
      </c>
      <c r="W15" s="137">
        <v>5</v>
      </c>
      <c r="X15" s="137">
        <v>5</v>
      </c>
      <c r="Y15" s="137">
        <v>1505</v>
      </c>
      <c r="Z15" s="138">
        <f t="shared" si="8"/>
        <v>1505</v>
      </c>
      <c r="AA15" s="138">
        <v>1505</v>
      </c>
      <c r="AB15" s="138">
        <v>1505</v>
      </c>
      <c r="AC15" s="169">
        <f t="shared" si="9"/>
        <v>301</v>
      </c>
      <c r="AD15" s="159">
        <f>SUM(B15,I15,P15,W15)</f>
        <v>22.75</v>
      </c>
      <c r="AE15" s="160">
        <f t="shared" si="1"/>
        <v>10126.25</v>
      </c>
      <c r="AF15" s="160">
        <f t="shared" si="2"/>
        <v>14325.54</v>
      </c>
      <c r="AG15" s="157">
        <v>62.2</v>
      </c>
    </row>
    <row r="16" spans="1:33">
      <c r="A16" s="126" t="s">
        <v>1</v>
      </c>
      <c r="B16" s="142">
        <v>7.5</v>
      </c>
      <c r="C16" s="142">
        <v>7.5</v>
      </c>
      <c r="D16" s="142">
        <v>548.75</v>
      </c>
      <c r="E16" s="143">
        <f t="shared" si="3"/>
        <v>3292.5</v>
      </c>
      <c r="F16" s="142">
        <v>909.37</v>
      </c>
      <c r="G16" s="143">
        <v>5456.22</v>
      </c>
      <c r="H16" s="143">
        <f t="shared" si="4"/>
        <v>727.49599999999998</v>
      </c>
      <c r="M16" s="134">
        <v>0</v>
      </c>
      <c r="N16" s="134">
        <v>0</v>
      </c>
      <c r="O16" s="134">
        <f t="shared" si="6"/>
        <v>0</v>
      </c>
      <c r="T16" s="147">
        <v>0</v>
      </c>
      <c r="U16" s="147">
        <v>0</v>
      </c>
      <c r="V16" s="147">
        <f t="shared" si="7"/>
        <v>0</v>
      </c>
      <c r="W16" s="137">
        <v>5</v>
      </c>
      <c r="Y16" s="137">
        <v>3245</v>
      </c>
      <c r="Z16" s="138">
        <f t="shared" si="8"/>
        <v>3245</v>
      </c>
      <c r="AA16" s="138">
        <v>0</v>
      </c>
      <c r="AB16" s="138">
        <v>0</v>
      </c>
      <c r="AC16" s="169"/>
      <c r="AD16" s="159">
        <f t="shared" si="0"/>
        <v>12.5</v>
      </c>
      <c r="AE16" s="160">
        <f t="shared" si="1"/>
        <v>6537.5</v>
      </c>
      <c r="AF16" s="160">
        <f t="shared" si="2"/>
        <v>5456.22</v>
      </c>
      <c r="AG16" s="157">
        <v>67.930000000000007</v>
      </c>
    </row>
    <row r="17" spans="1:33">
      <c r="A17" s="125" t="s">
        <v>19</v>
      </c>
      <c r="B17" s="142">
        <v>11.25</v>
      </c>
      <c r="C17" s="142">
        <v>10</v>
      </c>
      <c r="D17" s="142">
        <v>13.75</v>
      </c>
      <c r="E17" s="143">
        <f t="shared" si="3"/>
        <v>123.75</v>
      </c>
      <c r="F17" s="142">
        <v>31.72</v>
      </c>
      <c r="G17" s="143">
        <v>253.76</v>
      </c>
      <c r="H17" s="143">
        <f t="shared" si="4"/>
        <v>25.375999999999998</v>
      </c>
      <c r="I17" s="133">
        <v>8.8000000000000007</v>
      </c>
      <c r="J17" s="133">
        <v>8.8000000000000007</v>
      </c>
      <c r="K17" s="133">
        <v>5.8</v>
      </c>
      <c r="L17" s="134">
        <f t="shared" si="5"/>
        <v>255.2</v>
      </c>
      <c r="M17" s="134">
        <v>10.38</v>
      </c>
      <c r="N17" s="134">
        <v>456.72</v>
      </c>
      <c r="O17" s="134">
        <f t="shared" si="6"/>
        <v>51.900000000000006</v>
      </c>
      <c r="P17" s="146">
        <v>8.4</v>
      </c>
      <c r="Q17" s="146">
        <v>6.6</v>
      </c>
      <c r="R17" s="146">
        <v>2.2000000000000002</v>
      </c>
      <c r="S17" s="147">
        <f t="shared" si="10"/>
        <v>92.4</v>
      </c>
      <c r="T17" s="147">
        <v>2.2000000000000002</v>
      </c>
      <c r="U17" s="147">
        <v>72.600000000000009</v>
      </c>
      <c r="V17" s="147">
        <f t="shared" si="7"/>
        <v>11</v>
      </c>
      <c r="W17" s="137">
        <v>5</v>
      </c>
      <c r="X17" s="137">
        <v>5</v>
      </c>
      <c r="Y17" s="137">
        <v>40</v>
      </c>
      <c r="Z17" s="138">
        <f t="shared" si="8"/>
        <v>40</v>
      </c>
      <c r="AA17" s="138">
        <v>55.35</v>
      </c>
      <c r="AB17" s="138">
        <v>55.35</v>
      </c>
      <c r="AC17" s="169">
        <f t="shared" si="9"/>
        <v>11.07</v>
      </c>
      <c r="AD17" s="159">
        <f t="shared" si="0"/>
        <v>33.450000000000003</v>
      </c>
      <c r="AE17" s="160">
        <f t="shared" si="1"/>
        <v>511.35</v>
      </c>
      <c r="AF17" s="160">
        <f t="shared" si="2"/>
        <v>838.43000000000006</v>
      </c>
      <c r="AG17" s="157">
        <v>67.48</v>
      </c>
    </row>
    <row r="18" spans="1:33">
      <c r="A18" s="125" t="s">
        <v>160</v>
      </c>
      <c r="B18" s="142">
        <v>7.5</v>
      </c>
      <c r="C18" s="142">
        <v>6.25</v>
      </c>
      <c r="D18" s="142">
        <v>47.5</v>
      </c>
      <c r="E18" s="143">
        <f t="shared" si="3"/>
        <v>285</v>
      </c>
      <c r="F18" s="142">
        <v>51.3</v>
      </c>
      <c r="G18" s="143">
        <v>256.5</v>
      </c>
      <c r="H18" s="143">
        <f t="shared" si="4"/>
        <v>41.04</v>
      </c>
      <c r="I18" s="133">
        <v>6.2</v>
      </c>
      <c r="J18" s="133">
        <v>6.2</v>
      </c>
      <c r="K18" s="133">
        <v>13.4</v>
      </c>
      <c r="L18" s="134">
        <f t="shared" si="5"/>
        <v>415.40000000000003</v>
      </c>
      <c r="M18" s="134">
        <v>27.8</v>
      </c>
      <c r="N18" s="134">
        <v>861.80000000000007</v>
      </c>
      <c r="O18" s="134">
        <f t="shared" si="6"/>
        <v>139</v>
      </c>
      <c r="P18" s="146">
        <v>16.2</v>
      </c>
      <c r="Q18" s="146">
        <v>16.2</v>
      </c>
      <c r="R18" s="146">
        <v>4.5999999999999996</v>
      </c>
      <c r="S18" s="147">
        <f t="shared" si="10"/>
        <v>372.59999999999997</v>
      </c>
      <c r="T18" s="147">
        <v>6.62</v>
      </c>
      <c r="U18" s="147">
        <v>536.22</v>
      </c>
      <c r="V18" s="147">
        <f t="shared" si="7"/>
        <v>33.1</v>
      </c>
      <c r="W18" s="137">
        <v>5</v>
      </c>
      <c r="X18" s="137">
        <v>5</v>
      </c>
      <c r="Y18" s="137">
        <v>165</v>
      </c>
      <c r="Z18" s="138">
        <f t="shared" si="8"/>
        <v>165</v>
      </c>
      <c r="AA18" s="138">
        <v>180.26</v>
      </c>
      <c r="AB18" s="138">
        <v>180.26</v>
      </c>
      <c r="AC18" s="169">
        <f t="shared" si="9"/>
        <v>36.052</v>
      </c>
      <c r="AD18" s="159">
        <f t="shared" si="0"/>
        <v>34.9</v>
      </c>
      <c r="AE18" s="160">
        <f t="shared" si="1"/>
        <v>1238</v>
      </c>
      <c r="AF18" s="160">
        <f t="shared" si="2"/>
        <v>1834.7800000000002</v>
      </c>
      <c r="AG18" s="157">
        <v>68.680000000000007</v>
      </c>
    </row>
    <row r="19" spans="1:33">
      <c r="A19" s="126" t="s">
        <v>9</v>
      </c>
      <c r="B19" s="142">
        <v>3.75</v>
      </c>
      <c r="C19" s="142">
        <v>2.5</v>
      </c>
      <c r="D19" s="142">
        <v>106.25</v>
      </c>
      <c r="E19" s="143">
        <f t="shared" si="3"/>
        <v>318.75</v>
      </c>
      <c r="F19" s="142">
        <v>107.31</v>
      </c>
      <c r="G19" s="143">
        <v>214.62</v>
      </c>
      <c r="H19" s="143">
        <f t="shared" si="4"/>
        <v>85.847999999999999</v>
      </c>
      <c r="I19" s="133">
        <v>15.6</v>
      </c>
      <c r="J19" s="133">
        <v>15.6</v>
      </c>
      <c r="K19" s="133">
        <v>30.2</v>
      </c>
      <c r="L19" s="134">
        <f t="shared" si="5"/>
        <v>2355.6</v>
      </c>
      <c r="M19" s="134">
        <v>72.150000000000006</v>
      </c>
      <c r="N19" s="134">
        <v>5627.7000000000007</v>
      </c>
      <c r="O19" s="134">
        <f t="shared" si="6"/>
        <v>360.75</v>
      </c>
      <c r="P19" s="146">
        <v>1.6</v>
      </c>
      <c r="Q19" s="146">
        <v>1.6</v>
      </c>
      <c r="R19" s="146">
        <v>14.2</v>
      </c>
      <c r="S19" s="147">
        <f t="shared" si="10"/>
        <v>113.6</v>
      </c>
      <c r="T19" s="147">
        <v>14.2</v>
      </c>
      <c r="U19" s="147">
        <v>113.6</v>
      </c>
      <c r="V19" s="147">
        <f t="shared" si="7"/>
        <v>71</v>
      </c>
      <c r="AA19" s="138">
        <v>0</v>
      </c>
      <c r="AB19" s="138">
        <v>0</v>
      </c>
      <c r="AC19" s="169"/>
      <c r="AD19" s="159">
        <f t="shared" si="0"/>
        <v>20.950000000000003</v>
      </c>
      <c r="AE19" s="160">
        <f t="shared" si="1"/>
        <v>2787.95</v>
      </c>
      <c r="AF19" s="160">
        <f t="shared" si="2"/>
        <v>5955.920000000001</v>
      </c>
      <c r="AG19" s="157">
        <v>67</v>
      </c>
    </row>
    <row r="20" spans="1:33">
      <c r="A20" s="126" t="s">
        <v>13</v>
      </c>
      <c r="E20" s="143">
        <f t="shared" si="3"/>
        <v>0</v>
      </c>
      <c r="F20" s="143">
        <v>0</v>
      </c>
      <c r="G20" s="143">
        <v>0</v>
      </c>
      <c r="H20" s="143">
        <f t="shared" si="4"/>
        <v>0</v>
      </c>
      <c r="I20" s="133">
        <v>12.4</v>
      </c>
      <c r="J20" s="133">
        <v>12.4</v>
      </c>
      <c r="K20" s="133">
        <v>39.4</v>
      </c>
      <c r="L20" s="134">
        <f t="shared" si="5"/>
        <v>2442.7999999999997</v>
      </c>
      <c r="M20" s="134">
        <v>141.72999999999999</v>
      </c>
      <c r="N20" s="134">
        <v>8787.26</v>
      </c>
      <c r="O20" s="134">
        <f t="shared" si="6"/>
        <v>708.65</v>
      </c>
      <c r="P20" s="146">
        <v>10.4</v>
      </c>
      <c r="Q20" s="146">
        <v>10</v>
      </c>
      <c r="R20" s="146">
        <v>12</v>
      </c>
      <c r="S20" s="147">
        <f t="shared" si="10"/>
        <v>624</v>
      </c>
      <c r="T20" s="147">
        <v>14.55</v>
      </c>
      <c r="U20" s="147">
        <v>727.5</v>
      </c>
      <c r="V20" s="147">
        <f t="shared" si="7"/>
        <v>72.75</v>
      </c>
      <c r="W20" s="137">
        <v>5</v>
      </c>
      <c r="X20" s="137">
        <v>5</v>
      </c>
      <c r="Y20" s="137">
        <v>435</v>
      </c>
      <c r="Z20" s="138">
        <f t="shared" si="8"/>
        <v>435</v>
      </c>
      <c r="AA20" s="138">
        <v>699.12</v>
      </c>
      <c r="AB20" s="138">
        <v>699.12</v>
      </c>
      <c r="AC20" s="169">
        <f t="shared" si="9"/>
        <v>139.82400000000001</v>
      </c>
      <c r="AD20" s="159">
        <f t="shared" si="0"/>
        <v>27.8</v>
      </c>
      <c r="AE20" s="160">
        <f t="shared" si="1"/>
        <v>3501.7999999999997</v>
      </c>
      <c r="AF20" s="160">
        <f t="shared" si="2"/>
        <v>10213.880000000001</v>
      </c>
      <c r="AG20" s="157">
        <v>66.98</v>
      </c>
    </row>
    <row r="21" spans="1:33">
      <c r="A21" s="125" t="s">
        <v>7</v>
      </c>
      <c r="B21" s="142">
        <v>1.25</v>
      </c>
      <c r="D21" s="142">
        <v>450</v>
      </c>
      <c r="E21" s="143">
        <f t="shared" si="3"/>
        <v>450</v>
      </c>
      <c r="F21" s="143">
        <v>0</v>
      </c>
      <c r="G21" s="143">
        <v>0</v>
      </c>
      <c r="H21" s="143">
        <f t="shared" si="4"/>
        <v>0</v>
      </c>
      <c r="M21" s="134">
        <v>0</v>
      </c>
      <c r="N21" s="134">
        <v>0</v>
      </c>
      <c r="O21" s="134">
        <f t="shared" si="6"/>
        <v>0</v>
      </c>
      <c r="P21" s="146">
        <v>19</v>
      </c>
      <c r="Q21" s="146">
        <v>17</v>
      </c>
      <c r="R21" s="146">
        <v>45</v>
      </c>
      <c r="S21" s="147">
        <f t="shared" si="10"/>
        <v>4275</v>
      </c>
      <c r="T21" s="147">
        <v>45</v>
      </c>
      <c r="U21" s="147">
        <v>3825</v>
      </c>
      <c r="V21" s="147">
        <f t="shared" si="7"/>
        <v>225</v>
      </c>
      <c r="W21" s="137">
        <v>5</v>
      </c>
      <c r="X21" s="137">
        <v>5</v>
      </c>
      <c r="Y21" s="137">
        <v>1720</v>
      </c>
      <c r="Z21" s="138">
        <f t="shared" si="8"/>
        <v>1720</v>
      </c>
      <c r="AA21" s="138">
        <v>1720</v>
      </c>
      <c r="AB21" s="138">
        <v>1720</v>
      </c>
      <c r="AC21" s="169">
        <f t="shared" si="9"/>
        <v>344</v>
      </c>
      <c r="AD21" s="159">
        <f t="shared" si="0"/>
        <v>25.25</v>
      </c>
      <c r="AE21" s="160">
        <f t="shared" si="1"/>
        <v>6445</v>
      </c>
      <c r="AF21" s="160">
        <f t="shared" si="2"/>
        <v>5545</v>
      </c>
      <c r="AG21" s="157">
        <v>70.7</v>
      </c>
    </row>
    <row r="22" spans="1:33">
      <c r="A22" s="126" t="s">
        <v>12</v>
      </c>
      <c r="B22" s="142">
        <v>3.75</v>
      </c>
      <c r="C22" s="142">
        <v>3.75</v>
      </c>
      <c r="D22" s="142">
        <v>167.5</v>
      </c>
      <c r="E22" s="143">
        <f t="shared" si="3"/>
        <v>502.5</v>
      </c>
      <c r="F22" s="142">
        <v>167.5</v>
      </c>
      <c r="G22" s="143">
        <v>502.5</v>
      </c>
      <c r="H22" s="143">
        <f t="shared" si="4"/>
        <v>134</v>
      </c>
      <c r="I22" s="133">
        <v>6.2</v>
      </c>
      <c r="J22" s="133">
        <v>5.6</v>
      </c>
      <c r="K22" s="133">
        <v>45.6</v>
      </c>
      <c r="L22" s="134">
        <f t="shared" si="5"/>
        <v>1413.6000000000001</v>
      </c>
      <c r="M22" s="134">
        <v>155.12</v>
      </c>
      <c r="N22" s="134">
        <v>4343.3600000000006</v>
      </c>
      <c r="O22" s="134">
        <f t="shared" si="6"/>
        <v>775.6</v>
      </c>
      <c r="P22" s="146">
        <v>4.2</v>
      </c>
      <c r="Q22" s="146">
        <v>4.2</v>
      </c>
      <c r="R22" s="146">
        <v>19.399999999999999</v>
      </c>
      <c r="S22" s="147">
        <f t="shared" si="10"/>
        <v>407.4</v>
      </c>
      <c r="T22" s="147">
        <v>21.39</v>
      </c>
      <c r="U22" s="147">
        <v>449.19</v>
      </c>
      <c r="V22" s="147">
        <f t="shared" si="7"/>
        <v>106.95</v>
      </c>
      <c r="W22" s="137">
        <v>5</v>
      </c>
      <c r="X22" s="137">
        <v>5</v>
      </c>
      <c r="Y22" s="137">
        <v>430</v>
      </c>
      <c r="Z22" s="138">
        <f t="shared" si="8"/>
        <v>430</v>
      </c>
      <c r="AA22" s="138">
        <v>451.5</v>
      </c>
      <c r="AB22" s="138">
        <v>451.5</v>
      </c>
      <c r="AC22" s="169">
        <f t="shared" si="9"/>
        <v>90.3</v>
      </c>
      <c r="AD22" s="159">
        <f t="shared" si="0"/>
        <v>19.149999999999999</v>
      </c>
      <c r="AE22" s="160">
        <f t="shared" si="1"/>
        <v>2753.5</v>
      </c>
      <c r="AF22" s="160">
        <f t="shared" si="2"/>
        <v>5746.55</v>
      </c>
      <c r="AG22" s="157">
        <v>67.3</v>
      </c>
    </row>
    <row r="23" spans="1:33">
      <c r="A23" s="126" t="s">
        <v>11</v>
      </c>
      <c r="B23" s="142">
        <v>1.25</v>
      </c>
      <c r="C23" s="142">
        <v>1.25</v>
      </c>
      <c r="D23" s="142">
        <v>118.75</v>
      </c>
      <c r="E23" s="143">
        <f t="shared" si="3"/>
        <v>118.75</v>
      </c>
      <c r="F23" s="142">
        <v>118.75</v>
      </c>
      <c r="G23" s="143">
        <v>118.75</v>
      </c>
      <c r="H23" s="143">
        <f t="shared" si="4"/>
        <v>95</v>
      </c>
      <c r="I23" s="133">
        <v>6.2</v>
      </c>
      <c r="J23" s="133">
        <v>5</v>
      </c>
      <c r="K23" s="133">
        <v>34</v>
      </c>
      <c r="L23" s="134">
        <f t="shared" si="5"/>
        <v>1054</v>
      </c>
      <c r="M23" s="134">
        <v>147.71</v>
      </c>
      <c r="N23" s="134">
        <v>3692.75</v>
      </c>
      <c r="O23" s="134">
        <f t="shared" si="6"/>
        <v>738.55000000000007</v>
      </c>
      <c r="P23" s="146">
        <v>2.2000000000000002</v>
      </c>
      <c r="Q23" s="146">
        <v>2.2000000000000002</v>
      </c>
      <c r="R23" s="146">
        <v>19</v>
      </c>
      <c r="S23" s="147">
        <f t="shared" si="10"/>
        <v>209</v>
      </c>
      <c r="T23" s="147">
        <v>19.190000000000001</v>
      </c>
      <c r="U23" s="147">
        <v>211.09</v>
      </c>
      <c r="V23" s="147">
        <f t="shared" si="7"/>
        <v>95.95</v>
      </c>
      <c r="W23" s="137">
        <v>5</v>
      </c>
      <c r="X23" s="137">
        <v>5</v>
      </c>
      <c r="Y23" s="137">
        <v>515</v>
      </c>
      <c r="Z23" s="138">
        <f t="shared" si="8"/>
        <v>515</v>
      </c>
      <c r="AA23" s="138">
        <v>525.35</v>
      </c>
      <c r="AB23" s="138">
        <v>525.35</v>
      </c>
      <c r="AC23" s="169">
        <f t="shared" si="9"/>
        <v>105.07000000000001</v>
      </c>
      <c r="AD23" s="159">
        <f t="shared" si="0"/>
        <v>14.65</v>
      </c>
      <c r="AE23" s="160">
        <f t="shared" si="1"/>
        <v>1896.75</v>
      </c>
      <c r="AF23" s="160">
        <f t="shared" si="2"/>
        <v>4547.9400000000005</v>
      </c>
      <c r="AG23" s="157">
        <v>64.25</v>
      </c>
    </row>
    <row r="24" spans="1:33">
      <c r="A24" s="126" t="s">
        <v>37</v>
      </c>
      <c r="B24" s="142">
        <v>1.25</v>
      </c>
      <c r="C24" s="142">
        <v>1.25</v>
      </c>
      <c r="D24" s="142">
        <v>71.25</v>
      </c>
      <c r="E24" s="143">
        <f t="shared" si="3"/>
        <v>71.25</v>
      </c>
      <c r="F24" s="142">
        <v>71.25</v>
      </c>
      <c r="G24" s="143">
        <v>71.25</v>
      </c>
      <c r="H24" s="143">
        <f t="shared" si="4"/>
        <v>57</v>
      </c>
      <c r="I24" s="133">
        <v>4.4000000000000004</v>
      </c>
      <c r="J24" s="133">
        <v>4.4000000000000004</v>
      </c>
      <c r="K24" s="133">
        <v>22.2</v>
      </c>
      <c r="L24" s="134">
        <f t="shared" si="5"/>
        <v>488.4</v>
      </c>
      <c r="M24" s="134">
        <v>41.5</v>
      </c>
      <c r="N24" s="134">
        <v>456.5</v>
      </c>
      <c r="O24" s="134">
        <f t="shared" si="6"/>
        <v>207.5</v>
      </c>
      <c r="T24" s="147">
        <v>0</v>
      </c>
      <c r="U24" s="147">
        <v>0</v>
      </c>
      <c r="V24" s="147">
        <f t="shared" si="7"/>
        <v>0</v>
      </c>
      <c r="AA24" s="138">
        <v>0</v>
      </c>
      <c r="AB24" s="138">
        <v>0</v>
      </c>
      <c r="AC24" s="169"/>
      <c r="AG24" s="157">
        <v>61.15</v>
      </c>
    </row>
    <row r="25" spans="1:33">
      <c r="A25" s="127"/>
    </row>
    <row r="26" spans="1:33">
      <c r="A26" s="128" t="s">
        <v>26</v>
      </c>
      <c r="B26" s="148">
        <f>SUM(B3:B24)</f>
        <v>103.75</v>
      </c>
      <c r="C26" s="148"/>
      <c r="D26" s="148">
        <f>SUM(D3:D24)</f>
        <v>4278.75</v>
      </c>
      <c r="E26" s="149">
        <f>SUM(E3:E24)</f>
        <v>13465</v>
      </c>
      <c r="F26" s="149"/>
      <c r="G26" s="149"/>
      <c r="H26" s="149"/>
      <c r="I26" s="150">
        <f>SUM(I3:I24)</f>
        <v>177.79999999999998</v>
      </c>
      <c r="J26" s="150"/>
      <c r="K26" s="150">
        <f>SUM(K3:K24)</f>
        <v>679.80000000000007</v>
      </c>
      <c r="L26" s="151">
        <f>SUM(L3:L24)</f>
        <v>40223.800000000003</v>
      </c>
      <c r="M26" s="151"/>
      <c r="N26" s="151"/>
      <c r="O26" s="155">
        <f>AVERAGE(O3:O24)</f>
        <v>326.52272727272725</v>
      </c>
      <c r="P26" s="152">
        <f>SUM(P3:P24)</f>
        <v>99.2</v>
      </c>
      <c r="Q26" s="152"/>
      <c r="R26" s="152"/>
      <c r="S26" s="153">
        <f>SUM(S3:S24)</f>
        <v>8936.1999999999989</v>
      </c>
      <c r="T26" s="153"/>
      <c r="U26" s="153"/>
      <c r="V26" s="155">
        <f>AVERAGE(V3:V24)</f>
        <v>67.87045454545455</v>
      </c>
      <c r="W26" s="154">
        <f>SUM(W3:W24)</f>
        <v>85</v>
      </c>
      <c r="X26" s="154">
        <f>SUM(X3:X24)</f>
        <v>70</v>
      </c>
      <c r="Y26" s="154">
        <f>SUM(Y3:Y24)</f>
        <v>17555</v>
      </c>
      <c r="Z26" s="155">
        <f>SUM(Z3:Z24)</f>
        <v>17555</v>
      </c>
      <c r="AA26" s="155"/>
      <c r="AB26" s="155">
        <f>SUM(AB3:AB24)</f>
        <v>10115.410000000002</v>
      </c>
      <c r="AD26" s="162">
        <f>SUM(AD3:AD24)</f>
        <v>460.09999999999997</v>
      </c>
      <c r="AE26" s="162">
        <f>SUM(AE3:AE24)</f>
        <v>79620.349999999991</v>
      </c>
      <c r="AF26" s="162">
        <f>SUM(AF3:AF24)</f>
        <v>108946.11</v>
      </c>
    </row>
    <row r="27" spans="1:33">
      <c r="A27" s="130" t="s">
        <v>161</v>
      </c>
      <c r="B27" s="148">
        <f>AVERAGE(B3:B24)</f>
        <v>5.1875</v>
      </c>
      <c r="C27" s="148"/>
      <c r="D27" s="148">
        <f>AVERAGE(D3:D24)</f>
        <v>213.9375</v>
      </c>
      <c r="E27" s="149">
        <f>AVERAGE(E3:E24)</f>
        <v>612.0454545454545</v>
      </c>
      <c r="F27" s="149"/>
      <c r="G27" s="149"/>
      <c r="H27" s="149"/>
      <c r="I27" s="150">
        <f>AVERAGE(I3:I24)</f>
        <v>10.458823529411763</v>
      </c>
      <c r="J27" s="150"/>
      <c r="K27" s="150">
        <f>AVERAGE(K3:K24)</f>
        <v>39.988235294117651</v>
      </c>
      <c r="L27" s="151">
        <f>AVERAGE(L3:L24)</f>
        <v>2366.1058823529415</v>
      </c>
      <c r="M27" s="151"/>
      <c r="N27" s="151"/>
      <c r="O27" s="151"/>
      <c r="P27" s="152">
        <f>AVERAGE(P3:P24)</f>
        <v>6.6133333333333333</v>
      </c>
      <c r="Q27" s="152"/>
      <c r="R27" s="152">
        <f>AVERAGE(R3:R24)</f>
        <v>18.999999999999996</v>
      </c>
      <c r="S27" s="153">
        <f>AVERAGE(S3:S24)</f>
        <v>595.74666666666656</v>
      </c>
      <c r="T27" s="153"/>
      <c r="U27" s="153"/>
      <c r="V27" s="153"/>
      <c r="W27" s="154">
        <f>AVERAGE(W3:W24)</f>
        <v>5</v>
      </c>
      <c r="X27" s="154"/>
      <c r="Y27" s="154">
        <f>AVERAGE(Y3:Y24)</f>
        <v>1032.6470588235295</v>
      </c>
      <c r="Z27" s="155">
        <f>AVERAGE(Z3:Z24)</f>
        <v>1032.6470588235295</v>
      </c>
      <c r="AA27" s="155"/>
      <c r="AB27" s="155"/>
      <c r="AC27" s="155">
        <f>AVERAGE(AC3:AC24)</f>
        <v>144.50585714285714</v>
      </c>
      <c r="AD27" s="162">
        <f>AVERAGE(AD3:AD24)</f>
        <v>21.909523809523808</v>
      </c>
      <c r="AE27" s="162">
        <f>AVERAGE(AE3:AE24)</f>
        <v>3791.4452380952375</v>
      </c>
      <c r="AF27" s="162">
        <f>AVERAGE(AF3:AF24)</f>
        <v>5187.91</v>
      </c>
    </row>
    <row r="28" spans="1:33">
      <c r="O28" s="138">
        <f>(O26*10)/(2*(1280/22))/17.5</f>
        <v>1.6034598214285714</v>
      </c>
      <c r="V28" s="138">
        <f>(V26*10)/(2*(1280/22))/17.5</f>
        <v>0.33329241071428573</v>
      </c>
      <c r="AA28" s="138">
        <f>AVERAGE(AA3:AA24)/5</f>
        <v>91.958272727272742</v>
      </c>
      <c r="AC28" s="138">
        <f>(AC27*10)/(2*(1280/22))/17.5</f>
        <v>0.70962697704081634</v>
      </c>
    </row>
    <row r="29" spans="1:33">
      <c r="AA29" s="272" t="s">
        <v>203</v>
      </c>
    </row>
    <row r="30" spans="1:33">
      <c r="AB30" s="138">
        <f>AB26/(X26)</f>
        <v>144.50585714285717</v>
      </c>
      <c r="AC30" s="138">
        <f>((AC27*10)/2/(1280/22))/17.5</f>
        <v>0.70962697704081634</v>
      </c>
    </row>
    <row r="31" spans="1:33">
      <c r="AB31" s="138">
        <f>(AB30*10)/1280/17.5</f>
        <v>6.4511543367346949E-2</v>
      </c>
    </row>
    <row r="33" spans="29:29">
      <c r="AC33" s="138">
        <f>(AC23*10/2/71)/17.5</f>
        <v>0.42281690140845074</v>
      </c>
    </row>
  </sheetData>
  <mergeCells count="5">
    <mergeCell ref="I1:L1"/>
    <mergeCell ref="W1:Z1"/>
    <mergeCell ref="AD1:AE1"/>
    <mergeCell ref="B1:H1"/>
    <mergeCell ref="P1:U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453"/>
  <sheetViews>
    <sheetView tabSelected="1" zoomScale="90" zoomScaleNormal="90" workbookViewId="0">
      <pane xSplit="1" ySplit="2" topLeftCell="AQ18" activePane="bottomRight" state="frozenSplit"/>
      <selection pane="topRight" activeCell="B1" sqref="B1"/>
      <selection pane="bottomLeft" activeCell="A3" sqref="A3"/>
      <selection pane="bottomRight" activeCell="AZ26" sqref="AZ26"/>
    </sheetView>
  </sheetViews>
  <sheetFormatPr defaultColWidth="9.1796875" defaultRowHeight="13"/>
  <cols>
    <col min="1" max="1" width="21" style="123" customWidth="1"/>
    <col min="2" max="3" width="17.7265625" style="123" customWidth="1"/>
    <col min="4" max="4" width="17.7265625" style="227" customWidth="1"/>
    <col min="5" max="5" width="17.7265625" style="212" customWidth="1"/>
    <col min="6" max="8" width="17.7265625" style="123" customWidth="1"/>
    <col min="9" max="10" width="15.453125" style="142" customWidth="1"/>
    <col min="11" max="11" width="11.54296875" style="142" customWidth="1"/>
    <col min="12" max="12" width="13" style="235" customWidth="1"/>
    <col min="13" max="13" width="13" style="143" customWidth="1"/>
    <col min="14" max="14" width="17.26953125" style="143" customWidth="1"/>
    <col min="15" max="15" width="13" style="143" customWidth="1"/>
    <col min="16" max="17" width="14.81640625" style="133" customWidth="1"/>
    <col min="18" max="18" width="13" style="133" customWidth="1"/>
    <col min="19" max="19" width="13" style="249" customWidth="1"/>
    <col min="20" max="22" width="13" style="134" customWidth="1"/>
    <col min="23" max="24" width="14.453125" style="146" customWidth="1"/>
    <col min="25" max="25" width="13" style="146" customWidth="1"/>
    <col min="26" max="26" width="13" style="252" customWidth="1"/>
    <col min="27" max="29" width="13" style="147" customWidth="1"/>
    <col min="30" max="31" width="14" style="137" customWidth="1"/>
    <col min="32" max="32" width="15.1796875" style="137" customWidth="1"/>
    <col min="33" max="33" width="13" style="255" customWidth="1"/>
    <col min="34" max="39" width="13" style="138" customWidth="1"/>
    <col min="40" max="40" width="12.81640625" style="262" customWidth="1"/>
    <col min="41" max="50" width="13" style="138" customWidth="1"/>
    <col min="51" max="51" width="11.54296875" style="161" customWidth="1"/>
    <col min="52" max="52" width="12.81640625" style="239" customWidth="1"/>
    <col min="53" max="53" width="16" style="161" customWidth="1"/>
    <col min="54" max="54" width="9.1796875" style="157"/>
    <col min="55" max="16384" width="9.1796875" style="123"/>
  </cols>
  <sheetData>
    <row r="1" spans="1:54">
      <c r="A1" s="122" t="s">
        <v>22</v>
      </c>
      <c r="B1" s="187"/>
      <c r="C1" s="187"/>
      <c r="D1" s="219"/>
      <c r="E1" s="205" t="s">
        <v>190</v>
      </c>
      <c r="F1" s="187"/>
      <c r="G1" s="187"/>
      <c r="H1" s="187"/>
      <c r="I1" s="283" t="s">
        <v>191</v>
      </c>
      <c r="J1" s="283"/>
      <c r="K1" s="283"/>
      <c r="L1" s="283"/>
      <c r="M1" s="283"/>
      <c r="N1" s="283"/>
      <c r="O1" s="283"/>
      <c r="P1" s="280" t="s">
        <v>192</v>
      </c>
      <c r="Q1" s="280"/>
      <c r="R1" s="280"/>
      <c r="S1" s="280"/>
      <c r="T1" s="170"/>
      <c r="U1" s="170"/>
      <c r="V1" s="170"/>
      <c r="W1" s="284" t="s">
        <v>193</v>
      </c>
      <c r="X1" s="284"/>
      <c r="Y1" s="284"/>
      <c r="Z1" s="284"/>
      <c r="AA1" s="284"/>
      <c r="AB1" s="284"/>
      <c r="AC1" s="173"/>
      <c r="AD1" s="281" t="s">
        <v>194</v>
      </c>
      <c r="AE1" s="281"/>
      <c r="AF1" s="281"/>
      <c r="AG1" s="281"/>
      <c r="AH1" s="171"/>
      <c r="AI1" s="171"/>
      <c r="AJ1" s="171"/>
      <c r="AK1" s="190"/>
      <c r="AL1" s="190"/>
      <c r="AM1" s="243" t="s">
        <v>188</v>
      </c>
      <c r="AN1" s="257"/>
      <c r="AO1" s="243"/>
      <c r="AP1" s="203"/>
      <c r="AQ1" s="203"/>
      <c r="AR1" s="204"/>
      <c r="AS1" s="204"/>
      <c r="AT1" s="242" t="s">
        <v>189</v>
      </c>
      <c r="AU1" s="242"/>
      <c r="AV1" s="242"/>
      <c r="AW1" s="204"/>
      <c r="AX1" s="204"/>
      <c r="AY1" s="282" t="s">
        <v>26</v>
      </c>
      <c r="AZ1" s="282"/>
      <c r="BA1" s="172"/>
    </row>
    <row r="2" spans="1:54" s="129" customFormat="1" ht="91">
      <c r="A2" s="124"/>
      <c r="B2" s="188" t="s">
        <v>159</v>
      </c>
      <c r="C2" s="188" t="s">
        <v>170</v>
      </c>
      <c r="D2" s="220" t="s">
        <v>182</v>
      </c>
      <c r="E2" s="206" t="s">
        <v>158</v>
      </c>
      <c r="F2" s="189" t="s">
        <v>171</v>
      </c>
      <c r="G2" s="189" t="s">
        <v>169</v>
      </c>
      <c r="H2" s="189" t="s">
        <v>178</v>
      </c>
      <c r="I2" s="139" t="s">
        <v>159</v>
      </c>
      <c r="J2" s="139" t="s">
        <v>170</v>
      </c>
      <c r="K2" s="140" t="s">
        <v>182</v>
      </c>
      <c r="L2" s="214" t="s">
        <v>158</v>
      </c>
      <c r="M2" s="141" t="s">
        <v>171</v>
      </c>
      <c r="N2" s="141" t="s">
        <v>169</v>
      </c>
      <c r="O2" s="141" t="s">
        <v>178</v>
      </c>
      <c r="P2" s="131" t="s">
        <v>159</v>
      </c>
      <c r="Q2" s="131" t="s">
        <v>170</v>
      </c>
      <c r="R2" s="131" t="s">
        <v>180</v>
      </c>
      <c r="S2" s="248" t="s">
        <v>158</v>
      </c>
      <c r="T2" s="132" t="s">
        <v>171</v>
      </c>
      <c r="U2" s="132" t="s">
        <v>172</v>
      </c>
      <c r="V2" s="141" t="s">
        <v>178</v>
      </c>
      <c r="W2" s="144" t="s">
        <v>159</v>
      </c>
      <c r="X2" s="144" t="s">
        <v>173</v>
      </c>
      <c r="Y2" s="144" t="s">
        <v>180</v>
      </c>
      <c r="Z2" s="251" t="s">
        <v>158</v>
      </c>
      <c r="AA2" s="145" t="s">
        <v>171</v>
      </c>
      <c r="AB2" s="145" t="s">
        <v>174</v>
      </c>
      <c r="AC2" s="141" t="s">
        <v>178</v>
      </c>
      <c r="AD2" s="135" t="s">
        <v>159</v>
      </c>
      <c r="AE2" s="135" t="s">
        <v>175</v>
      </c>
      <c r="AF2" s="135" t="s">
        <v>180</v>
      </c>
      <c r="AG2" s="254" t="s">
        <v>158</v>
      </c>
      <c r="AH2" s="136" t="s">
        <v>171</v>
      </c>
      <c r="AI2" s="136" t="s">
        <v>176</v>
      </c>
      <c r="AJ2" s="141" t="s">
        <v>178</v>
      </c>
      <c r="AK2" s="191" t="s">
        <v>159</v>
      </c>
      <c r="AL2" s="191" t="s">
        <v>175</v>
      </c>
      <c r="AM2" s="191" t="s">
        <v>180</v>
      </c>
      <c r="AN2" s="258" t="s">
        <v>158</v>
      </c>
      <c r="AO2" s="192" t="s">
        <v>171</v>
      </c>
      <c r="AP2" s="192" t="s">
        <v>176</v>
      </c>
      <c r="AQ2" s="193" t="s">
        <v>178</v>
      </c>
      <c r="AR2" s="197" t="s">
        <v>159</v>
      </c>
      <c r="AS2" s="197" t="s">
        <v>175</v>
      </c>
      <c r="AT2" s="197" t="s">
        <v>180</v>
      </c>
      <c r="AU2" s="198" t="s">
        <v>158</v>
      </c>
      <c r="AV2" s="198" t="s">
        <v>171</v>
      </c>
      <c r="AW2" s="198" t="s">
        <v>176</v>
      </c>
      <c r="AX2" s="199" t="s">
        <v>178</v>
      </c>
      <c r="AY2" s="158" t="s">
        <v>167</v>
      </c>
      <c r="AZ2" s="238" t="s">
        <v>166</v>
      </c>
      <c r="BA2" s="158" t="s">
        <v>177</v>
      </c>
      <c r="BB2" s="156" t="s">
        <v>168</v>
      </c>
    </row>
    <row r="3" spans="1:54">
      <c r="A3" s="125" t="s">
        <v>5</v>
      </c>
      <c r="B3" s="181">
        <v>35</v>
      </c>
      <c r="C3" s="181"/>
      <c r="D3" s="221">
        <v>971</v>
      </c>
      <c r="E3" s="207">
        <f>B3*D3</f>
        <v>33985</v>
      </c>
      <c r="F3" s="181"/>
      <c r="G3" s="181"/>
      <c r="H3" s="181"/>
      <c r="I3" s="142">
        <v>7.5</v>
      </c>
      <c r="K3" s="175">
        <v>606</v>
      </c>
      <c r="L3" s="235">
        <f>I3*K3</f>
        <v>4545</v>
      </c>
      <c r="M3" s="142">
        <v>0</v>
      </c>
      <c r="N3" s="143">
        <v>0</v>
      </c>
      <c r="O3" s="143">
        <v>0</v>
      </c>
      <c r="R3" s="176"/>
      <c r="W3" s="146">
        <v>4.4000000000000004</v>
      </c>
      <c r="X3" s="146">
        <f>2.4</f>
        <v>2.4</v>
      </c>
      <c r="Y3" s="177">
        <v>243</v>
      </c>
      <c r="Z3" s="252">
        <f>W3*Y3</f>
        <v>1069.2</v>
      </c>
      <c r="AA3" s="147">
        <v>48.6</v>
      </c>
      <c r="AB3" s="147">
        <f>(X3*(AA3/0.2))</f>
        <v>583.19999999999993</v>
      </c>
      <c r="AC3" s="147">
        <f>AB3/X3</f>
        <v>242.99999999999997</v>
      </c>
      <c r="AD3" s="137">
        <v>20</v>
      </c>
      <c r="AF3" s="174">
        <v>272</v>
      </c>
      <c r="AG3" s="255">
        <f>AD3*AF3</f>
        <v>5440</v>
      </c>
      <c r="AH3" s="169"/>
      <c r="AI3" s="169">
        <v>0</v>
      </c>
      <c r="AJ3" s="169"/>
      <c r="AK3" s="194">
        <v>20</v>
      </c>
      <c r="AL3" s="266">
        <f t="shared" ref="AL3" si="0">10+10</f>
        <v>20</v>
      </c>
      <c r="AM3" s="194">
        <v>68</v>
      </c>
      <c r="AN3" s="259">
        <f>AK3*AM3</f>
        <v>1360</v>
      </c>
      <c r="AO3" s="266">
        <v>683.4</v>
      </c>
      <c r="AP3" s="194">
        <f>((AL3*AO3)/10)</f>
        <v>1366.8</v>
      </c>
      <c r="AQ3" s="194">
        <f>(AO3/10)</f>
        <v>68.34</v>
      </c>
      <c r="AR3" s="200">
        <v>40</v>
      </c>
      <c r="AS3" s="268">
        <v>10</v>
      </c>
      <c r="AT3" s="200">
        <v>68</v>
      </c>
      <c r="AU3" s="200">
        <f>AR3*AT3</f>
        <v>2720</v>
      </c>
      <c r="AV3" s="269">
        <v>680</v>
      </c>
      <c r="AW3" s="200">
        <f>((AV3*AS3)/10)</f>
        <v>680</v>
      </c>
      <c r="AX3" s="200">
        <f>(AV3/10)</f>
        <v>68</v>
      </c>
      <c r="AY3" s="159">
        <f>SUM(B3,AK3,AR43,I3,P3,W3,AD3,AR3)</f>
        <v>126.9</v>
      </c>
      <c r="AZ3" s="239">
        <f>SUM(AN3,AU3,E3,L3,S3,Z3,AG3)</f>
        <v>49119.199999999997</v>
      </c>
      <c r="BA3" s="160">
        <f>SUM(AW3,AP3,AI3,AB3,U3,N3,G3)</f>
        <v>2630</v>
      </c>
      <c r="BB3" s="157">
        <v>153.80000000000001</v>
      </c>
    </row>
    <row r="4" spans="1:54">
      <c r="A4" s="125" t="s">
        <v>18</v>
      </c>
      <c r="B4" s="181">
        <v>35</v>
      </c>
      <c r="C4" s="181"/>
      <c r="D4" s="221">
        <v>158</v>
      </c>
      <c r="E4" s="207">
        <f>B4*D4</f>
        <v>5530</v>
      </c>
      <c r="F4" s="181"/>
      <c r="G4" s="181"/>
      <c r="H4" s="181"/>
      <c r="I4" s="142">
        <v>0</v>
      </c>
      <c r="K4" s="175">
        <v>0</v>
      </c>
      <c r="M4" s="142">
        <v>0</v>
      </c>
      <c r="N4" s="143">
        <v>0</v>
      </c>
      <c r="O4" s="143">
        <v>0</v>
      </c>
      <c r="R4" s="176"/>
      <c r="W4" s="146">
        <v>19.8</v>
      </c>
      <c r="X4" s="142">
        <f>3.8+5+8</f>
        <v>16.8</v>
      </c>
      <c r="Y4" s="177">
        <v>40</v>
      </c>
      <c r="Z4" s="252">
        <f t="shared" ref="Z4:Z24" si="1">W4*Y4</f>
        <v>792</v>
      </c>
      <c r="AA4" s="147">
        <v>8</v>
      </c>
      <c r="AB4" s="147">
        <f>(X4*(AA4/0.2))</f>
        <v>672</v>
      </c>
      <c r="AC4" s="147">
        <f>AB4/X4</f>
        <v>40</v>
      </c>
      <c r="AD4" s="137">
        <v>15</v>
      </c>
      <c r="AF4" s="174">
        <v>46</v>
      </c>
      <c r="AG4" s="255">
        <f t="shared" ref="AG4:AG24" si="2">AD4*AF4</f>
        <v>690</v>
      </c>
      <c r="AI4" s="138">
        <v>0</v>
      </c>
      <c r="AJ4" s="169"/>
      <c r="AK4" s="194">
        <v>20</v>
      </c>
      <c r="AL4" s="266">
        <f>10+10</f>
        <v>20</v>
      </c>
      <c r="AM4" s="194">
        <v>2</v>
      </c>
      <c r="AN4" s="259">
        <f t="shared" ref="AN4:AN24" si="3">AK4*AM4</f>
        <v>40</v>
      </c>
      <c r="AO4" s="266">
        <v>20</v>
      </c>
      <c r="AP4" s="194">
        <f t="shared" ref="AP4:AP41" si="4">((AL4*AO4)/10)</f>
        <v>40</v>
      </c>
      <c r="AQ4" s="194">
        <f t="shared" ref="AQ4:AQ41" si="5">(AO4/10)</f>
        <v>2</v>
      </c>
      <c r="AR4" s="200">
        <v>20</v>
      </c>
      <c r="AS4" s="269">
        <f>10+10</f>
        <v>20</v>
      </c>
      <c r="AT4" s="200">
        <v>2</v>
      </c>
      <c r="AU4" s="200">
        <f>AR4*AT4</f>
        <v>40</v>
      </c>
      <c r="AV4" s="269">
        <v>20</v>
      </c>
      <c r="AW4" s="200">
        <f t="shared" ref="AW4:AW41" si="6">((AV4*AS4)/10)</f>
        <v>40</v>
      </c>
      <c r="AX4" s="200">
        <f t="shared" ref="AX4:AX41" si="7">(AV4/10)</f>
        <v>2</v>
      </c>
      <c r="AY4" s="159">
        <f t="shared" ref="AY4:AY27" si="8">SUM(B4,AK4,AR44,I4,P4,W4,AD4,AR4)</f>
        <v>109.8</v>
      </c>
      <c r="AZ4" s="239">
        <f t="shared" ref="AZ4:AZ24" si="9">SUM(AN4,AU4,E4,L4,S4,Z4,AG4)</f>
        <v>7092</v>
      </c>
      <c r="BA4" s="160">
        <f t="shared" ref="BA4:BA41" si="10">SUM(AW4,AP4,AI4,AB4,U4,N4,G4)</f>
        <v>752</v>
      </c>
      <c r="BB4" s="157">
        <v>159.6</v>
      </c>
    </row>
    <row r="5" spans="1:54">
      <c r="A5" s="125" t="s">
        <v>16</v>
      </c>
      <c r="B5" s="181">
        <v>35</v>
      </c>
      <c r="C5" s="181"/>
      <c r="D5" s="221">
        <v>248</v>
      </c>
      <c r="E5" s="207">
        <f>B5*D5</f>
        <v>8680</v>
      </c>
      <c r="F5" s="181"/>
      <c r="G5" s="181"/>
      <c r="H5" s="181"/>
      <c r="I5" s="142">
        <v>2.5</v>
      </c>
      <c r="K5" s="175">
        <v>136</v>
      </c>
      <c r="L5" s="235">
        <f t="shared" ref="L5:L24" si="11">I5*K5</f>
        <v>340</v>
      </c>
      <c r="M5" s="142">
        <v>0</v>
      </c>
      <c r="N5" s="143">
        <v>0</v>
      </c>
      <c r="O5" s="143">
        <v>0</v>
      </c>
      <c r="P5" s="133">
        <v>4.5999999999999996</v>
      </c>
      <c r="R5" s="176">
        <v>444</v>
      </c>
      <c r="S5" s="249">
        <f t="shared" ref="S5:S23" si="12">P5*R5</f>
        <v>2042.3999999999999</v>
      </c>
      <c r="W5" s="146">
        <v>12.2</v>
      </c>
      <c r="X5" s="146">
        <f>1.8+5+5</f>
        <v>11.8</v>
      </c>
      <c r="Y5" s="177">
        <v>62</v>
      </c>
      <c r="Z5" s="252">
        <f t="shared" si="1"/>
        <v>756.4</v>
      </c>
      <c r="AA5" s="147">
        <v>12.4</v>
      </c>
      <c r="AB5" s="147">
        <f t="shared" ref="AB5:AB41" si="13">(X5*(AA5/0.2))</f>
        <v>731.6</v>
      </c>
      <c r="AC5" s="147">
        <f t="shared" ref="AC5:AC24" si="14">AB5/X5</f>
        <v>62</v>
      </c>
      <c r="AD5" s="137">
        <v>20</v>
      </c>
      <c r="AE5" s="137">
        <f>5+5</f>
        <v>10</v>
      </c>
      <c r="AF5" s="174">
        <v>86</v>
      </c>
      <c r="AG5" s="255">
        <f t="shared" si="2"/>
        <v>1720</v>
      </c>
      <c r="AH5" s="138">
        <v>430</v>
      </c>
      <c r="AI5" s="138">
        <f>((AH5*AE5)/5)</f>
        <v>860</v>
      </c>
      <c r="AJ5" s="169">
        <f>(AH5/5)</f>
        <v>86</v>
      </c>
      <c r="AK5" s="194">
        <v>20</v>
      </c>
      <c r="AL5" s="266">
        <f>10+10</f>
        <v>20</v>
      </c>
      <c r="AM5" s="194">
        <v>6</v>
      </c>
      <c r="AN5" s="259">
        <f t="shared" si="3"/>
        <v>120</v>
      </c>
      <c r="AO5" s="266">
        <v>61.5</v>
      </c>
      <c r="AP5" s="194">
        <f t="shared" si="4"/>
        <v>123</v>
      </c>
      <c r="AQ5" s="194">
        <f t="shared" si="5"/>
        <v>6.15</v>
      </c>
      <c r="AR5" s="200">
        <v>20</v>
      </c>
      <c r="AS5" s="269">
        <f t="shared" ref="AS5" si="15">10</f>
        <v>10</v>
      </c>
      <c r="AT5" s="200">
        <v>6</v>
      </c>
      <c r="AU5" s="200">
        <f>AR5*AT5</f>
        <v>120</v>
      </c>
      <c r="AV5" s="269">
        <v>60</v>
      </c>
      <c r="AW5" s="200">
        <f t="shared" si="6"/>
        <v>60</v>
      </c>
      <c r="AX5" s="200">
        <f t="shared" si="7"/>
        <v>6</v>
      </c>
      <c r="AY5" s="159">
        <f t="shared" si="8"/>
        <v>114.3</v>
      </c>
      <c r="AZ5" s="239">
        <f t="shared" si="9"/>
        <v>13778.8</v>
      </c>
      <c r="BA5" s="160">
        <f t="shared" si="10"/>
        <v>1774.6</v>
      </c>
      <c r="BB5" s="157">
        <v>168.6</v>
      </c>
    </row>
    <row r="6" spans="1:54">
      <c r="A6" s="126" t="s">
        <v>0</v>
      </c>
      <c r="B6" s="181">
        <v>35</v>
      </c>
      <c r="C6" s="182"/>
      <c r="D6" s="222">
        <v>1595</v>
      </c>
      <c r="E6" s="207">
        <f>B6*D6</f>
        <v>55825</v>
      </c>
      <c r="F6" s="182"/>
      <c r="G6" s="182"/>
      <c r="H6" s="182"/>
      <c r="I6" s="142">
        <v>2.5</v>
      </c>
      <c r="K6" s="175">
        <v>848</v>
      </c>
      <c r="L6" s="235">
        <f t="shared" si="11"/>
        <v>2120</v>
      </c>
      <c r="M6" s="142">
        <v>0</v>
      </c>
      <c r="N6" s="143">
        <v>0</v>
      </c>
      <c r="O6" s="143">
        <v>0</v>
      </c>
      <c r="R6" s="176"/>
      <c r="W6" s="178">
        <v>12.8</v>
      </c>
      <c r="X6" s="146">
        <f>2</f>
        <v>2</v>
      </c>
      <c r="Y6" s="177">
        <v>399</v>
      </c>
      <c r="Z6" s="252">
        <f t="shared" si="1"/>
        <v>5107.2000000000007</v>
      </c>
      <c r="AA6" s="147">
        <v>79.8</v>
      </c>
      <c r="AB6" s="147">
        <f t="shared" si="13"/>
        <v>797.99999999999989</v>
      </c>
      <c r="AC6" s="147">
        <f t="shared" si="14"/>
        <v>398.99999999999994</v>
      </c>
      <c r="AD6" s="137">
        <v>20</v>
      </c>
      <c r="AE6" s="137">
        <f>5</f>
        <v>5</v>
      </c>
      <c r="AF6" s="174">
        <v>554</v>
      </c>
      <c r="AG6" s="255">
        <f t="shared" si="2"/>
        <v>11080</v>
      </c>
      <c r="AH6" s="138">
        <v>2770</v>
      </c>
      <c r="AI6" s="138">
        <f t="shared" ref="AI6:AI41" si="16">((AH6*AE6)/5)</f>
        <v>2770</v>
      </c>
      <c r="AJ6" s="169">
        <f t="shared" ref="AJ6:AJ41" si="17">(AH6/5)</f>
        <v>554</v>
      </c>
      <c r="AK6" s="194">
        <v>20</v>
      </c>
      <c r="AL6" s="266"/>
      <c r="AM6" s="194">
        <v>143</v>
      </c>
      <c r="AN6" s="259">
        <f t="shared" si="3"/>
        <v>2860</v>
      </c>
      <c r="AO6" s="266">
        <v>1430</v>
      </c>
      <c r="AP6" s="194">
        <f t="shared" si="4"/>
        <v>0</v>
      </c>
      <c r="AQ6" s="194">
        <f t="shared" si="5"/>
        <v>143</v>
      </c>
      <c r="AR6" s="200">
        <v>40</v>
      </c>
      <c r="AS6" s="269">
        <v>10</v>
      </c>
      <c r="AT6" s="200">
        <v>143</v>
      </c>
      <c r="AU6" s="200">
        <f>AR6*AT6</f>
        <v>5720</v>
      </c>
      <c r="AV6" s="269">
        <v>1430</v>
      </c>
      <c r="AW6" s="200">
        <f t="shared" si="6"/>
        <v>1430</v>
      </c>
      <c r="AX6" s="200">
        <f t="shared" si="7"/>
        <v>143</v>
      </c>
      <c r="AY6" s="159">
        <f t="shared" si="8"/>
        <v>130.30000000000001</v>
      </c>
      <c r="AZ6" s="239">
        <f t="shared" si="9"/>
        <v>82712.2</v>
      </c>
      <c r="BA6" s="160">
        <f t="shared" si="10"/>
        <v>4998</v>
      </c>
      <c r="BB6" s="157">
        <v>160.6</v>
      </c>
    </row>
    <row r="7" spans="1:54">
      <c r="A7" s="125" t="s">
        <v>4</v>
      </c>
      <c r="B7" s="181">
        <v>35</v>
      </c>
      <c r="C7" s="181"/>
      <c r="D7" s="221">
        <v>952</v>
      </c>
      <c r="E7" s="207">
        <f>D7*B7</f>
        <v>33320</v>
      </c>
      <c r="F7" s="181"/>
      <c r="G7" s="181"/>
      <c r="H7" s="181"/>
      <c r="I7" s="142">
        <v>6.25</v>
      </c>
      <c r="J7" s="142">
        <v>5</v>
      </c>
      <c r="K7" s="175">
        <v>285</v>
      </c>
      <c r="L7" s="235">
        <f t="shared" si="11"/>
        <v>1781.25</v>
      </c>
      <c r="M7" s="142">
        <v>419.31</v>
      </c>
      <c r="N7" s="143">
        <f>(4*M7)</f>
        <v>1677.24</v>
      </c>
      <c r="O7" s="143">
        <f>(M7/1.25)</f>
        <v>335.44799999999998</v>
      </c>
      <c r="P7" s="133">
        <v>3</v>
      </c>
      <c r="R7" s="176">
        <v>673</v>
      </c>
      <c r="S7" s="249">
        <f t="shared" si="12"/>
        <v>2019</v>
      </c>
      <c r="W7" s="146">
        <v>13</v>
      </c>
      <c r="X7" s="146">
        <f>8.4+3</f>
        <v>11.4</v>
      </c>
      <c r="Y7" s="177">
        <v>238</v>
      </c>
      <c r="Z7" s="252">
        <f t="shared" si="1"/>
        <v>3094</v>
      </c>
      <c r="AA7" s="147">
        <f>47.6</f>
        <v>47.6</v>
      </c>
      <c r="AB7" s="147">
        <f t="shared" si="13"/>
        <v>2713.2000000000003</v>
      </c>
      <c r="AC7" s="147">
        <f t="shared" si="14"/>
        <v>238.00000000000003</v>
      </c>
      <c r="AD7" s="137">
        <v>15</v>
      </c>
      <c r="AF7" s="174">
        <v>258</v>
      </c>
      <c r="AG7" s="255">
        <f t="shared" si="2"/>
        <v>3870</v>
      </c>
      <c r="AI7" s="138">
        <f t="shared" si="16"/>
        <v>0</v>
      </c>
      <c r="AJ7" s="169">
        <f t="shared" si="17"/>
        <v>0</v>
      </c>
      <c r="AK7" s="194">
        <v>20</v>
      </c>
      <c r="AL7" s="266">
        <f t="shared" ref="AL7" si="18">10+10</f>
        <v>20</v>
      </c>
      <c r="AM7" s="194">
        <v>39</v>
      </c>
      <c r="AN7" s="259">
        <f t="shared" si="3"/>
        <v>780</v>
      </c>
      <c r="AO7" s="266">
        <v>611.88</v>
      </c>
      <c r="AP7" s="194">
        <f t="shared" si="4"/>
        <v>1223.76</v>
      </c>
      <c r="AQ7" s="194">
        <f t="shared" si="5"/>
        <v>61.188000000000002</v>
      </c>
      <c r="AR7" s="200">
        <v>40</v>
      </c>
      <c r="AS7" s="269">
        <f>20</f>
        <v>20</v>
      </c>
      <c r="AT7" s="200">
        <v>39</v>
      </c>
      <c r="AU7" s="200">
        <f>AR7*AT7</f>
        <v>1560</v>
      </c>
      <c r="AV7" s="269">
        <v>390</v>
      </c>
      <c r="AW7" s="200">
        <f t="shared" si="6"/>
        <v>780</v>
      </c>
      <c r="AX7" s="200">
        <f t="shared" si="7"/>
        <v>39</v>
      </c>
      <c r="AY7" s="159">
        <f t="shared" si="8"/>
        <v>132.25</v>
      </c>
      <c r="AZ7" s="239">
        <f t="shared" si="9"/>
        <v>46424.25</v>
      </c>
      <c r="BA7" s="160">
        <f t="shared" si="10"/>
        <v>6394.2</v>
      </c>
      <c r="BB7" s="157">
        <v>164.5</v>
      </c>
    </row>
    <row r="8" spans="1:54">
      <c r="A8" s="126" t="s">
        <v>10</v>
      </c>
      <c r="B8" s="181">
        <v>35</v>
      </c>
      <c r="C8" s="182"/>
      <c r="D8" s="222">
        <v>186</v>
      </c>
      <c r="E8" s="207">
        <f t="shared" ref="E8:E24" si="19">D8*B8</f>
        <v>6510</v>
      </c>
      <c r="F8" s="182"/>
      <c r="G8" s="182"/>
      <c r="H8" s="182"/>
      <c r="I8" s="142">
        <v>1.25</v>
      </c>
      <c r="K8" s="175">
        <v>57</v>
      </c>
      <c r="L8" s="235">
        <f t="shared" si="11"/>
        <v>71.25</v>
      </c>
      <c r="M8" s="142">
        <v>0</v>
      </c>
      <c r="R8" s="176"/>
      <c r="W8" s="146">
        <v>7.4</v>
      </c>
      <c r="X8" s="146">
        <f>1.6+4.8+1</f>
        <v>7.4</v>
      </c>
      <c r="Y8" s="177">
        <v>47</v>
      </c>
      <c r="Z8" s="252">
        <f t="shared" si="1"/>
        <v>347.8</v>
      </c>
      <c r="AA8" s="147">
        <v>9.86</v>
      </c>
      <c r="AB8" s="147">
        <f t="shared" si="13"/>
        <v>364.82</v>
      </c>
      <c r="AC8" s="147">
        <f t="shared" si="14"/>
        <v>49.3</v>
      </c>
      <c r="AD8" s="137">
        <v>15</v>
      </c>
      <c r="AE8" s="137">
        <f>5</f>
        <v>5</v>
      </c>
      <c r="AF8" s="174">
        <v>55</v>
      </c>
      <c r="AG8" s="255">
        <f t="shared" si="2"/>
        <v>825</v>
      </c>
      <c r="AH8" s="138">
        <v>275</v>
      </c>
      <c r="AI8" s="138">
        <f t="shared" si="16"/>
        <v>275</v>
      </c>
      <c r="AJ8" s="169">
        <f t="shared" si="17"/>
        <v>55</v>
      </c>
      <c r="AK8" s="194"/>
      <c r="AL8" s="266"/>
      <c r="AM8" s="194"/>
      <c r="AN8" s="259"/>
      <c r="AO8" s="266"/>
      <c r="AP8" s="194">
        <f t="shared" si="4"/>
        <v>0</v>
      </c>
      <c r="AQ8" s="194">
        <f t="shared" si="5"/>
        <v>0</v>
      </c>
      <c r="AR8" s="200">
        <v>20</v>
      </c>
      <c r="AS8" s="269">
        <f>10+10</f>
        <v>20</v>
      </c>
      <c r="AT8" s="200">
        <v>8</v>
      </c>
      <c r="AU8" s="200">
        <f t="shared" ref="AU8:AU24" si="20">AR8*AT8</f>
        <v>160</v>
      </c>
      <c r="AV8" s="269">
        <v>80</v>
      </c>
      <c r="AW8" s="200">
        <f t="shared" si="6"/>
        <v>160</v>
      </c>
      <c r="AX8" s="200">
        <f t="shared" si="7"/>
        <v>8</v>
      </c>
      <c r="AY8" s="159">
        <f t="shared" si="8"/>
        <v>78.650000000000006</v>
      </c>
      <c r="AZ8" s="239">
        <f t="shared" si="9"/>
        <v>7914.05</v>
      </c>
      <c r="BA8" s="160">
        <f t="shared" si="10"/>
        <v>799.81999999999994</v>
      </c>
      <c r="BB8" s="157">
        <v>117.3</v>
      </c>
    </row>
    <row r="9" spans="1:54" ht="23.25" customHeight="1">
      <c r="A9" s="125" t="s">
        <v>15</v>
      </c>
      <c r="B9" s="181">
        <v>35</v>
      </c>
      <c r="C9" s="181"/>
      <c r="D9" s="221">
        <v>64</v>
      </c>
      <c r="E9" s="207">
        <f t="shared" si="19"/>
        <v>2240</v>
      </c>
      <c r="F9" s="181"/>
      <c r="G9" s="181"/>
      <c r="H9" s="181"/>
      <c r="I9" s="142">
        <v>3.75</v>
      </c>
      <c r="K9" s="175">
        <v>24</v>
      </c>
      <c r="L9" s="235">
        <f t="shared" si="11"/>
        <v>90</v>
      </c>
      <c r="M9" s="142">
        <v>0</v>
      </c>
      <c r="N9" s="143">
        <v>0</v>
      </c>
      <c r="O9" s="143">
        <f t="shared" ref="O9:O39" si="21">(M9/1.25)</f>
        <v>0</v>
      </c>
      <c r="R9" s="176"/>
      <c r="W9" s="146">
        <v>11.4</v>
      </c>
      <c r="X9" s="146">
        <f>0.6+5</f>
        <v>5.6</v>
      </c>
      <c r="Y9" s="177">
        <v>16</v>
      </c>
      <c r="Z9" s="252">
        <f t="shared" si="1"/>
        <v>182.4</v>
      </c>
      <c r="AA9" s="147">
        <v>3.2</v>
      </c>
      <c r="AB9" s="147">
        <f t="shared" si="13"/>
        <v>89.6</v>
      </c>
      <c r="AC9" s="147">
        <f t="shared" si="14"/>
        <v>16</v>
      </c>
      <c r="AD9" s="137">
        <v>20</v>
      </c>
      <c r="AF9" s="174">
        <v>20</v>
      </c>
      <c r="AG9" s="255">
        <f t="shared" si="2"/>
        <v>400</v>
      </c>
      <c r="AI9" s="138">
        <f t="shared" si="16"/>
        <v>0</v>
      </c>
      <c r="AJ9" s="169">
        <f t="shared" si="17"/>
        <v>0</v>
      </c>
      <c r="AK9" s="194">
        <v>20</v>
      </c>
      <c r="AL9" s="266">
        <f t="shared" ref="AL9" si="22">10+10</f>
        <v>20</v>
      </c>
      <c r="AM9" s="194">
        <v>1</v>
      </c>
      <c r="AN9" s="259">
        <f t="shared" si="3"/>
        <v>20</v>
      </c>
      <c r="AO9" s="266">
        <v>10</v>
      </c>
      <c r="AP9" s="194">
        <f t="shared" si="4"/>
        <v>20</v>
      </c>
      <c r="AQ9" s="194">
        <f t="shared" si="5"/>
        <v>1</v>
      </c>
      <c r="AR9" s="200">
        <v>20</v>
      </c>
      <c r="AS9" s="269">
        <f>10</f>
        <v>10</v>
      </c>
      <c r="AT9" s="200">
        <v>1</v>
      </c>
      <c r="AU9" s="200">
        <f t="shared" si="20"/>
        <v>20</v>
      </c>
      <c r="AV9" s="269">
        <v>10</v>
      </c>
      <c r="AW9" s="200">
        <f t="shared" si="6"/>
        <v>10</v>
      </c>
      <c r="AX9" s="200">
        <f t="shared" si="7"/>
        <v>1</v>
      </c>
      <c r="AY9" s="159">
        <f t="shared" si="8"/>
        <v>110.15</v>
      </c>
      <c r="AZ9" s="239">
        <f t="shared" si="9"/>
        <v>2952.4</v>
      </c>
      <c r="BA9" s="160">
        <f t="shared" si="10"/>
        <v>119.6</v>
      </c>
      <c r="BB9" s="157">
        <v>160.30000000000001</v>
      </c>
    </row>
    <row r="10" spans="1:54" ht="23.25" customHeight="1">
      <c r="A10" s="125" t="s">
        <v>20</v>
      </c>
      <c r="B10" s="181">
        <v>35</v>
      </c>
      <c r="C10" s="181"/>
      <c r="D10" s="221">
        <v>52</v>
      </c>
      <c r="E10" s="207">
        <f t="shared" si="19"/>
        <v>1820</v>
      </c>
      <c r="F10" s="181"/>
      <c r="G10" s="181"/>
      <c r="H10" s="181"/>
      <c r="K10" s="175"/>
      <c r="M10" s="142">
        <v>0</v>
      </c>
      <c r="N10" s="143">
        <v>0</v>
      </c>
      <c r="O10" s="143">
        <f t="shared" si="21"/>
        <v>0</v>
      </c>
      <c r="R10" s="176"/>
      <c r="W10" s="146">
        <v>32</v>
      </c>
      <c r="X10" s="146">
        <f>2.4+5+5+10</f>
        <v>22.4</v>
      </c>
      <c r="Y10" s="177">
        <v>13</v>
      </c>
      <c r="Z10" s="252">
        <f t="shared" si="1"/>
        <v>416</v>
      </c>
      <c r="AA10" s="147">
        <v>2.6</v>
      </c>
      <c r="AB10" s="147">
        <f t="shared" si="13"/>
        <v>291.2</v>
      </c>
      <c r="AC10" s="147">
        <f t="shared" si="14"/>
        <v>13</v>
      </c>
      <c r="AD10" s="137">
        <v>15</v>
      </c>
      <c r="AE10" s="137">
        <f>5</f>
        <v>5</v>
      </c>
      <c r="AF10" s="174">
        <v>11</v>
      </c>
      <c r="AG10" s="255">
        <f t="shared" si="2"/>
        <v>165</v>
      </c>
      <c r="AH10" s="138">
        <v>55</v>
      </c>
      <c r="AI10" s="138">
        <f t="shared" si="16"/>
        <v>55</v>
      </c>
      <c r="AJ10" s="169">
        <f t="shared" si="17"/>
        <v>11</v>
      </c>
      <c r="AK10" s="194"/>
      <c r="AL10" s="266"/>
      <c r="AM10" s="194"/>
      <c r="AN10" s="259"/>
      <c r="AO10" s="266"/>
      <c r="AP10" s="194">
        <f t="shared" si="4"/>
        <v>0</v>
      </c>
      <c r="AQ10" s="194">
        <f t="shared" si="5"/>
        <v>0</v>
      </c>
      <c r="AR10" s="200">
        <v>20</v>
      </c>
      <c r="AS10" s="269">
        <f>10</f>
        <v>10</v>
      </c>
      <c r="AT10" s="200">
        <v>1</v>
      </c>
      <c r="AU10" s="200">
        <f t="shared" si="20"/>
        <v>20</v>
      </c>
      <c r="AV10" s="269">
        <v>10</v>
      </c>
      <c r="AW10" s="200">
        <f t="shared" si="6"/>
        <v>10</v>
      </c>
      <c r="AX10" s="200">
        <f t="shared" si="7"/>
        <v>1</v>
      </c>
      <c r="AY10" s="159">
        <f t="shared" si="8"/>
        <v>102</v>
      </c>
      <c r="AZ10" s="239">
        <f t="shared" si="9"/>
        <v>2421</v>
      </c>
      <c r="BA10" s="160">
        <f t="shared" si="10"/>
        <v>356.2</v>
      </c>
      <c r="BB10" s="157">
        <v>164</v>
      </c>
    </row>
    <row r="11" spans="1:54">
      <c r="A11" s="125" t="s">
        <v>6</v>
      </c>
      <c r="B11" s="181">
        <v>35</v>
      </c>
      <c r="C11" s="181"/>
      <c r="D11" s="221">
        <v>740</v>
      </c>
      <c r="E11" s="207">
        <f t="shared" si="19"/>
        <v>25900</v>
      </c>
      <c r="F11" s="181"/>
      <c r="G11" s="181"/>
      <c r="H11" s="181"/>
      <c r="I11" s="142">
        <v>2.5</v>
      </c>
      <c r="K11" s="175">
        <v>303</v>
      </c>
      <c r="L11" s="235">
        <f t="shared" si="11"/>
        <v>757.5</v>
      </c>
      <c r="M11" s="143">
        <v>0</v>
      </c>
      <c r="N11" s="143">
        <v>0</v>
      </c>
      <c r="O11" s="143">
        <f t="shared" si="21"/>
        <v>0</v>
      </c>
      <c r="R11" s="176"/>
      <c r="W11" s="146">
        <v>4.2</v>
      </c>
      <c r="Y11" s="177">
        <v>185</v>
      </c>
      <c r="Z11" s="252">
        <f t="shared" si="1"/>
        <v>777</v>
      </c>
      <c r="AB11" s="147">
        <f t="shared" si="13"/>
        <v>0</v>
      </c>
      <c r="AC11" s="147">
        <v>0</v>
      </c>
      <c r="AD11" s="137">
        <v>15</v>
      </c>
      <c r="AF11" s="174">
        <v>328</v>
      </c>
      <c r="AG11" s="255">
        <f t="shared" si="2"/>
        <v>4920</v>
      </c>
      <c r="AI11" s="138">
        <f t="shared" si="16"/>
        <v>0</v>
      </c>
      <c r="AJ11" s="169">
        <f t="shared" si="17"/>
        <v>0</v>
      </c>
      <c r="AK11" s="194">
        <v>20</v>
      </c>
      <c r="AL11" s="266">
        <f>10+10</f>
        <v>20</v>
      </c>
      <c r="AM11" s="194">
        <v>98</v>
      </c>
      <c r="AN11" s="259">
        <f t="shared" si="3"/>
        <v>1960</v>
      </c>
      <c r="AO11" s="266">
        <v>980</v>
      </c>
      <c r="AP11" s="194">
        <f t="shared" si="4"/>
        <v>1960</v>
      </c>
      <c r="AQ11" s="194">
        <f t="shared" si="5"/>
        <v>98</v>
      </c>
      <c r="AR11" s="200">
        <v>40</v>
      </c>
      <c r="AS11" s="269"/>
      <c r="AT11" s="200">
        <v>98</v>
      </c>
      <c r="AU11" s="200">
        <f t="shared" si="20"/>
        <v>3920</v>
      </c>
      <c r="AV11" s="269"/>
      <c r="AW11" s="200">
        <f t="shared" si="6"/>
        <v>0</v>
      </c>
      <c r="AX11" s="200">
        <f t="shared" si="7"/>
        <v>0</v>
      </c>
      <c r="AY11" s="159">
        <f t="shared" si="8"/>
        <v>116.7</v>
      </c>
      <c r="AZ11" s="239">
        <f t="shared" si="9"/>
        <v>38234.5</v>
      </c>
      <c r="BA11" s="160">
        <f t="shared" si="10"/>
        <v>1960</v>
      </c>
      <c r="BB11" s="157">
        <v>133.4</v>
      </c>
    </row>
    <row r="12" spans="1:54">
      <c r="A12" s="126" t="s">
        <v>8</v>
      </c>
      <c r="B12" s="181">
        <v>35</v>
      </c>
      <c r="C12" s="182"/>
      <c r="D12" s="222">
        <v>334</v>
      </c>
      <c r="E12" s="207">
        <f t="shared" si="19"/>
        <v>11690</v>
      </c>
      <c r="F12" s="182"/>
      <c r="G12" s="182"/>
      <c r="H12" s="182"/>
      <c r="I12" s="142">
        <v>2.5</v>
      </c>
      <c r="K12" s="175">
        <v>243</v>
      </c>
      <c r="L12" s="235">
        <f t="shared" si="11"/>
        <v>607.5</v>
      </c>
      <c r="M12" s="143">
        <v>0</v>
      </c>
      <c r="N12" s="143">
        <v>0</v>
      </c>
      <c r="O12" s="143">
        <f t="shared" si="21"/>
        <v>0</v>
      </c>
      <c r="R12" s="176"/>
      <c r="W12" s="146">
        <v>2</v>
      </c>
      <c r="X12" s="146">
        <f>0.6</f>
        <v>0.6</v>
      </c>
      <c r="Y12" s="177">
        <v>83</v>
      </c>
      <c r="Z12" s="252">
        <f t="shared" si="1"/>
        <v>166</v>
      </c>
      <c r="AA12" s="147">
        <v>16.600000000000001</v>
      </c>
      <c r="AB12" s="147">
        <f t="shared" si="13"/>
        <v>49.8</v>
      </c>
      <c r="AC12" s="147">
        <f t="shared" si="14"/>
        <v>83</v>
      </c>
      <c r="AD12" s="137">
        <v>15</v>
      </c>
      <c r="AE12" s="137">
        <f>5</f>
        <v>5</v>
      </c>
      <c r="AF12" s="174">
        <v>177</v>
      </c>
      <c r="AG12" s="255">
        <f t="shared" si="2"/>
        <v>2655</v>
      </c>
      <c r="AH12" s="138">
        <v>885</v>
      </c>
      <c r="AI12" s="138">
        <f t="shared" si="16"/>
        <v>885</v>
      </c>
      <c r="AJ12" s="169">
        <f t="shared" si="17"/>
        <v>177</v>
      </c>
      <c r="AK12" s="194">
        <v>20</v>
      </c>
      <c r="AL12" s="266">
        <f>10+10</f>
        <v>20</v>
      </c>
      <c r="AM12" s="194">
        <v>16</v>
      </c>
      <c r="AN12" s="259">
        <f t="shared" si="3"/>
        <v>320</v>
      </c>
      <c r="AO12" s="266">
        <v>175.67</v>
      </c>
      <c r="AP12" s="194">
        <f t="shared" si="4"/>
        <v>351.34</v>
      </c>
      <c r="AQ12" s="194">
        <f t="shared" si="5"/>
        <v>17.567</v>
      </c>
      <c r="AR12" s="200">
        <v>20</v>
      </c>
      <c r="AS12" s="269">
        <f>10+10</f>
        <v>20</v>
      </c>
      <c r="AT12" s="200">
        <v>16</v>
      </c>
      <c r="AU12" s="200">
        <f t="shared" si="20"/>
        <v>320</v>
      </c>
      <c r="AV12" s="269">
        <v>160.80000000000001</v>
      </c>
      <c r="AW12" s="200">
        <f t="shared" si="6"/>
        <v>321.60000000000002</v>
      </c>
      <c r="AX12" s="200">
        <f t="shared" si="7"/>
        <v>16.080000000000002</v>
      </c>
      <c r="AY12" s="159">
        <f t="shared" si="8"/>
        <v>94.5</v>
      </c>
      <c r="AZ12" s="239">
        <f t="shared" si="9"/>
        <v>15758.5</v>
      </c>
      <c r="BA12" s="160">
        <f t="shared" si="10"/>
        <v>1607.74</v>
      </c>
      <c r="BB12" s="157">
        <v>129</v>
      </c>
    </row>
    <row r="13" spans="1:54">
      <c r="A13" s="126" t="s">
        <v>2</v>
      </c>
      <c r="B13" s="181">
        <v>35</v>
      </c>
      <c r="C13" s="182"/>
      <c r="D13" s="222">
        <v>596</v>
      </c>
      <c r="E13" s="207">
        <f t="shared" si="19"/>
        <v>20860</v>
      </c>
      <c r="F13" s="182"/>
      <c r="G13" s="182"/>
      <c r="H13" s="182"/>
      <c r="I13" s="142">
        <v>2.5</v>
      </c>
      <c r="K13" s="175">
        <v>160</v>
      </c>
      <c r="L13" s="235">
        <f t="shared" si="11"/>
        <v>400</v>
      </c>
      <c r="M13" s="142">
        <v>0</v>
      </c>
      <c r="N13" s="143">
        <v>0</v>
      </c>
      <c r="O13" s="143">
        <f t="shared" si="21"/>
        <v>0</v>
      </c>
      <c r="R13" s="176"/>
      <c r="W13" s="146">
        <v>4</v>
      </c>
      <c r="X13" s="146">
        <f>2+2</f>
        <v>4</v>
      </c>
      <c r="Y13" s="177">
        <v>149</v>
      </c>
      <c r="Z13" s="252">
        <f t="shared" si="1"/>
        <v>596</v>
      </c>
      <c r="AA13" s="147">
        <v>30.23</v>
      </c>
      <c r="AB13" s="147">
        <f t="shared" si="13"/>
        <v>604.6</v>
      </c>
      <c r="AC13" s="147">
        <f t="shared" si="14"/>
        <v>151.15</v>
      </c>
      <c r="AD13" s="137">
        <v>15</v>
      </c>
      <c r="AF13" s="174">
        <v>116</v>
      </c>
      <c r="AG13" s="255">
        <f t="shared" si="2"/>
        <v>1740</v>
      </c>
      <c r="AI13" s="138">
        <f t="shared" si="16"/>
        <v>0</v>
      </c>
      <c r="AJ13" s="169">
        <f t="shared" si="17"/>
        <v>0</v>
      </c>
      <c r="AK13" s="194">
        <v>20</v>
      </c>
      <c r="AL13" s="266">
        <f>10+10</f>
        <v>20</v>
      </c>
      <c r="AM13" s="194">
        <v>33</v>
      </c>
      <c r="AN13" s="259">
        <f t="shared" si="3"/>
        <v>660</v>
      </c>
      <c r="AO13" s="266">
        <v>330</v>
      </c>
      <c r="AP13" s="194">
        <f t="shared" si="4"/>
        <v>660</v>
      </c>
      <c r="AQ13" s="194">
        <f t="shared" si="5"/>
        <v>33</v>
      </c>
      <c r="AR13" s="200">
        <v>40</v>
      </c>
      <c r="AS13" s="269">
        <v>10</v>
      </c>
      <c r="AT13" s="200">
        <v>33</v>
      </c>
      <c r="AU13" s="200">
        <f t="shared" si="20"/>
        <v>1320</v>
      </c>
      <c r="AV13" s="269">
        <v>330</v>
      </c>
      <c r="AW13" s="200">
        <f t="shared" si="6"/>
        <v>330</v>
      </c>
      <c r="AX13" s="200">
        <f t="shared" si="7"/>
        <v>33</v>
      </c>
      <c r="AY13" s="159">
        <f t="shared" si="8"/>
        <v>116.5</v>
      </c>
      <c r="AZ13" s="239">
        <f t="shared" si="9"/>
        <v>25576</v>
      </c>
      <c r="BA13" s="160">
        <f t="shared" si="10"/>
        <v>1594.6</v>
      </c>
      <c r="BB13" s="157">
        <v>133</v>
      </c>
    </row>
    <row r="14" spans="1:54">
      <c r="A14" s="126" t="s">
        <v>163</v>
      </c>
      <c r="B14" s="181">
        <v>35</v>
      </c>
      <c r="C14" s="182"/>
      <c r="D14" s="222">
        <v>331</v>
      </c>
      <c r="E14" s="207">
        <f t="shared" si="19"/>
        <v>11585</v>
      </c>
      <c r="F14" s="182"/>
      <c r="G14" s="182"/>
      <c r="H14" s="182"/>
      <c r="I14" s="142">
        <v>2.5</v>
      </c>
      <c r="K14" s="175">
        <v>408</v>
      </c>
      <c r="L14" s="235">
        <f t="shared" si="11"/>
        <v>1020</v>
      </c>
      <c r="M14" s="142">
        <v>0</v>
      </c>
      <c r="N14" s="143">
        <v>0</v>
      </c>
      <c r="O14" s="143">
        <f t="shared" si="21"/>
        <v>0</v>
      </c>
      <c r="R14" s="176"/>
      <c r="W14" s="146">
        <v>4.5999999999999996</v>
      </c>
      <c r="X14" s="146">
        <f>4.6</f>
        <v>4.5999999999999996</v>
      </c>
      <c r="Y14" s="177">
        <v>83</v>
      </c>
      <c r="Z14" s="252">
        <f t="shared" si="1"/>
        <v>381.79999999999995</v>
      </c>
      <c r="AA14" s="147">
        <v>16.600000000000001</v>
      </c>
      <c r="AB14" s="147">
        <f t="shared" si="13"/>
        <v>381.79999999999995</v>
      </c>
      <c r="AC14" s="147">
        <f t="shared" si="14"/>
        <v>83</v>
      </c>
      <c r="AD14" s="137">
        <v>15</v>
      </c>
      <c r="AF14" s="174">
        <v>123</v>
      </c>
      <c r="AG14" s="255">
        <f t="shared" si="2"/>
        <v>1845</v>
      </c>
      <c r="AI14" s="138">
        <f t="shared" si="16"/>
        <v>0</v>
      </c>
      <c r="AJ14" s="169">
        <f t="shared" si="17"/>
        <v>0</v>
      </c>
      <c r="AK14" s="194">
        <v>20</v>
      </c>
      <c r="AL14" s="266">
        <f>10+10</f>
        <v>20</v>
      </c>
      <c r="AM14" s="194">
        <v>8</v>
      </c>
      <c r="AN14" s="259">
        <f t="shared" si="3"/>
        <v>160</v>
      </c>
      <c r="AO14" s="266">
        <v>82</v>
      </c>
      <c r="AP14" s="194">
        <f t="shared" si="4"/>
        <v>164</v>
      </c>
      <c r="AQ14" s="194">
        <f t="shared" si="5"/>
        <v>8.1999999999999993</v>
      </c>
      <c r="AR14" s="200">
        <v>20</v>
      </c>
      <c r="AS14" s="269">
        <v>10</v>
      </c>
      <c r="AT14" s="200">
        <v>8</v>
      </c>
      <c r="AU14" s="200">
        <f t="shared" si="20"/>
        <v>160</v>
      </c>
      <c r="AV14" s="269">
        <v>80</v>
      </c>
      <c r="AW14" s="200">
        <f t="shared" si="6"/>
        <v>80</v>
      </c>
      <c r="AX14" s="200">
        <f t="shared" si="7"/>
        <v>8</v>
      </c>
      <c r="AY14" s="159">
        <f t="shared" si="8"/>
        <v>97.1</v>
      </c>
      <c r="AZ14" s="239">
        <f t="shared" si="9"/>
        <v>15151.8</v>
      </c>
      <c r="BA14" s="160">
        <f t="shared" si="10"/>
        <v>625.79999999999995</v>
      </c>
      <c r="BB14" s="157">
        <v>134.19999999999999</v>
      </c>
    </row>
    <row r="15" spans="1:54">
      <c r="A15" s="125" t="s">
        <v>3</v>
      </c>
      <c r="B15" s="181">
        <v>35</v>
      </c>
      <c r="C15" s="181"/>
      <c r="D15" s="221">
        <v>1272</v>
      </c>
      <c r="E15" s="207">
        <f t="shared" si="19"/>
        <v>44520</v>
      </c>
      <c r="F15" s="181"/>
      <c r="G15" s="181"/>
      <c r="H15" s="181"/>
      <c r="I15" s="142">
        <v>7.5</v>
      </c>
      <c r="K15" s="175">
        <v>799</v>
      </c>
      <c r="L15" s="235">
        <f t="shared" si="11"/>
        <v>5992.5</v>
      </c>
      <c r="M15" s="142">
        <v>0</v>
      </c>
      <c r="N15" s="143">
        <v>0</v>
      </c>
      <c r="O15" s="143">
        <f t="shared" si="21"/>
        <v>0</v>
      </c>
      <c r="R15" s="176"/>
      <c r="W15" s="146">
        <v>13.4</v>
      </c>
      <c r="X15" s="146">
        <f>5+2+5</f>
        <v>12</v>
      </c>
      <c r="Y15" s="177">
        <v>318</v>
      </c>
      <c r="Z15" s="252">
        <f t="shared" si="1"/>
        <v>4261.2</v>
      </c>
      <c r="AA15" s="147">
        <v>63.6</v>
      </c>
      <c r="AB15" s="147">
        <f t="shared" si="13"/>
        <v>3816</v>
      </c>
      <c r="AC15" s="147">
        <f t="shared" si="14"/>
        <v>318</v>
      </c>
      <c r="AD15" s="137">
        <v>15</v>
      </c>
      <c r="AE15" s="137">
        <f>5</f>
        <v>5</v>
      </c>
      <c r="AF15" s="174">
        <v>341</v>
      </c>
      <c r="AG15" s="255">
        <f t="shared" si="2"/>
        <v>5115</v>
      </c>
      <c r="AH15" s="138">
        <v>1705</v>
      </c>
      <c r="AI15" s="138">
        <f t="shared" si="16"/>
        <v>1705</v>
      </c>
      <c r="AJ15" s="169">
        <f t="shared" si="17"/>
        <v>341</v>
      </c>
      <c r="AK15" s="194">
        <v>20</v>
      </c>
      <c r="AL15" s="266"/>
      <c r="AM15" s="194">
        <v>58</v>
      </c>
      <c r="AN15" s="259">
        <f t="shared" si="3"/>
        <v>1160</v>
      </c>
      <c r="AO15" s="266">
        <v>630.61</v>
      </c>
      <c r="AP15" s="194">
        <f t="shared" si="4"/>
        <v>0</v>
      </c>
      <c r="AQ15" s="194">
        <f t="shared" si="5"/>
        <v>63.061</v>
      </c>
      <c r="AR15" s="200">
        <v>40</v>
      </c>
      <c r="AS15" s="269">
        <v>20</v>
      </c>
      <c r="AT15" s="200">
        <v>58</v>
      </c>
      <c r="AU15" s="200">
        <f t="shared" si="20"/>
        <v>2320</v>
      </c>
      <c r="AV15" s="269">
        <v>580</v>
      </c>
      <c r="AW15" s="200">
        <f t="shared" si="6"/>
        <v>1160</v>
      </c>
      <c r="AX15" s="200">
        <f t="shared" si="7"/>
        <v>58</v>
      </c>
      <c r="AY15" s="159">
        <f t="shared" si="8"/>
        <v>130.9</v>
      </c>
      <c r="AZ15" s="239">
        <f t="shared" si="9"/>
        <v>63368.7</v>
      </c>
      <c r="BA15" s="160">
        <f t="shared" si="10"/>
        <v>6681</v>
      </c>
      <c r="BB15" s="157">
        <v>161.80000000000001</v>
      </c>
    </row>
    <row r="16" spans="1:54">
      <c r="A16" s="126" t="s">
        <v>1</v>
      </c>
      <c r="B16" s="181">
        <v>35</v>
      </c>
      <c r="C16" s="182"/>
      <c r="D16" s="222">
        <v>1192</v>
      </c>
      <c r="E16" s="207">
        <f t="shared" si="19"/>
        <v>41720</v>
      </c>
      <c r="F16" s="182"/>
      <c r="G16" s="182"/>
      <c r="H16" s="182"/>
      <c r="I16" s="142">
        <v>5</v>
      </c>
      <c r="K16" s="175">
        <v>727</v>
      </c>
      <c r="L16" s="235">
        <f t="shared" si="11"/>
        <v>3635</v>
      </c>
      <c r="M16" s="142">
        <v>0</v>
      </c>
      <c r="N16" s="143">
        <v>0</v>
      </c>
      <c r="O16" s="143">
        <f t="shared" si="21"/>
        <v>0</v>
      </c>
      <c r="R16" s="176"/>
      <c r="W16" s="178">
        <v>5</v>
      </c>
      <c r="X16" s="146">
        <f>5</f>
        <v>5</v>
      </c>
      <c r="Y16" s="177">
        <v>298</v>
      </c>
      <c r="Z16" s="252">
        <f t="shared" si="1"/>
        <v>1490</v>
      </c>
      <c r="AA16" s="147">
        <v>97.84</v>
      </c>
      <c r="AB16" s="147">
        <f t="shared" si="13"/>
        <v>2446</v>
      </c>
      <c r="AC16" s="147">
        <f t="shared" si="14"/>
        <v>489.2</v>
      </c>
      <c r="AD16" s="137">
        <v>20</v>
      </c>
      <c r="AE16" s="137">
        <f>5</f>
        <v>5</v>
      </c>
      <c r="AF16" s="174">
        <v>461</v>
      </c>
      <c r="AG16" s="255">
        <f t="shared" si="2"/>
        <v>9220</v>
      </c>
      <c r="AH16" s="138">
        <v>2305</v>
      </c>
      <c r="AI16" s="138">
        <f t="shared" si="16"/>
        <v>2305</v>
      </c>
      <c r="AJ16" s="169">
        <f t="shared" si="17"/>
        <v>461</v>
      </c>
      <c r="AK16" s="194">
        <v>20</v>
      </c>
      <c r="AL16" s="266">
        <f t="shared" ref="AL16" si="23">10+10</f>
        <v>20</v>
      </c>
      <c r="AM16" s="194">
        <v>146</v>
      </c>
      <c r="AN16" s="259">
        <f t="shared" si="3"/>
        <v>2920</v>
      </c>
      <c r="AO16" s="266">
        <v>1460</v>
      </c>
      <c r="AP16" s="194">
        <f t="shared" si="4"/>
        <v>2920</v>
      </c>
      <c r="AQ16" s="194">
        <f t="shared" si="5"/>
        <v>146</v>
      </c>
      <c r="AR16" s="200">
        <v>40</v>
      </c>
      <c r="AS16" s="269">
        <v>10</v>
      </c>
      <c r="AT16" s="200">
        <v>146</v>
      </c>
      <c r="AU16" s="200">
        <f t="shared" si="20"/>
        <v>5840</v>
      </c>
      <c r="AV16" s="269">
        <v>1460</v>
      </c>
      <c r="AW16" s="200">
        <f t="shared" si="6"/>
        <v>1460</v>
      </c>
      <c r="AX16" s="200">
        <f t="shared" si="7"/>
        <v>146</v>
      </c>
      <c r="AY16" s="159">
        <f t="shared" si="8"/>
        <v>125</v>
      </c>
      <c r="AZ16" s="239">
        <f t="shared" si="9"/>
        <v>64825</v>
      </c>
      <c r="BA16" s="160">
        <f t="shared" si="10"/>
        <v>9131</v>
      </c>
      <c r="BB16" s="157">
        <v>150</v>
      </c>
    </row>
    <row r="17" spans="1:54">
      <c r="A17" s="125" t="s">
        <v>19</v>
      </c>
      <c r="B17" s="181">
        <v>35</v>
      </c>
      <c r="C17" s="181"/>
      <c r="D17" s="221">
        <v>44</v>
      </c>
      <c r="E17" s="207">
        <f t="shared" si="19"/>
        <v>1540</v>
      </c>
      <c r="F17" s="181"/>
      <c r="G17" s="181"/>
      <c r="H17" s="181"/>
      <c r="K17" s="175"/>
      <c r="M17" s="142">
        <v>0</v>
      </c>
      <c r="N17" s="143">
        <v>0</v>
      </c>
      <c r="O17" s="143">
        <f t="shared" si="21"/>
        <v>0</v>
      </c>
      <c r="R17" s="176"/>
      <c r="W17" s="146">
        <v>9.1999999999999993</v>
      </c>
      <c r="X17" s="146">
        <f>1.4+7.8</f>
        <v>9.1999999999999993</v>
      </c>
      <c r="Y17" s="177">
        <v>11</v>
      </c>
      <c r="Z17" s="252">
        <f t="shared" si="1"/>
        <v>101.19999999999999</v>
      </c>
      <c r="AA17" s="147">
        <v>2.2000000000000002</v>
      </c>
      <c r="AB17" s="147">
        <f t="shared" si="13"/>
        <v>101.19999999999999</v>
      </c>
      <c r="AC17" s="147">
        <f t="shared" si="14"/>
        <v>11</v>
      </c>
      <c r="AD17" s="137">
        <v>15</v>
      </c>
      <c r="AF17" s="174">
        <v>12</v>
      </c>
      <c r="AG17" s="255">
        <f t="shared" si="2"/>
        <v>180</v>
      </c>
      <c r="AI17" s="138">
        <f t="shared" si="16"/>
        <v>0</v>
      </c>
      <c r="AJ17" s="169">
        <f t="shared" si="17"/>
        <v>0</v>
      </c>
      <c r="AK17" s="194">
        <v>20</v>
      </c>
      <c r="AL17" s="266">
        <f>10+10</f>
        <v>20</v>
      </c>
      <c r="AM17" s="194">
        <v>1</v>
      </c>
      <c r="AN17" s="259">
        <f t="shared" si="3"/>
        <v>20</v>
      </c>
      <c r="AO17" s="266">
        <v>10</v>
      </c>
      <c r="AP17" s="194">
        <f t="shared" si="4"/>
        <v>20</v>
      </c>
      <c r="AQ17" s="194">
        <f t="shared" si="5"/>
        <v>1</v>
      </c>
      <c r="AR17" s="200">
        <v>20</v>
      </c>
      <c r="AS17" s="269">
        <f t="shared" ref="AS17" si="24">10+10</f>
        <v>20</v>
      </c>
      <c r="AT17" s="200">
        <v>1</v>
      </c>
      <c r="AU17" s="200">
        <f t="shared" si="20"/>
        <v>20</v>
      </c>
      <c r="AV17" s="269">
        <v>10</v>
      </c>
      <c r="AW17" s="200">
        <f t="shared" si="6"/>
        <v>20</v>
      </c>
      <c r="AX17" s="200">
        <f t="shared" si="7"/>
        <v>1</v>
      </c>
      <c r="AY17" s="159">
        <f t="shared" si="8"/>
        <v>99.2</v>
      </c>
      <c r="AZ17" s="239">
        <f t="shared" si="9"/>
        <v>1861.2</v>
      </c>
      <c r="BA17" s="160">
        <f t="shared" si="10"/>
        <v>141.19999999999999</v>
      </c>
      <c r="BB17" s="157">
        <v>138.4</v>
      </c>
    </row>
    <row r="18" spans="1:54">
      <c r="A18" s="125" t="s">
        <v>160</v>
      </c>
      <c r="B18" s="181">
        <v>35</v>
      </c>
      <c r="C18" s="181"/>
      <c r="D18" s="221">
        <v>152</v>
      </c>
      <c r="E18" s="207">
        <f t="shared" si="19"/>
        <v>5320</v>
      </c>
      <c r="F18" s="181"/>
      <c r="G18" s="181"/>
      <c r="H18" s="181"/>
      <c r="I18" s="142">
        <v>3.75</v>
      </c>
      <c r="K18" s="175">
        <v>57</v>
      </c>
      <c r="L18" s="235">
        <f t="shared" si="11"/>
        <v>213.75</v>
      </c>
      <c r="M18" s="142">
        <v>0</v>
      </c>
      <c r="N18" s="143">
        <v>0</v>
      </c>
      <c r="O18" s="143">
        <f t="shared" si="21"/>
        <v>0</v>
      </c>
      <c r="R18" s="176"/>
      <c r="W18" s="146">
        <v>1.4</v>
      </c>
      <c r="Y18" s="177">
        <v>38</v>
      </c>
      <c r="Z18" s="252">
        <f t="shared" si="1"/>
        <v>53.199999999999996</v>
      </c>
      <c r="AB18" s="147">
        <f t="shared" si="13"/>
        <v>0</v>
      </c>
      <c r="AC18" s="147">
        <v>0</v>
      </c>
      <c r="AD18" s="137">
        <v>20</v>
      </c>
      <c r="AE18" s="137">
        <f>5</f>
        <v>5</v>
      </c>
      <c r="AF18" s="174">
        <v>38</v>
      </c>
      <c r="AG18" s="255">
        <f t="shared" si="2"/>
        <v>760</v>
      </c>
      <c r="AH18" s="138">
        <v>190</v>
      </c>
      <c r="AI18" s="138">
        <f t="shared" si="16"/>
        <v>190</v>
      </c>
      <c r="AJ18" s="169">
        <f t="shared" si="17"/>
        <v>38</v>
      </c>
      <c r="AK18" s="194">
        <v>20</v>
      </c>
      <c r="AL18" s="266">
        <f>10+10</f>
        <v>20</v>
      </c>
      <c r="AM18" s="194">
        <v>4</v>
      </c>
      <c r="AN18" s="259">
        <f t="shared" si="3"/>
        <v>80</v>
      </c>
      <c r="AO18" s="266">
        <v>40</v>
      </c>
      <c r="AP18" s="194">
        <f t="shared" si="4"/>
        <v>80</v>
      </c>
      <c r="AQ18" s="194">
        <f t="shared" si="5"/>
        <v>4</v>
      </c>
      <c r="AR18" s="200">
        <v>20</v>
      </c>
      <c r="AS18" s="269">
        <f>10+10</f>
        <v>20</v>
      </c>
      <c r="AT18" s="200">
        <v>4</v>
      </c>
      <c r="AU18" s="200">
        <f t="shared" si="20"/>
        <v>80</v>
      </c>
      <c r="AV18" s="269">
        <v>40</v>
      </c>
      <c r="AW18" s="200">
        <f t="shared" si="6"/>
        <v>80</v>
      </c>
      <c r="AX18" s="200">
        <f t="shared" si="7"/>
        <v>4</v>
      </c>
      <c r="AY18" s="159">
        <f t="shared" si="8"/>
        <v>100.15</v>
      </c>
      <c r="AZ18" s="239">
        <f t="shared" si="9"/>
        <v>6506.95</v>
      </c>
      <c r="BA18" s="160">
        <f t="shared" si="10"/>
        <v>350</v>
      </c>
      <c r="BB18" s="157">
        <v>140.30000000000001</v>
      </c>
    </row>
    <row r="19" spans="1:54">
      <c r="A19" s="126" t="s">
        <v>9</v>
      </c>
      <c r="B19" s="181">
        <v>35</v>
      </c>
      <c r="C19" s="182"/>
      <c r="D19" s="222">
        <v>308</v>
      </c>
      <c r="E19" s="207">
        <f t="shared" si="19"/>
        <v>10780</v>
      </c>
      <c r="F19" s="182"/>
      <c r="G19" s="182"/>
      <c r="H19" s="182"/>
      <c r="I19" s="142">
        <v>6.25</v>
      </c>
      <c r="J19" s="142">
        <v>3.75</v>
      </c>
      <c r="K19" s="175">
        <v>119</v>
      </c>
      <c r="L19" s="235">
        <f t="shared" si="11"/>
        <v>743.75</v>
      </c>
      <c r="M19" s="142">
        <v>170.86</v>
      </c>
      <c r="N19" s="143">
        <f>(3*M19)</f>
        <v>512.58000000000004</v>
      </c>
      <c r="O19" s="143">
        <f t="shared" si="21"/>
        <v>136.68800000000002</v>
      </c>
      <c r="R19" s="176"/>
      <c r="W19" s="146">
        <v>15.4</v>
      </c>
      <c r="X19" s="146">
        <f>2+5.2+3</f>
        <v>10.199999999999999</v>
      </c>
      <c r="Y19" s="177">
        <v>77</v>
      </c>
      <c r="Z19" s="252">
        <f t="shared" si="1"/>
        <v>1185.8</v>
      </c>
      <c r="AA19" s="147">
        <v>15.4</v>
      </c>
      <c r="AB19" s="147">
        <f t="shared" si="13"/>
        <v>785.4</v>
      </c>
      <c r="AC19" s="147">
        <f t="shared" si="14"/>
        <v>77</v>
      </c>
      <c r="AD19" s="137">
        <v>15</v>
      </c>
      <c r="AE19" s="137">
        <f>5</f>
        <v>5</v>
      </c>
      <c r="AF19" s="174">
        <v>91</v>
      </c>
      <c r="AG19" s="255">
        <f t="shared" si="2"/>
        <v>1365</v>
      </c>
      <c r="AH19" s="138">
        <v>455</v>
      </c>
      <c r="AI19" s="138">
        <f t="shared" si="16"/>
        <v>455</v>
      </c>
      <c r="AJ19" s="169">
        <f t="shared" si="17"/>
        <v>91</v>
      </c>
      <c r="AK19" s="194"/>
      <c r="AL19" s="266"/>
      <c r="AM19" s="194"/>
      <c r="AN19" s="259"/>
      <c r="AO19" s="266"/>
      <c r="AP19" s="194">
        <f t="shared" si="4"/>
        <v>0</v>
      </c>
      <c r="AQ19" s="194">
        <f t="shared" si="5"/>
        <v>0</v>
      </c>
      <c r="AR19" s="200">
        <v>20</v>
      </c>
      <c r="AS19" s="269">
        <f>10</f>
        <v>10</v>
      </c>
      <c r="AT19" s="200">
        <v>21</v>
      </c>
      <c r="AU19" s="200">
        <f t="shared" si="20"/>
        <v>420</v>
      </c>
      <c r="AV19" s="269">
        <v>210</v>
      </c>
      <c r="AW19" s="200">
        <f t="shared" si="6"/>
        <v>210</v>
      </c>
      <c r="AX19" s="200">
        <f t="shared" si="7"/>
        <v>21</v>
      </c>
      <c r="AY19" s="159">
        <f t="shared" si="8"/>
        <v>91.65</v>
      </c>
      <c r="AZ19" s="239">
        <f t="shared" si="9"/>
        <v>14494.55</v>
      </c>
      <c r="BA19" s="160">
        <f t="shared" si="10"/>
        <v>1962.98</v>
      </c>
      <c r="BB19" s="157">
        <v>143.30000000000001</v>
      </c>
    </row>
    <row r="20" spans="1:54">
      <c r="A20" s="126" t="s">
        <v>13</v>
      </c>
      <c r="B20" s="181">
        <v>35</v>
      </c>
      <c r="C20" s="182"/>
      <c r="D20" s="222">
        <v>364</v>
      </c>
      <c r="E20" s="207">
        <f t="shared" si="19"/>
        <v>12740</v>
      </c>
      <c r="F20" s="182"/>
      <c r="G20" s="182"/>
      <c r="H20" s="182"/>
      <c r="I20" s="142">
        <v>7.5</v>
      </c>
      <c r="J20" s="142">
        <v>5</v>
      </c>
      <c r="K20" s="175">
        <v>204</v>
      </c>
      <c r="L20" s="235">
        <f t="shared" si="11"/>
        <v>1530</v>
      </c>
      <c r="M20" s="143">
        <v>289.98</v>
      </c>
      <c r="N20" s="143">
        <f>(4*M20)</f>
        <v>1159.92</v>
      </c>
      <c r="O20" s="143">
        <f t="shared" si="21"/>
        <v>231.98400000000001</v>
      </c>
      <c r="R20" s="176"/>
      <c r="W20" s="146">
        <v>11</v>
      </c>
      <c r="X20" s="146">
        <f>1.8+5+4.2</f>
        <v>11</v>
      </c>
      <c r="Y20" s="177">
        <v>91</v>
      </c>
      <c r="Z20" s="252">
        <f t="shared" si="1"/>
        <v>1001</v>
      </c>
      <c r="AA20" s="147">
        <v>18.38</v>
      </c>
      <c r="AB20" s="147">
        <f t="shared" si="13"/>
        <v>1010.8999999999999</v>
      </c>
      <c r="AC20" s="147">
        <f t="shared" si="14"/>
        <v>91.899999999999991</v>
      </c>
      <c r="AD20" s="137">
        <v>15</v>
      </c>
      <c r="AE20" s="137">
        <f>15</f>
        <v>15</v>
      </c>
      <c r="AF20" s="174">
        <v>140</v>
      </c>
      <c r="AG20" s="255">
        <f t="shared" si="2"/>
        <v>2100</v>
      </c>
      <c r="AH20" s="138">
        <v>700</v>
      </c>
      <c r="AI20" s="138">
        <f t="shared" si="16"/>
        <v>2100</v>
      </c>
      <c r="AJ20" s="169">
        <f t="shared" si="17"/>
        <v>140</v>
      </c>
      <c r="AK20" s="194"/>
      <c r="AL20" s="266"/>
      <c r="AM20" s="194"/>
      <c r="AN20" s="259"/>
      <c r="AO20" s="266"/>
      <c r="AP20" s="194">
        <f t="shared" si="4"/>
        <v>0</v>
      </c>
      <c r="AQ20" s="194">
        <f t="shared" si="5"/>
        <v>0</v>
      </c>
      <c r="AR20" s="200">
        <v>20</v>
      </c>
      <c r="AS20" s="269">
        <f>10+10</f>
        <v>20</v>
      </c>
      <c r="AT20" s="200">
        <v>6</v>
      </c>
      <c r="AU20" s="200">
        <f t="shared" si="20"/>
        <v>120</v>
      </c>
      <c r="AV20" s="269">
        <v>60</v>
      </c>
      <c r="AW20" s="200">
        <f t="shared" si="6"/>
        <v>120</v>
      </c>
      <c r="AX20" s="200">
        <f t="shared" si="7"/>
        <v>6</v>
      </c>
      <c r="AY20" s="159">
        <f t="shared" si="8"/>
        <v>88.5</v>
      </c>
      <c r="AZ20" s="239">
        <f t="shared" si="9"/>
        <v>17491</v>
      </c>
      <c r="BA20" s="160">
        <f t="shared" si="10"/>
        <v>4390.82</v>
      </c>
      <c r="BB20" s="157">
        <v>137</v>
      </c>
    </row>
    <row r="21" spans="1:54">
      <c r="A21" s="125" t="s">
        <v>7</v>
      </c>
      <c r="B21" s="181">
        <v>35</v>
      </c>
      <c r="C21" s="181"/>
      <c r="D21" s="221">
        <v>900</v>
      </c>
      <c r="E21" s="207">
        <f t="shared" si="19"/>
        <v>31500</v>
      </c>
      <c r="F21" s="181"/>
      <c r="G21" s="181"/>
      <c r="H21" s="181"/>
      <c r="I21" s="142">
        <v>2.5</v>
      </c>
      <c r="K21" s="175">
        <v>360</v>
      </c>
      <c r="L21" s="235">
        <f t="shared" si="11"/>
        <v>900</v>
      </c>
      <c r="M21" s="143">
        <v>0</v>
      </c>
      <c r="N21" s="143">
        <v>0</v>
      </c>
      <c r="O21" s="143">
        <f t="shared" si="21"/>
        <v>0</v>
      </c>
      <c r="R21" s="176"/>
      <c r="W21" s="146">
        <v>0</v>
      </c>
      <c r="Y21" s="177">
        <v>0</v>
      </c>
      <c r="Z21" s="252">
        <f t="shared" si="1"/>
        <v>0</v>
      </c>
      <c r="AB21" s="147">
        <f t="shared" si="13"/>
        <v>0</v>
      </c>
      <c r="AC21" s="147">
        <v>0</v>
      </c>
      <c r="AD21" s="137">
        <v>15</v>
      </c>
      <c r="AF21" s="174">
        <v>344</v>
      </c>
      <c r="AG21" s="255">
        <f t="shared" si="2"/>
        <v>5160</v>
      </c>
      <c r="AH21" s="138">
        <v>1720</v>
      </c>
      <c r="AI21" s="138">
        <f t="shared" si="16"/>
        <v>0</v>
      </c>
      <c r="AJ21" s="169">
        <f t="shared" si="17"/>
        <v>344</v>
      </c>
      <c r="AK21" s="194">
        <v>20</v>
      </c>
      <c r="AL21" s="266">
        <f>10+10</f>
        <v>20</v>
      </c>
      <c r="AM21" s="194">
        <v>132</v>
      </c>
      <c r="AN21" s="259">
        <f t="shared" si="3"/>
        <v>2640</v>
      </c>
      <c r="AO21" s="266">
        <v>1320</v>
      </c>
      <c r="AP21" s="194">
        <f t="shared" si="4"/>
        <v>2640</v>
      </c>
      <c r="AQ21" s="194">
        <f t="shared" si="5"/>
        <v>132</v>
      </c>
      <c r="AR21" s="200">
        <v>40</v>
      </c>
      <c r="AS21" s="269"/>
      <c r="AT21" s="200">
        <v>132</v>
      </c>
      <c r="AU21" s="200">
        <f t="shared" si="20"/>
        <v>5280</v>
      </c>
      <c r="AV21" s="269"/>
      <c r="AW21" s="200">
        <f t="shared" si="6"/>
        <v>0</v>
      </c>
      <c r="AX21" s="200">
        <f t="shared" si="7"/>
        <v>0</v>
      </c>
      <c r="AY21" s="159">
        <f t="shared" si="8"/>
        <v>112.5</v>
      </c>
      <c r="AZ21" s="239">
        <f t="shared" si="9"/>
        <v>45480</v>
      </c>
      <c r="BA21" s="160">
        <f t="shared" si="10"/>
        <v>2640</v>
      </c>
      <c r="BB21" s="157">
        <v>125</v>
      </c>
    </row>
    <row r="22" spans="1:54">
      <c r="A22" s="126" t="s">
        <v>12</v>
      </c>
      <c r="B22" s="181">
        <v>35</v>
      </c>
      <c r="C22" s="182"/>
      <c r="D22" s="222">
        <v>459</v>
      </c>
      <c r="E22" s="207">
        <f t="shared" si="19"/>
        <v>16065</v>
      </c>
      <c r="F22" s="182"/>
      <c r="G22" s="182"/>
      <c r="H22" s="182"/>
      <c r="I22" s="142">
        <v>3.75</v>
      </c>
      <c r="J22" s="142">
        <v>1.25</v>
      </c>
      <c r="K22" s="175">
        <v>219</v>
      </c>
      <c r="L22" s="235">
        <f t="shared" si="11"/>
        <v>821.25</v>
      </c>
      <c r="M22" s="142">
        <v>273.75</v>
      </c>
      <c r="N22" s="143">
        <v>273.75</v>
      </c>
      <c r="O22" s="143">
        <f t="shared" si="21"/>
        <v>219</v>
      </c>
      <c r="P22" s="133">
        <v>0.6</v>
      </c>
      <c r="R22" s="176">
        <v>776</v>
      </c>
      <c r="S22" s="249">
        <f t="shared" si="12"/>
        <v>465.59999999999997</v>
      </c>
      <c r="W22" s="146">
        <v>5.4</v>
      </c>
      <c r="X22" s="146">
        <f>3.4+2</f>
        <v>5.4</v>
      </c>
      <c r="Y22" s="177">
        <v>115</v>
      </c>
      <c r="Z22" s="252">
        <f t="shared" si="1"/>
        <v>621</v>
      </c>
      <c r="AA22" s="147">
        <v>26.63</v>
      </c>
      <c r="AB22" s="147">
        <f t="shared" si="13"/>
        <v>719.00999999999988</v>
      </c>
      <c r="AC22" s="147">
        <f t="shared" si="14"/>
        <v>133.14999999999998</v>
      </c>
      <c r="AD22" s="137">
        <v>15</v>
      </c>
      <c r="AF22" s="174">
        <v>110</v>
      </c>
      <c r="AG22" s="255">
        <f t="shared" si="2"/>
        <v>1650</v>
      </c>
      <c r="AH22" s="138">
        <v>550</v>
      </c>
      <c r="AI22" s="138">
        <f t="shared" si="16"/>
        <v>0</v>
      </c>
      <c r="AJ22" s="169">
        <f t="shared" si="17"/>
        <v>110</v>
      </c>
      <c r="AK22" s="194"/>
      <c r="AL22" s="266"/>
      <c r="AM22" s="194"/>
      <c r="AN22" s="259"/>
      <c r="AO22" s="266"/>
      <c r="AP22" s="194">
        <f t="shared" si="4"/>
        <v>0</v>
      </c>
      <c r="AQ22" s="194">
        <f t="shared" si="5"/>
        <v>0</v>
      </c>
      <c r="AR22" s="200">
        <v>20</v>
      </c>
      <c r="AS22" s="269">
        <f t="shared" ref="AS22" si="25">10+10</f>
        <v>20</v>
      </c>
      <c r="AT22" s="200">
        <v>9</v>
      </c>
      <c r="AU22" s="200">
        <f t="shared" si="20"/>
        <v>180</v>
      </c>
      <c r="AV22" s="269">
        <v>90</v>
      </c>
      <c r="AW22" s="200">
        <f t="shared" si="6"/>
        <v>180</v>
      </c>
      <c r="AX22" s="200">
        <f t="shared" si="7"/>
        <v>9</v>
      </c>
      <c r="AY22" s="159">
        <f t="shared" si="8"/>
        <v>79.75</v>
      </c>
      <c r="AZ22" s="239">
        <f t="shared" si="9"/>
        <v>19802.849999999999</v>
      </c>
      <c r="BA22" s="160">
        <f t="shared" si="10"/>
        <v>1172.7599999999998</v>
      </c>
      <c r="BB22" s="157">
        <v>119.5</v>
      </c>
    </row>
    <row r="23" spans="1:54">
      <c r="A23" s="126" t="s">
        <v>11</v>
      </c>
      <c r="B23" s="181">
        <v>35</v>
      </c>
      <c r="C23" s="182"/>
      <c r="D23" s="222">
        <v>384</v>
      </c>
      <c r="E23" s="207">
        <f t="shared" si="19"/>
        <v>13440</v>
      </c>
      <c r="F23" s="182"/>
      <c r="G23" s="182"/>
      <c r="H23" s="182"/>
      <c r="I23" s="142">
        <v>2.5</v>
      </c>
      <c r="K23" s="175">
        <v>182</v>
      </c>
      <c r="L23" s="235">
        <f t="shared" si="11"/>
        <v>455</v>
      </c>
      <c r="M23" s="142">
        <v>0</v>
      </c>
      <c r="N23" s="143">
        <v>0</v>
      </c>
      <c r="O23" s="143">
        <f t="shared" si="21"/>
        <v>0</v>
      </c>
      <c r="P23" s="133">
        <v>1.2</v>
      </c>
      <c r="R23" s="176">
        <v>739</v>
      </c>
      <c r="S23" s="249">
        <f t="shared" si="12"/>
        <v>886.8</v>
      </c>
      <c r="W23" s="146">
        <v>14.6</v>
      </c>
      <c r="X23" s="146">
        <f>7.2+5+2.4</f>
        <v>14.6</v>
      </c>
      <c r="Y23" s="177">
        <v>96</v>
      </c>
      <c r="Z23" s="252">
        <f t="shared" si="1"/>
        <v>1401.6</v>
      </c>
      <c r="AA23" s="147">
        <v>20.059999999999999</v>
      </c>
      <c r="AB23" s="147">
        <f t="shared" si="13"/>
        <v>1464.3799999999997</v>
      </c>
      <c r="AC23" s="147">
        <f t="shared" si="14"/>
        <v>100.29999999999998</v>
      </c>
      <c r="AD23" s="137">
        <v>15</v>
      </c>
      <c r="AF23" s="174">
        <v>111</v>
      </c>
      <c r="AG23" s="255">
        <f t="shared" si="2"/>
        <v>1665</v>
      </c>
      <c r="AI23" s="138">
        <f t="shared" si="16"/>
        <v>0</v>
      </c>
      <c r="AJ23" s="169">
        <f t="shared" si="17"/>
        <v>0</v>
      </c>
      <c r="AK23" s="194"/>
      <c r="AL23" s="266"/>
      <c r="AM23" s="194"/>
      <c r="AN23" s="259"/>
      <c r="AO23" s="266"/>
      <c r="AP23" s="194">
        <f t="shared" si="4"/>
        <v>0</v>
      </c>
      <c r="AQ23" s="194">
        <f t="shared" si="5"/>
        <v>0</v>
      </c>
      <c r="AR23" s="200">
        <v>20</v>
      </c>
      <c r="AS23" s="269">
        <f>10+10</f>
        <v>20</v>
      </c>
      <c r="AT23" s="200">
        <v>12</v>
      </c>
      <c r="AU23" s="200">
        <f t="shared" si="20"/>
        <v>240</v>
      </c>
      <c r="AV23" s="269">
        <v>120</v>
      </c>
      <c r="AW23" s="200">
        <f t="shared" si="6"/>
        <v>240</v>
      </c>
      <c r="AX23" s="200">
        <f t="shared" si="7"/>
        <v>12</v>
      </c>
      <c r="AY23" s="159">
        <f t="shared" si="8"/>
        <v>88.300000000000011</v>
      </c>
      <c r="AZ23" s="239">
        <f t="shared" si="9"/>
        <v>18088.399999999998</v>
      </c>
      <c r="BA23" s="160">
        <f t="shared" si="10"/>
        <v>1704.3799999999997</v>
      </c>
      <c r="BB23" s="157">
        <v>136.60000000000002</v>
      </c>
    </row>
    <row r="24" spans="1:54">
      <c r="A24" s="126" t="s">
        <v>37</v>
      </c>
      <c r="B24" s="181">
        <v>35</v>
      </c>
      <c r="C24" s="182"/>
      <c r="D24" s="222">
        <v>183</v>
      </c>
      <c r="E24" s="207">
        <f t="shared" si="19"/>
        <v>6405</v>
      </c>
      <c r="F24" s="182"/>
      <c r="G24" s="182"/>
      <c r="H24" s="182"/>
      <c r="I24" s="142">
        <v>1.25</v>
      </c>
      <c r="K24" s="175">
        <v>82</v>
      </c>
      <c r="L24" s="235">
        <f t="shared" si="11"/>
        <v>102.5</v>
      </c>
      <c r="M24" s="142">
        <v>0</v>
      </c>
      <c r="N24" s="143">
        <v>0</v>
      </c>
      <c r="O24" s="143">
        <f t="shared" si="21"/>
        <v>0</v>
      </c>
      <c r="R24" s="176"/>
      <c r="W24" s="146">
        <v>18.399999999999999</v>
      </c>
      <c r="X24" s="146">
        <f>5+5+7.6</f>
        <v>17.600000000000001</v>
      </c>
      <c r="Y24" s="177">
        <v>46</v>
      </c>
      <c r="Z24" s="252">
        <f t="shared" si="1"/>
        <v>846.4</v>
      </c>
      <c r="AA24" s="147">
        <v>9.1999999999999993</v>
      </c>
      <c r="AB24" s="147">
        <f t="shared" si="13"/>
        <v>809.59999999999991</v>
      </c>
      <c r="AC24" s="147">
        <f t="shared" si="14"/>
        <v>45.999999999999993</v>
      </c>
      <c r="AD24" s="137">
        <v>15</v>
      </c>
      <c r="AF24" s="174">
        <v>52</v>
      </c>
      <c r="AG24" s="255">
        <f t="shared" si="2"/>
        <v>780</v>
      </c>
      <c r="AI24" s="138">
        <f t="shared" si="16"/>
        <v>0</v>
      </c>
      <c r="AJ24" s="169">
        <f t="shared" si="17"/>
        <v>0</v>
      </c>
      <c r="AK24" s="194">
        <v>20</v>
      </c>
      <c r="AL24" s="266">
        <f>10+10</f>
        <v>20</v>
      </c>
      <c r="AM24" s="194">
        <v>5</v>
      </c>
      <c r="AN24" s="259">
        <f t="shared" si="3"/>
        <v>100</v>
      </c>
      <c r="AO24" s="266">
        <v>50</v>
      </c>
      <c r="AP24" s="194">
        <f t="shared" si="4"/>
        <v>100</v>
      </c>
      <c r="AQ24" s="194">
        <f t="shared" si="5"/>
        <v>5</v>
      </c>
      <c r="AR24" s="200">
        <v>20</v>
      </c>
      <c r="AS24" s="269">
        <f>10+10</f>
        <v>20</v>
      </c>
      <c r="AT24" s="200">
        <v>5</v>
      </c>
      <c r="AU24" s="200">
        <f t="shared" si="20"/>
        <v>100</v>
      </c>
      <c r="AV24" s="269">
        <v>50</v>
      </c>
      <c r="AW24" s="200">
        <f t="shared" si="6"/>
        <v>100</v>
      </c>
      <c r="AX24" s="200">
        <f t="shared" si="7"/>
        <v>5</v>
      </c>
      <c r="AY24" s="159">
        <f t="shared" si="8"/>
        <v>109.65</v>
      </c>
      <c r="AZ24" s="239">
        <f t="shared" si="9"/>
        <v>8333.9</v>
      </c>
      <c r="BA24" s="160">
        <f t="shared" si="10"/>
        <v>1009.5999999999999</v>
      </c>
      <c r="BB24" s="157">
        <v>159.30000000000001</v>
      </c>
    </row>
    <row r="25" spans="1:54">
      <c r="A25" s="127"/>
      <c r="B25" s="183"/>
      <c r="C25" s="183"/>
      <c r="D25" s="223"/>
      <c r="E25" s="208"/>
      <c r="F25" s="183"/>
      <c r="G25" s="183"/>
      <c r="H25" s="183"/>
      <c r="N25" s="143">
        <v>0</v>
      </c>
      <c r="O25" s="143">
        <f t="shared" si="21"/>
        <v>0</v>
      </c>
      <c r="AB25" s="147">
        <f t="shared" si="13"/>
        <v>0</v>
      </c>
      <c r="AC25" s="147">
        <v>0</v>
      </c>
      <c r="AI25" s="138">
        <f t="shared" si="16"/>
        <v>0</v>
      </c>
      <c r="AJ25" s="169">
        <f t="shared" si="17"/>
        <v>0</v>
      </c>
      <c r="AK25" s="195"/>
      <c r="AL25" s="267"/>
      <c r="AM25" s="195"/>
      <c r="AN25" s="260"/>
      <c r="AO25" s="267"/>
      <c r="AP25" s="194">
        <f t="shared" si="4"/>
        <v>0</v>
      </c>
      <c r="AQ25" s="194">
        <f t="shared" si="5"/>
        <v>0</v>
      </c>
      <c r="AR25" s="201"/>
      <c r="AS25" s="269"/>
      <c r="AT25" s="201"/>
      <c r="AU25" s="201"/>
      <c r="AV25" s="270"/>
      <c r="AW25" s="200">
        <f t="shared" si="6"/>
        <v>0</v>
      </c>
      <c r="AX25" s="200">
        <f t="shared" si="7"/>
        <v>0</v>
      </c>
      <c r="BA25" s="160">
        <f t="shared" si="10"/>
        <v>0</v>
      </c>
      <c r="BB25" s="157">
        <f t="shared" ref="BB25:BB41" si="26">SUM(B8*2,AK8,AR48,I8*2,P8*2,W8*2,AD8*2,)</f>
        <v>117.3</v>
      </c>
    </row>
    <row r="26" spans="1:54">
      <c r="A26" s="128" t="s">
        <v>26</v>
      </c>
      <c r="B26" s="183">
        <f>SUM(B3:B24)</f>
        <v>770</v>
      </c>
      <c r="C26" s="184"/>
      <c r="D26" s="224">
        <f>SUM(D3:D24)</f>
        <v>11485</v>
      </c>
      <c r="E26" s="209">
        <f>SUM(E3:E24)</f>
        <v>401975</v>
      </c>
      <c r="F26" s="184"/>
      <c r="G26" s="184"/>
      <c r="H26" s="184"/>
      <c r="I26" s="148">
        <f>SUM(I3:I24)</f>
        <v>73.75</v>
      </c>
      <c r="J26" s="148">
        <f>SUM(J3:J25)</f>
        <v>15</v>
      </c>
      <c r="K26" s="148">
        <f>SUM(K3:K24)</f>
        <v>5819</v>
      </c>
      <c r="L26" s="236">
        <f>SUM(L3:L24)</f>
        <v>26126.25</v>
      </c>
      <c r="M26" s="149">
        <f>SUM(M3:M25)</f>
        <v>1153.9000000000001</v>
      </c>
      <c r="N26" s="149">
        <f>SUM(N3:N25)</f>
        <v>3623.4900000000002</v>
      </c>
      <c r="O26" s="143">
        <f t="shared" si="21"/>
        <v>923.12000000000012</v>
      </c>
      <c r="P26" s="150">
        <f>SUM(P3:P24)</f>
        <v>9.3999999999999986</v>
      </c>
      <c r="Q26" s="150"/>
      <c r="R26" s="150">
        <f>SUM(R3:R24)</f>
        <v>2632</v>
      </c>
      <c r="S26" s="250">
        <f>SUM(S3:S24)</f>
        <v>5413.8</v>
      </c>
      <c r="T26" s="151"/>
      <c r="U26" s="151"/>
      <c r="V26" s="151"/>
      <c r="W26" s="152">
        <f>SUM(W3:W24)</f>
        <v>221.60000000000002</v>
      </c>
      <c r="X26" s="152">
        <f>SUM(X3:X25)</f>
        <v>173.99999999999997</v>
      </c>
      <c r="Y26" s="152">
        <f>SUM(Y3:Y24)</f>
        <v>2648</v>
      </c>
      <c r="Z26" s="253">
        <f>SUM(Z3:Z24)</f>
        <v>24647.200000000001</v>
      </c>
      <c r="AA26" s="153">
        <f>SUM(AA3:AA25)</f>
        <v>528.80000000000007</v>
      </c>
      <c r="AB26" s="147">
        <f t="shared" si="13"/>
        <v>460055.99999999994</v>
      </c>
      <c r="AC26" s="147">
        <f>SUM(AC3:AC25)</f>
        <v>2644.0000000000005</v>
      </c>
      <c r="AD26" s="154">
        <f>SUM(AD3:AD24)</f>
        <v>360</v>
      </c>
      <c r="AE26" s="154">
        <f>SUM(AE3:AE25)</f>
        <v>65</v>
      </c>
      <c r="AF26" s="154">
        <f>SUM(AF3:AF24)</f>
        <v>3746</v>
      </c>
      <c r="AG26" s="256">
        <f>SUM(AG3:AG24)</f>
        <v>63345</v>
      </c>
      <c r="AH26" s="155">
        <f>SUM(AH3:AH24)</f>
        <v>12040</v>
      </c>
      <c r="AI26" s="138">
        <f t="shared" si="16"/>
        <v>156520</v>
      </c>
      <c r="AJ26" s="169">
        <f t="shared" si="17"/>
        <v>2408</v>
      </c>
      <c r="AK26" s="196">
        <f>SUM(AK3:AK24)</f>
        <v>320</v>
      </c>
      <c r="AL26" s="196">
        <f>SUM(AL3:AL25)</f>
        <v>280</v>
      </c>
      <c r="AM26" s="196">
        <f>SUM(AM3:AM24)</f>
        <v>760</v>
      </c>
      <c r="AN26" s="261">
        <f>SUM(AN3:AN24)</f>
        <v>15200</v>
      </c>
      <c r="AO26" s="196">
        <f>SUM(AO3:AO25)</f>
        <v>7895.06</v>
      </c>
      <c r="AP26" s="194">
        <f t="shared" si="4"/>
        <v>221061.68000000002</v>
      </c>
      <c r="AQ26" s="194">
        <f t="shared" si="5"/>
        <v>789.50600000000009</v>
      </c>
      <c r="AR26" s="202">
        <f>SUM(AR3:AR24)</f>
        <v>600</v>
      </c>
      <c r="AS26" s="201">
        <f>SUM(AS3:AS25)</f>
        <v>310</v>
      </c>
      <c r="AT26" s="202">
        <f>SUM(AT3:AT24)</f>
        <v>817</v>
      </c>
      <c r="AU26" s="202">
        <f>SUM(AU3:AU24)</f>
        <v>30680</v>
      </c>
      <c r="AV26" s="269">
        <f>SUM(AV3:AV25)</f>
        <v>5870.8</v>
      </c>
      <c r="AW26" s="200">
        <f t="shared" si="6"/>
        <v>181994.8</v>
      </c>
      <c r="AX26" s="200">
        <f t="shared" si="7"/>
        <v>587.08000000000004</v>
      </c>
      <c r="AY26" s="162">
        <f>SUM(AY3:AY24)</f>
        <v>2354.7500000000005</v>
      </c>
      <c r="AZ26" s="240">
        <f>SUM(AZ3:AZ24)</f>
        <v>567387.25000000012</v>
      </c>
      <c r="BA26" s="160">
        <f>SUM(BA3:BA25)</f>
        <v>52796.299999999996</v>
      </c>
      <c r="BB26" s="157">
        <f t="shared" si="26"/>
        <v>160.30000000000001</v>
      </c>
    </row>
    <row r="27" spans="1:54">
      <c r="A27" s="130" t="s">
        <v>161</v>
      </c>
      <c r="B27" s="185">
        <f>AVERAGE(B3:B24)</f>
        <v>35</v>
      </c>
      <c r="C27" s="185"/>
      <c r="D27" s="225">
        <f>AVERAGE(D3:D24)</f>
        <v>522.0454545454545</v>
      </c>
      <c r="E27" s="210">
        <f>AVERAGE(E3:E24)</f>
        <v>18271.590909090908</v>
      </c>
      <c r="F27" s="185"/>
      <c r="G27" s="185"/>
      <c r="H27" s="185"/>
      <c r="I27" s="148">
        <f>AVERAGE(I3:I24)</f>
        <v>3.6875</v>
      </c>
      <c r="J27" s="148">
        <f>AVERAGE(J3:J25)</f>
        <v>3.75</v>
      </c>
      <c r="K27" s="148">
        <f>AVERAGE(K3:K24)</f>
        <v>290.95</v>
      </c>
      <c r="L27" s="236">
        <f>AVERAGE(L3:L24)</f>
        <v>1375.0657894736842</v>
      </c>
      <c r="M27" s="149">
        <f>AVERAGE(M3:M25)</f>
        <v>52.45</v>
      </c>
      <c r="N27" s="143">
        <f>AVERAGE(N3:N25)</f>
        <v>164.70409090909092</v>
      </c>
      <c r="O27" s="143">
        <f t="shared" si="21"/>
        <v>41.96</v>
      </c>
      <c r="P27" s="150">
        <f>AVERAGE(P3:P24)</f>
        <v>2.3499999999999996</v>
      </c>
      <c r="Q27" s="150"/>
      <c r="R27" s="150">
        <f>AVERAGE(R3:R24)</f>
        <v>658</v>
      </c>
      <c r="S27" s="250">
        <f>AVERAGE(S3:S24)</f>
        <v>1353.45</v>
      </c>
      <c r="T27" s="151"/>
      <c r="U27" s="151"/>
      <c r="V27" s="151"/>
      <c r="W27" s="152">
        <f>AVERAGE(W3:W24)</f>
        <v>10.072727272727274</v>
      </c>
      <c r="X27" s="152">
        <f>AVERAGE(X3:X26)</f>
        <v>17.399999999999999</v>
      </c>
      <c r="Y27" s="152">
        <f>AVERAGE(Y3:Y24)</f>
        <v>120.36363636363636</v>
      </c>
      <c r="Z27" s="253">
        <f>AVERAGE(Z3:Z24)</f>
        <v>1120.3272727272727</v>
      </c>
      <c r="AA27" s="153">
        <f>AVERAGE(AA3:AA25)</f>
        <v>27.831578947368424</v>
      </c>
      <c r="AB27" s="147">
        <f t="shared" si="13"/>
        <v>2421.3473684210526</v>
      </c>
      <c r="AC27" s="147">
        <f>AVERAGE(AC3:AC25)</f>
        <v>114.95652173913045</v>
      </c>
      <c r="AD27" s="154">
        <f>AVERAGE(AD3:AD24)</f>
        <v>16.363636363636363</v>
      </c>
      <c r="AE27" s="154">
        <f>AVERAGE(AE3:AE25)</f>
        <v>6.5</v>
      </c>
      <c r="AF27" s="154">
        <f>AVERAGE(AF3:AF24)</f>
        <v>170.27272727272728</v>
      </c>
      <c r="AG27" s="256">
        <f>AVERAGE(AG3:AG24)</f>
        <v>2879.318181818182</v>
      </c>
      <c r="AH27" s="155">
        <f>AVERAGE(AH3:AH25)</f>
        <v>1003.3333333333334</v>
      </c>
      <c r="AI27" s="138">
        <f t="shared" si="16"/>
        <v>1304.3333333333335</v>
      </c>
      <c r="AJ27" s="169">
        <f t="shared" si="17"/>
        <v>200.66666666666669</v>
      </c>
      <c r="AK27" s="196">
        <f>AVERAGE(AK3:AK24)</f>
        <v>20</v>
      </c>
      <c r="AL27" s="196">
        <f>AVERAGE(AL3:AL25)</f>
        <v>20</v>
      </c>
      <c r="AM27" s="196">
        <f>AVERAGE(AM3:AM24)</f>
        <v>47.5</v>
      </c>
      <c r="AN27" s="261">
        <f>AVERAGE(AN3:AN24)</f>
        <v>950</v>
      </c>
      <c r="AO27" s="196">
        <f>AVERAGE(AO3:AO25)</f>
        <v>493.44125000000003</v>
      </c>
      <c r="AP27" s="194">
        <f t="shared" si="4"/>
        <v>986.88250000000005</v>
      </c>
      <c r="AQ27" s="194">
        <f t="shared" si="5"/>
        <v>49.344125000000005</v>
      </c>
      <c r="AR27" s="202">
        <f>AVERAGE(AR3:AR24)</f>
        <v>27.272727272727273</v>
      </c>
      <c r="AS27" s="202">
        <f>AVERAGE(AS3:AS25)</f>
        <v>15.5</v>
      </c>
      <c r="AT27" s="202">
        <f>AVERAGE(AT3:AT24)</f>
        <v>37.136363636363633</v>
      </c>
      <c r="AU27" s="202">
        <f>AVERAGE(AU3:AU24)</f>
        <v>1394.5454545454545</v>
      </c>
      <c r="AV27" s="270">
        <f>AVERAGE(AV3:AV25)</f>
        <v>293.54000000000002</v>
      </c>
      <c r="AW27" s="200">
        <f t="shared" si="6"/>
        <v>454.98699999999997</v>
      </c>
      <c r="AX27" s="200">
        <f t="shared" si="7"/>
        <v>29.354000000000003</v>
      </c>
      <c r="AY27" s="162">
        <f>AVERAGE(AY3:AY24)</f>
        <v>107.03409090909093</v>
      </c>
      <c r="AZ27" s="240">
        <f>AVERAGE(AZ3:AZ24)</f>
        <v>25790.329545454551</v>
      </c>
      <c r="BA27" s="160">
        <f>SUM(AW27,AP27,AI27,AB27,U27,N26,G27)</f>
        <v>8791.0402017543856</v>
      </c>
      <c r="BB27" s="157">
        <f t="shared" si="26"/>
        <v>164</v>
      </c>
    </row>
    <row r="28" spans="1:54">
      <c r="A28" s="123" t="s">
        <v>141</v>
      </c>
      <c r="B28" s="186"/>
      <c r="C28" s="186"/>
      <c r="D28" s="226"/>
      <c r="E28" s="211"/>
      <c r="F28" s="186"/>
      <c r="G28" s="186"/>
      <c r="H28" s="186"/>
      <c r="O28" s="143">
        <f>AVERAGE(O6,O13,O16)</f>
        <v>0</v>
      </c>
      <c r="AB28" s="147">
        <f t="shared" si="13"/>
        <v>0</v>
      </c>
      <c r="AC28" s="147">
        <v>0</v>
      </c>
      <c r="AD28" s="137">
        <f>AVERAGE(AD3:AD25)</f>
        <v>16.363636363636363</v>
      </c>
      <c r="AI28" s="138">
        <f t="shared" si="16"/>
        <v>0</v>
      </c>
      <c r="AJ28" s="169">
        <f t="shared" si="17"/>
        <v>0</v>
      </c>
      <c r="AK28" s="237">
        <f>AK27/2</f>
        <v>10</v>
      </c>
      <c r="AL28" s="195"/>
      <c r="AM28" s="237">
        <f>AM27/2</f>
        <v>23.75</v>
      </c>
      <c r="AN28" s="260"/>
      <c r="AO28" s="195"/>
      <c r="AP28" s="194">
        <f t="shared" si="4"/>
        <v>0</v>
      </c>
      <c r="AQ28" s="194">
        <f t="shared" si="5"/>
        <v>0</v>
      </c>
      <c r="AR28" s="201">
        <f>AR27/2</f>
        <v>13.636363636363637</v>
      </c>
      <c r="AS28" s="202"/>
      <c r="AT28" s="201">
        <f>AT27/2</f>
        <v>18.568181818181817</v>
      </c>
      <c r="AU28" s="201"/>
      <c r="AV28" s="269"/>
      <c r="AW28" s="200">
        <f t="shared" si="6"/>
        <v>0</v>
      </c>
      <c r="AX28" s="200">
        <f t="shared" si="7"/>
        <v>0</v>
      </c>
      <c r="AZ28" s="288"/>
      <c r="BA28" s="160">
        <f t="shared" si="10"/>
        <v>0</v>
      </c>
      <c r="BB28" s="157">
        <f t="shared" si="26"/>
        <v>133.4</v>
      </c>
    </row>
    <row r="29" spans="1:54">
      <c r="A29" s="123" t="s">
        <v>198</v>
      </c>
      <c r="B29" s="186"/>
      <c r="C29" s="186"/>
      <c r="D29" s="226"/>
      <c r="E29" s="211"/>
      <c r="F29" s="186"/>
      <c r="G29" s="186"/>
      <c r="H29" s="186"/>
      <c r="AB29" s="147">
        <f t="shared" si="13"/>
        <v>0</v>
      </c>
      <c r="AC29" s="147">
        <v>0</v>
      </c>
      <c r="AI29" s="138">
        <f t="shared" si="16"/>
        <v>0</v>
      </c>
      <c r="AJ29" s="169">
        <f t="shared" si="17"/>
        <v>0</v>
      </c>
      <c r="AK29" s="195"/>
      <c r="AL29" s="195"/>
      <c r="AM29" s="195"/>
      <c r="AN29" s="260"/>
      <c r="AO29" s="195"/>
      <c r="AP29" s="194">
        <f t="shared" si="4"/>
        <v>0</v>
      </c>
      <c r="AQ29" s="194">
        <f t="shared" si="5"/>
        <v>0</v>
      </c>
      <c r="AR29" s="201"/>
      <c r="AS29" s="201"/>
      <c r="AT29" s="201"/>
      <c r="AU29" s="201"/>
      <c r="AV29" s="269"/>
      <c r="AW29" s="200">
        <f t="shared" si="6"/>
        <v>0</v>
      </c>
      <c r="AX29" s="200">
        <f t="shared" si="7"/>
        <v>0</v>
      </c>
      <c r="AY29" s="161">
        <f>1520</f>
        <v>1520</v>
      </c>
      <c r="AZ29" s="160">
        <f>SUM(B26,I26,P26,W26,AD26,AK26,AR26,)</f>
        <v>2354.75</v>
      </c>
      <c r="BA29" s="160">
        <f>SUM(J26,X26,AE26,AL26,AS26,)</f>
        <v>844</v>
      </c>
      <c r="BB29" s="157">
        <f t="shared" si="26"/>
        <v>129</v>
      </c>
    </row>
    <row r="30" spans="1:54">
      <c r="A30" s="123" t="s">
        <v>199</v>
      </c>
      <c r="B30" s="186"/>
      <c r="C30" s="186"/>
      <c r="D30" s="226"/>
      <c r="E30" s="211"/>
      <c r="F30" s="186"/>
      <c r="G30" s="186"/>
      <c r="H30" s="186"/>
      <c r="O30" s="143">
        <f t="shared" si="21"/>
        <v>0</v>
      </c>
      <c r="AB30" s="147">
        <f t="shared" si="13"/>
        <v>0</v>
      </c>
      <c r="AC30" s="147">
        <v>0</v>
      </c>
      <c r="AI30" s="138">
        <f t="shared" si="16"/>
        <v>0</v>
      </c>
      <c r="AJ30" s="169">
        <f t="shared" si="17"/>
        <v>0</v>
      </c>
      <c r="AK30" s="195"/>
      <c r="AL30" s="195"/>
      <c r="AM30" s="195"/>
      <c r="AN30" s="260"/>
      <c r="AO30" s="195"/>
      <c r="AP30" s="194">
        <f t="shared" si="4"/>
        <v>0</v>
      </c>
      <c r="AQ30" s="194">
        <f t="shared" si="5"/>
        <v>0</v>
      </c>
      <c r="AR30" s="201"/>
      <c r="AS30" s="201"/>
      <c r="AT30" s="201"/>
      <c r="AU30" s="201"/>
      <c r="AV30" s="270"/>
      <c r="AW30" s="200">
        <f t="shared" si="6"/>
        <v>0</v>
      </c>
      <c r="AX30" s="200">
        <f t="shared" si="7"/>
        <v>0</v>
      </c>
      <c r="AY30" s="160">
        <f>AY29/AY26</f>
        <v>0.64550376897759831</v>
      </c>
      <c r="BA30" s="160">
        <f t="shared" si="10"/>
        <v>0</v>
      </c>
      <c r="BB30" s="157">
        <f t="shared" si="26"/>
        <v>133</v>
      </c>
    </row>
    <row r="31" spans="1:54">
      <c r="A31" s="123" t="s">
        <v>200</v>
      </c>
      <c r="B31" s="186"/>
      <c r="C31" s="186"/>
      <c r="D31" s="226"/>
      <c r="E31" s="211"/>
      <c r="F31" s="186"/>
      <c r="G31" s="186"/>
      <c r="H31" s="186"/>
      <c r="O31" s="143">
        <f t="shared" si="21"/>
        <v>0</v>
      </c>
      <c r="AB31" s="147">
        <f t="shared" si="13"/>
        <v>0</v>
      </c>
      <c r="AI31" s="138">
        <f t="shared" si="16"/>
        <v>0</v>
      </c>
      <c r="AJ31" s="169">
        <f t="shared" si="17"/>
        <v>0</v>
      </c>
      <c r="AK31" s="195"/>
      <c r="AL31" s="195"/>
      <c r="AM31" s="195"/>
      <c r="AN31" s="260"/>
      <c r="AO31" s="195"/>
      <c r="AP31" s="194">
        <f t="shared" si="4"/>
        <v>0</v>
      </c>
      <c r="AQ31" s="194">
        <f t="shared" si="5"/>
        <v>0</v>
      </c>
      <c r="AR31" s="201"/>
      <c r="AS31" s="201"/>
      <c r="AT31" s="201"/>
      <c r="AU31" s="201"/>
      <c r="AV31" s="201"/>
      <c r="AW31" s="200">
        <f t="shared" si="6"/>
        <v>0</v>
      </c>
      <c r="AX31" s="200">
        <f t="shared" si="7"/>
        <v>0</v>
      </c>
      <c r="BA31" s="160">
        <f t="shared" si="10"/>
        <v>0</v>
      </c>
      <c r="BB31" s="157">
        <f t="shared" si="26"/>
        <v>134.19999999999999</v>
      </c>
    </row>
    <row r="32" spans="1:54">
      <c r="B32" s="186"/>
      <c r="C32" s="186"/>
      <c r="D32" s="226"/>
      <c r="E32" s="211"/>
      <c r="F32" s="186"/>
      <c r="G32" s="186"/>
      <c r="H32" s="186"/>
      <c r="O32" s="143">
        <f>((O26*10)/1280)/17.15</f>
        <v>0.42051749271137034</v>
      </c>
      <c r="AB32" s="147">
        <f t="shared" si="13"/>
        <v>0</v>
      </c>
      <c r="AC32" s="143">
        <f>((AC26*10)/1280)/17.15</f>
        <v>1.2044460641399419</v>
      </c>
      <c r="AI32" s="138">
        <f t="shared" si="16"/>
        <v>0</v>
      </c>
      <c r="AJ32" s="143">
        <f>((AJ26*10)/1280)/17.15</f>
        <v>1.0969387755102042</v>
      </c>
      <c r="AK32" s="195"/>
      <c r="AL32" s="195"/>
      <c r="AM32" s="195"/>
      <c r="AN32" s="260"/>
      <c r="AO32" s="195"/>
      <c r="AP32" s="194">
        <f t="shared" si="4"/>
        <v>0</v>
      </c>
      <c r="AQ32" s="143">
        <f>((AQ26*10)/1280)/17.15</f>
        <v>0.35965105685131205</v>
      </c>
      <c r="AR32" s="201"/>
      <c r="AS32" s="201"/>
      <c r="AT32" s="201"/>
      <c r="AU32" s="201"/>
      <c r="AV32" s="201"/>
      <c r="AW32" s="200">
        <f t="shared" si="6"/>
        <v>0</v>
      </c>
      <c r="AX32" s="143">
        <f>((AX26*10)/1280)/17.15</f>
        <v>0.26743804664723037</v>
      </c>
      <c r="BA32" s="160">
        <f t="shared" si="10"/>
        <v>0</v>
      </c>
      <c r="BB32" s="157">
        <f t="shared" si="26"/>
        <v>161.80000000000001</v>
      </c>
    </row>
    <row r="33" spans="2:54">
      <c r="B33" s="186"/>
      <c r="C33" s="186"/>
      <c r="D33" s="226"/>
      <c r="E33" s="211"/>
      <c r="F33" s="186"/>
      <c r="G33" s="186"/>
      <c r="H33" s="186"/>
      <c r="O33" s="143">
        <f t="shared" si="21"/>
        <v>0</v>
      </c>
      <c r="AB33" s="147">
        <f t="shared" si="13"/>
        <v>0</v>
      </c>
      <c r="AI33" s="138">
        <f t="shared" si="16"/>
        <v>0</v>
      </c>
      <c r="AJ33" s="169">
        <f t="shared" si="17"/>
        <v>0</v>
      </c>
      <c r="AK33" s="195"/>
      <c r="AL33" s="195"/>
      <c r="AM33" s="195"/>
      <c r="AN33" s="260"/>
      <c r="AO33" s="195"/>
      <c r="AP33" s="194">
        <f t="shared" si="4"/>
        <v>0</v>
      </c>
      <c r="AQ33" s="194">
        <f t="shared" si="5"/>
        <v>0</v>
      </c>
      <c r="AR33" s="201"/>
      <c r="AS33" s="201"/>
      <c r="AT33" s="201"/>
      <c r="AU33" s="201"/>
      <c r="AV33" s="201"/>
      <c r="AW33" s="200">
        <f t="shared" si="6"/>
        <v>0</v>
      </c>
      <c r="AX33" s="200">
        <f t="shared" si="7"/>
        <v>0</v>
      </c>
      <c r="BA33" s="160">
        <f t="shared" si="10"/>
        <v>0</v>
      </c>
      <c r="BB33" s="157">
        <f t="shared" si="26"/>
        <v>150</v>
      </c>
    </row>
    <row r="34" spans="2:54">
      <c r="B34" s="186"/>
      <c r="C34" s="186"/>
      <c r="D34" s="226"/>
      <c r="E34" s="211"/>
      <c r="F34" s="186"/>
      <c r="G34" s="186"/>
      <c r="H34" s="186"/>
      <c r="O34" s="143">
        <f t="shared" si="21"/>
        <v>0</v>
      </c>
      <c r="AB34" s="147">
        <f t="shared" si="13"/>
        <v>0</v>
      </c>
      <c r="AI34" s="138">
        <f t="shared" si="16"/>
        <v>0</v>
      </c>
      <c r="AJ34" s="169">
        <f t="shared" si="17"/>
        <v>0</v>
      </c>
      <c r="AK34" s="195"/>
      <c r="AL34" s="195"/>
      <c r="AM34" s="195"/>
      <c r="AN34" s="260"/>
      <c r="AO34" s="195"/>
      <c r="AP34" s="194">
        <f t="shared" si="4"/>
        <v>0</v>
      </c>
      <c r="AQ34" s="194">
        <f t="shared" si="5"/>
        <v>0</v>
      </c>
      <c r="AR34" s="201"/>
      <c r="AS34" s="201"/>
      <c r="AT34" s="201"/>
      <c r="AU34" s="201"/>
      <c r="AV34" s="201"/>
      <c r="AW34" s="200">
        <f t="shared" si="6"/>
        <v>0</v>
      </c>
      <c r="AX34" s="200">
        <f t="shared" si="7"/>
        <v>0</v>
      </c>
      <c r="BA34" s="160">
        <f t="shared" si="10"/>
        <v>0</v>
      </c>
      <c r="BB34" s="157">
        <f t="shared" si="26"/>
        <v>138.4</v>
      </c>
    </row>
    <row r="35" spans="2:54">
      <c r="B35" s="186"/>
      <c r="C35" s="186"/>
      <c r="D35" s="226"/>
      <c r="E35" s="211"/>
      <c r="F35" s="186"/>
      <c r="G35" s="186"/>
      <c r="H35" s="186"/>
      <c r="O35" s="143">
        <f t="shared" si="21"/>
        <v>0</v>
      </c>
      <c r="AB35" s="147">
        <f t="shared" si="13"/>
        <v>0</v>
      </c>
      <c r="AI35" s="138">
        <f t="shared" si="16"/>
        <v>0</v>
      </c>
      <c r="AJ35" s="169">
        <f t="shared" si="17"/>
        <v>0</v>
      </c>
      <c r="AK35" s="195"/>
      <c r="AL35" s="195"/>
      <c r="AM35" s="195"/>
      <c r="AN35" s="260"/>
      <c r="AO35" s="195"/>
      <c r="AP35" s="194">
        <f t="shared" si="4"/>
        <v>0</v>
      </c>
      <c r="AQ35" s="194">
        <f t="shared" si="5"/>
        <v>0</v>
      </c>
      <c r="AR35" s="201"/>
      <c r="AS35" s="201"/>
      <c r="AT35" s="201"/>
      <c r="AU35" s="201"/>
      <c r="AV35" s="201"/>
      <c r="AW35" s="200">
        <f t="shared" si="6"/>
        <v>0</v>
      </c>
      <c r="AX35" s="200">
        <f t="shared" si="7"/>
        <v>0</v>
      </c>
      <c r="BA35" s="160">
        <f t="shared" si="10"/>
        <v>0</v>
      </c>
      <c r="BB35" s="157">
        <f t="shared" si="26"/>
        <v>140.30000000000001</v>
      </c>
    </row>
    <row r="36" spans="2:54">
      <c r="B36" s="186"/>
      <c r="C36" s="186"/>
      <c r="D36" s="226"/>
      <c r="E36" s="211"/>
      <c r="F36" s="186"/>
      <c r="G36" s="186"/>
      <c r="H36" s="186"/>
      <c r="O36" s="143">
        <f t="shared" si="21"/>
        <v>0</v>
      </c>
      <c r="AB36" s="147">
        <f t="shared" si="13"/>
        <v>0</v>
      </c>
      <c r="AI36" s="138">
        <f t="shared" si="16"/>
        <v>0</v>
      </c>
      <c r="AJ36" s="169">
        <f t="shared" si="17"/>
        <v>0</v>
      </c>
      <c r="AK36" s="195"/>
      <c r="AL36" s="195"/>
      <c r="AM36" s="195"/>
      <c r="AN36" s="260"/>
      <c r="AO36" s="195"/>
      <c r="AP36" s="194">
        <f t="shared" si="4"/>
        <v>0</v>
      </c>
      <c r="AQ36" s="194">
        <f t="shared" si="5"/>
        <v>0</v>
      </c>
      <c r="AR36" s="201"/>
      <c r="AS36" s="201"/>
      <c r="AT36" s="201"/>
      <c r="AU36" s="201"/>
      <c r="AV36" s="201"/>
      <c r="AW36" s="200">
        <f t="shared" si="6"/>
        <v>0</v>
      </c>
      <c r="AX36" s="200">
        <f t="shared" si="7"/>
        <v>0</v>
      </c>
      <c r="BA36" s="160">
        <f t="shared" si="10"/>
        <v>0</v>
      </c>
      <c r="BB36" s="157">
        <f t="shared" si="26"/>
        <v>143.30000000000001</v>
      </c>
    </row>
    <row r="37" spans="2:54">
      <c r="B37" s="186"/>
      <c r="C37" s="186"/>
      <c r="D37" s="226"/>
      <c r="E37" s="211"/>
      <c r="F37" s="186"/>
      <c r="G37" s="186"/>
      <c r="H37" s="186"/>
      <c r="O37" s="143">
        <f t="shared" si="21"/>
        <v>0</v>
      </c>
      <c r="AB37" s="147">
        <f t="shared" si="13"/>
        <v>0</v>
      </c>
      <c r="AI37" s="138">
        <f t="shared" si="16"/>
        <v>0</v>
      </c>
      <c r="AJ37" s="169">
        <f t="shared" si="17"/>
        <v>0</v>
      </c>
      <c r="AK37" s="195"/>
      <c r="AL37" s="195"/>
      <c r="AM37" s="195"/>
      <c r="AN37" s="260"/>
      <c r="AO37" s="195"/>
      <c r="AP37" s="194">
        <f t="shared" si="4"/>
        <v>0</v>
      </c>
      <c r="AQ37" s="194">
        <f t="shared" si="5"/>
        <v>0</v>
      </c>
      <c r="AR37" s="201"/>
      <c r="AS37" s="201"/>
      <c r="AT37" s="201"/>
      <c r="AU37" s="201"/>
      <c r="AV37" s="201"/>
      <c r="AW37" s="200">
        <f t="shared" si="6"/>
        <v>0</v>
      </c>
      <c r="AX37" s="200">
        <f t="shared" si="7"/>
        <v>0</v>
      </c>
      <c r="BA37" s="160">
        <f t="shared" si="10"/>
        <v>0</v>
      </c>
      <c r="BB37" s="157">
        <f t="shared" si="26"/>
        <v>137</v>
      </c>
    </row>
    <row r="38" spans="2:54">
      <c r="B38" s="186"/>
      <c r="C38" s="186"/>
      <c r="D38" s="226"/>
      <c r="E38" s="211"/>
      <c r="F38" s="186"/>
      <c r="G38" s="186"/>
      <c r="H38" s="186"/>
      <c r="O38" s="143">
        <f t="shared" si="21"/>
        <v>0</v>
      </c>
      <c r="AB38" s="147">
        <f t="shared" si="13"/>
        <v>0</v>
      </c>
      <c r="AI38" s="138">
        <f t="shared" si="16"/>
        <v>0</v>
      </c>
      <c r="AJ38" s="169">
        <f t="shared" si="17"/>
        <v>0</v>
      </c>
      <c r="AK38" s="195"/>
      <c r="AL38" s="195"/>
      <c r="AM38" s="195"/>
      <c r="AN38" s="260"/>
      <c r="AO38" s="195"/>
      <c r="AP38" s="194">
        <f t="shared" si="4"/>
        <v>0</v>
      </c>
      <c r="AQ38" s="194">
        <f t="shared" si="5"/>
        <v>0</v>
      </c>
      <c r="AR38" s="201"/>
      <c r="AS38" s="201"/>
      <c r="AT38" s="201"/>
      <c r="AU38" s="201"/>
      <c r="AV38" s="201"/>
      <c r="AW38" s="200">
        <f t="shared" si="6"/>
        <v>0</v>
      </c>
      <c r="AX38" s="200">
        <f t="shared" si="7"/>
        <v>0</v>
      </c>
      <c r="BA38" s="160">
        <f t="shared" si="10"/>
        <v>0</v>
      </c>
      <c r="BB38" s="157">
        <f t="shared" si="26"/>
        <v>125</v>
      </c>
    </row>
    <row r="39" spans="2:54">
      <c r="B39" s="186"/>
      <c r="C39" s="186"/>
      <c r="D39" s="226"/>
      <c r="E39" s="211"/>
      <c r="F39" s="186"/>
      <c r="G39" s="186"/>
      <c r="H39" s="186"/>
      <c r="O39" s="143">
        <f t="shared" si="21"/>
        <v>0</v>
      </c>
      <c r="AB39" s="147">
        <f t="shared" si="13"/>
        <v>0</v>
      </c>
      <c r="AI39" s="138">
        <f t="shared" si="16"/>
        <v>0</v>
      </c>
      <c r="AJ39" s="169">
        <f t="shared" si="17"/>
        <v>0</v>
      </c>
      <c r="AK39" s="195"/>
      <c r="AL39" s="195"/>
      <c r="AM39" s="195"/>
      <c r="AN39" s="260"/>
      <c r="AO39" s="195"/>
      <c r="AP39" s="194">
        <f t="shared" si="4"/>
        <v>0</v>
      </c>
      <c r="AQ39" s="194">
        <f t="shared" si="5"/>
        <v>0</v>
      </c>
      <c r="AR39" s="201"/>
      <c r="AS39" s="201"/>
      <c r="AT39" s="201"/>
      <c r="AU39" s="201"/>
      <c r="AV39" s="201"/>
      <c r="AW39" s="200">
        <f t="shared" si="6"/>
        <v>0</v>
      </c>
      <c r="AX39" s="200">
        <f t="shared" si="7"/>
        <v>0</v>
      </c>
      <c r="BA39" s="160">
        <f t="shared" si="10"/>
        <v>0</v>
      </c>
      <c r="BB39" s="157">
        <f t="shared" si="26"/>
        <v>119.5</v>
      </c>
    </row>
    <row r="40" spans="2:54">
      <c r="B40" s="186"/>
      <c r="C40" s="186"/>
      <c r="D40" s="226"/>
      <c r="E40" s="211"/>
      <c r="F40" s="186"/>
      <c r="G40" s="186"/>
      <c r="H40" s="186"/>
      <c r="AB40" s="147">
        <f t="shared" si="13"/>
        <v>0</v>
      </c>
      <c r="AI40" s="138">
        <f t="shared" si="16"/>
        <v>0</v>
      </c>
      <c r="AJ40" s="169">
        <f t="shared" si="17"/>
        <v>0</v>
      </c>
      <c r="AK40" s="195"/>
      <c r="AL40" s="195"/>
      <c r="AM40" s="195"/>
      <c r="AN40" s="260"/>
      <c r="AO40" s="195"/>
      <c r="AP40" s="194">
        <f t="shared" si="4"/>
        <v>0</v>
      </c>
      <c r="AQ40" s="194">
        <f t="shared" si="5"/>
        <v>0</v>
      </c>
      <c r="AR40" s="201"/>
      <c r="AS40" s="201"/>
      <c r="AT40" s="201"/>
      <c r="AU40" s="201"/>
      <c r="AV40" s="201"/>
      <c r="AW40" s="200">
        <f t="shared" si="6"/>
        <v>0</v>
      </c>
      <c r="AX40" s="200">
        <f t="shared" si="7"/>
        <v>0</v>
      </c>
      <c r="BA40" s="160">
        <f t="shared" si="10"/>
        <v>0</v>
      </c>
      <c r="BB40" s="157">
        <f t="shared" si="26"/>
        <v>136.60000000000002</v>
      </c>
    </row>
    <row r="41" spans="2:54">
      <c r="B41" s="186"/>
      <c r="C41" s="186"/>
      <c r="D41" s="226"/>
      <c r="E41" s="211"/>
      <c r="F41" s="186"/>
      <c r="G41" s="186"/>
      <c r="H41" s="186"/>
      <c r="AB41" s="147">
        <f t="shared" si="13"/>
        <v>0</v>
      </c>
      <c r="AI41" s="138">
        <f t="shared" si="16"/>
        <v>0</v>
      </c>
      <c r="AJ41" s="169">
        <f t="shared" si="17"/>
        <v>0</v>
      </c>
      <c r="AK41" s="195"/>
      <c r="AL41" s="195"/>
      <c r="AM41" s="195"/>
      <c r="AN41" s="260"/>
      <c r="AO41" s="195"/>
      <c r="AP41" s="194">
        <f t="shared" si="4"/>
        <v>0</v>
      </c>
      <c r="AQ41" s="194">
        <f t="shared" si="5"/>
        <v>0</v>
      </c>
      <c r="AR41" s="201"/>
      <c r="AS41" s="201"/>
      <c r="AT41" s="201"/>
      <c r="AU41" s="201"/>
      <c r="AV41" s="201"/>
      <c r="AW41" s="200">
        <f t="shared" si="6"/>
        <v>0</v>
      </c>
      <c r="AX41" s="200">
        <f t="shared" si="7"/>
        <v>0</v>
      </c>
      <c r="BA41" s="160">
        <f t="shared" si="10"/>
        <v>0</v>
      </c>
      <c r="BB41" s="157">
        <f t="shared" si="26"/>
        <v>159.30000000000001</v>
      </c>
    </row>
    <row r="42" spans="2:54">
      <c r="B42" s="186"/>
      <c r="C42" s="186"/>
      <c r="D42" s="226"/>
      <c r="E42" s="211"/>
      <c r="F42" s="186"/>
      <c r="G42" s="186"/>
      <c r="H42" s="186"/>
      <c r="AK42" s="195"/>
      <c r="AL42" s="195"/>
      <c r="AM42" s="195"/>
      <c r="AN42" s="260"/>
      <c r="AO42" s="195"/>
      <c r="AP42" s="195"/>
      <c r="AQ42" s="195"/>
      <c r="AR42" s="201"/>
      <c r="AS42" s="201"/>
      <c r="AT42" s="201"/>
      <c r="AU42" s="201"/>
      <c r="AV42" s="201"/>
      <c r="AW42" s="201"/>
      <c r="AX42" s="201"/>
    </row>
    <row r="43" spans="2:54">
      <c r="B43" s="186"/>
      <c r="C43" s="186"/>
      <c r="D43" s="226"/>
      <c r="E43" s="211"/>
      <c r="F43" s="186"/>
      <c r="G43" s="186"/>
      <c r="H43" s="186"/>
      <c r="AK43" s="195"/>
      <c r="AL43" s="195"/>
      <c r="AM43" s="195"/>
      <c r="AN43" s="260"/>
      <c r="AO43" s="195"/>
      <c r="AP43" s="195"/>
      <c r="AQ43" s="195"/>
      <c r="AR43" s="201"/>
      <c r="AS43" s="201"/>
      <c r="AT43" s="201"/>
      <c r="AU43" s="201"/>
      <c r="AV43" s="201"/>
      <c r="AW43" s="201"/>
      <c r="AX43" s="201"/>
    </row>
    <row r="44" spans="2:54">
      <c r="B44" s="186"/>
      <c r="C44" s="186"/>
      <c r="D44" s="226"/>
      <c r="E44" s="211"/>
      <c r="F44" s="186"/>
      <c r="G44" s="186"/>
      <c r="H44" s="186"/>
      <c r="AK44" s="195"/>
      <c r="AL44" s="195"/>
      <c r="AM44" s="195"/>
      <c r="AN44" s="260"/>
      <c r="AO44" s="195"/>
      <c r="AP44" s="195"/>
      <c r="AQ44" s="195"/>
      <c r="AR44" s="201"/>
      <c r="AS44" s="201"/>
      <c r="AT44" s="201"/>
      <c r="AU44" s="201"/>
      <c r="AV44" s="201"/>
      <c r="AW44" s="201"/>
      <c r="AX44" s="201"/>
    </row>
    <row r="45" spans="2:54">
      <c r="B45" s="186"/>
      <c r="C45" s="186"/>
      <c r="D45" s="226"/>
      <c r="E45" s="211"/>
      <c r="F45" s="186"/>
      <c r="G45" s="186"/>
      <c r="H45" s="186"/>
      <c r="AK45" s="195"/>
      <c r="AL45" s="195"/>
      <c r="AM45" s="195"/>
      <c r="AN45" s="260"/>
      <c r="AO45" s="195"/>
      <c r="AP45" s="195"/>
      <c r="AQ45" s="195"/>
      <c r="AR45" s="201"/>
      <c r="AS45" s="201"/>
      <c r="AT45" s="201"/>
      <c r="AU45" s="201"/>
      <c r="AV45" s="201"/>
      <c r="AW45" s="201"/>
      <c r="AX45" s="201"/>
    </row>
    <row r="46" spans="2:54">
      <c r="B46" s="186"/>
      <c r="C46" s="186"/>
      <c r="D46" s="226"/>
      <c r="E46" s="211"/>
      <c r="F46" s="186"/>
      <c r="G46" s="186"/>
      <c r="H46" s="186"/>
      <c r="AK46" s="195"/>
      <c r="AL46" s="195"/>
      <c r="AM46" s="195"/>
      <c r="AN46" s="260"/>
      <c r="AO46" s="195"/>
      <c r="AP46" s="195"/>
      <c r="AQ46" s="195"/>
      <c r="AR46" s="201"/>
      <c r="AS46" s="201"/>
      <c r="AT46" s="201"/>
      <c r="AU46" s="201"/>
      <c r="AV46" s="201"/>
      <c r="AW46" s="201"/>
      <c r="AX46" s="201"/>
    </row>
    <row r="47" spans="2:54">
      <c r="B47" s="186"/>
      <c r="C47" s="186"/>
      <c r="D47" s="226"/>
      <c r="E47" s="211"/>
      <c r="F47" s="186"/>
      <c r="G47" s="186"/>
      <c r="H47" s="186"/>
      <c r="AK47" s="195"/>
      <c r="AL47" s="195"/>
      <c r="AM47" s="195"/>
      <c r="AN47" s="260"/>
      <c r="AO47" s="195"/>
      <c r="AP47" s="195"/>
      <c r="AQ47" s="195"/>
      <c r="AR47" s="201"/>
      <c r="AS47" s="201"/>
      <c r="AT47" s="201"/>
      <c r="AU47" s="201"/>
      <c r="AV47" s="201"/>
      <c r="AW47" s="201"/>
      <c r="AX47" s="201"/>
    </row>
    <row r="48" spans="2:54">
      <c r="B48" s="186"/>
      <c r="C48" s="186"/>
      <c r="D48" s="226"/>
      <c r="E48" s="211"/>
      <c r="F48" s="186"/>
      <c r="G48" s="186"/>
      <c r="H48" s="186"/>
      <c r="AK48" s="195"/>
      <c r="AL48" s="195"/>
      <c r="AM48" s="195"/>
      <c r="AN48" s="260"/>
      <c r="AO48" s="195"/>
      <c r="AP48" s="195"/>
      <c r="AQ48" s="195"/>
      <c r="AR48" s="201"/>
      <c r="AS48" s="201"/>
      <c r="AT48" s="201"/>
      <c r="AU48" s="201"/>
      <c r="AV48" s="201"/>
      <c r="AW48" s="201"/>
      <c r="AX48" s="201"/>
    </row>
    <row r="49" spans="2:50">
      <c r="B49" s="186"/>
      <c r="C49" s="186"/>
      <c r="D49" s="226"/>
      <c r="E49" s="211"/>
      <c r="F49" s="186"/>
      <c r="G49" s="186"/>
      <c r="H49" s="186"/>
      <c r="AK49" s="195"/>
      <c r="AL49" s="195"/>
      <c r="AM49" s="195"/>
      <c r="AN49" s="260"/>
      <c r="AO49" s="195"/>
      <c r="AP49" s="195"/>
      <c r="AQ49" s="195"/>
      <c r="AR49" s="201"/>
      <c r="AS49" s="201"/>
      <c r="AT49" s="201"/>
      <c r="AU49" s="201"/>
      <c r="AV49" s="201"/>
      <c r="AW49" s="201"/>
      <c r="AX49" s="201"/>
    </row>
    <row r="50" spans="2:50">
      <c r="B50" s="186"/>
      <c r="C50" s="186"/>
      <c r="D50" s="226"/>
      <c r="E50" s="211"/>
      <c r="F50" s="186"/>
      <c r="G50" s="186"/>
      <c r="H50" s="186"/>
      <c r="AK50" s="195"/>
      <c r="AL50" s="195"/>
      <c r="AM50" s="195"/>
      <c r="AN50" s="260"/>
      <c r="AO50" s="195"/>
      <c r="AP50" s="195"/>
      <c r="AQ50" s="195"/>
      <c r="AR50" s="201"/>
      <c r="AS50" s="201"/>
      <c r="AT50" s="201"/>
      <c r="AU50" s="201"/>
      <c r="AV50" s="201"/>
      <c r="AW50" s="201"/>
      <c r="AX50" s="201"/>
    </row>
    <row r="51" spans="2:50">
      <c r="B51" s="186"/>
      <c r="C51" s="186"/>
      <c r="D51" s="226"/>
      <c r="E51" s="211"/>
      <c r="F51" s="186"/>
      <c r="G51" s="186"/>
      <c r="H51" s="186"/>
      <c r="AK51" s="195"/>
      <c r="AL51" s="195"/>
      <c r="AM51" s="195"/>
      <c r="AN51" s="260"/>
      <c r="AO51" s="195"/>
      <c r="AP51" s="195"/>
      <c r="AQ51" s="195"/>
      <c r="AR51" s="201"/>
      <c r="AS51" s="201"/>
      <c r="AT51" s="201"/>
      <c r="AU51" s="201"/>
      <c r="AV51" s="201"/>
      <c r="AW51" s="201"/>
      <c r="AX51" s="201"/>
    </row>
    <row r="52" spans="2:50">
      <c r="B52" s="186"/>
      <c r="C52" s="186"/>
      <c r="D52" s="226"/>
      <c r="E52" s="211"/>
      <c r="F52" s="186"/>
      <c r="G52" s="186"/>
      <c r="H52" s="186"/>
      <c r="AK52" s="195"/>
      <c r="AL52" s="195"/>
      <c r="AM52" s="195"/>
      <c r="AN52" s="260"/>
      <c r="AO52" s="195"/>
      <c r="AP52" s="195"/>
      <c r="AQ52" s="195"/>
      <c r="AR52" s="201"/>
      <c r="AS52" s="201"/>
      <c r="AT52" s="201"/>
      <c r="AU52" s="201"/>
      <c r="AV52" s="201"/>
      <c r="AW52" s="201"/>
      <c r="AX52" s="201"/>
    </row>
    <row r="53" spans="2:50">
      <c r="B53" s="186"/>
      <c r="C53" s="186"/>
      <c r="D53" s="226"/>
      <c r="E53" s="211"/>
      <c r="F53" s="186"/>
      <c r="G53" s="186"/>
      <c r="H53" s="186"/>
      <c r="AK53" s="195"/>
      <c r="AL53" s="195"/>
      <c r="AM53" s="195"/>
      <c r="AN53" s="260"/>
      <c r="AO53" s="195"/>
      <c r="AP53" s="195"/>
      <c r="AQ53" s="195"/>
      <c r="AR53" s="201"/>
      <c r="AS53" s="201"/>
      <c r="AT53" s="201"/>
      <c r="AU53" s="201"/>
      <c r="AV53" s="201"/>
      <c r="AW53" s="201"/>
      <c r="AX53" s="201"/>
    </row>
    <row r="54" spans="2:50">
      <c r="B54" s="186"/>
      <c r="C54" s="186"/>
      <c r="D54" s="226"/>
      <c r="E54" s="211"/>
      <c r="F54" s="186"/>
      <c r="G54" s="186"/>
      <c r="H54" s="186"/>
      <c r="AK54" s="195"/>
      <c r="AL54" s="195"/>
      <c r="AM54" s="195"/>
      <c r="AN54" s="260"/>
      <c r="AO54" s="195"/>
      <c r="AP54" s="195"/>
      <c r="AQ54" s="195"/>
      <c r="AR54" s="201"/>
      <c r="AS54" s="201"/>
      <c r="AT54" s="201"/>
      <c r="AU54" s="201"/>
      <c r="AV54" s="201"/>
      <c r="AW54" s="201"/>
      <c r="AX54" s="201"/>
    </row>
    <row r="55" spans="2:50">
      <c r="B55" s="186"/>
      <c r="C55" s="186"/>
      <c r="D55" s="226"/>
      <c r="E55" s="211"/>
      <c r="F55" s="186"/>
      <c r="G55" s="186"/>
      <c r="H55" s="186"/>
      <c r="AK55" s="195"/>
      <c r="AL55" s="195"/>
      <c r="AM55" s="195"/>
      <c r="AN55" s="260"/>
      <c r="AO55" s="195"/>
      <c r="AP55" s="195"/>
      <c r="AQ55" s="195"/>
      <c r="AR55" s="201"/>
      <c r="AS55" s="201"/>
      <c r="AT55" s="201"/>
      <c r="AU55" s="201"/>
      <c r="AV55" s="201"/>
      <c r="AW55" s="201"/>
      <c r="AX55" s="201"/>
    </row>
    <row r="56" spans="2:50">
      <c r="B56" s="186"/>
      <c r="C56" s="186"/>
      <c r="D56" s="226"/>
      <c r="E56" s="211"/>
      <c r="F56" s="186"/>
      <c r="G56" s="186"/>
      <c r="H56" s="186"/>
      <c r="AK56" s="195"/>
      <c r="AL56" s="195"/>
      <c r="AM56" s="195"/>
      <c r="AN56" s="260"/>
      <c r="AO56" s="195"/>
      <c r="AP56" s="195"/>
      <c r="AQ56" s="195"/>
      <c r="AR56" s="201"/>
      <c r="AS56" s="201"/>
      <c r="AT56" s="201"/>
      <c r="AU56" s="201"/>
      <c r="AV56" s="201"/>
      <c r="AW56" s="201"/>
      <c r="AX56" s="201"/>
    </row>
    <row r="57" spans="2:50">
      <c r="B57" s="186"/>
      <c r="C57" s="186"/>
      <c r="D57" s="226"/>
      <c r="E57" s="211"/>
      <c r="F57" s="186"/>
      <c r="G57" s="186"/>
      <c r="H57" s="186"/>
      <c r="AK57" s="195"/>
      <c r="AL57" s="195"/>
      <c r="AM57" s="195"/>
      <c r="AN57" s="260"/>
      <c r="AO57" s="195"/>
      <c r="AP57" s="195"/>
      <c r="AQ57" s="195"/>
      <c r="AR57" s="201"/>
      <c r="AS57" s="201"/>
      <c r="AT57" s="201"/>
      <c r="AU57" s="201"/>
      <c r="AV57" s="201"/>
      <c r="AW57" s="201"/>
      <c r="AX57" s="201"/>
    </row>
    <row r="58" spans="2:50">
      <c r="B58" s="186"/>
      <c r="C58" s="186"/>
      <c r="D58" s="226"/>
      <c r="E58" s="211"/>
      <c r="F58" s="186"/>
      <c r="G58" s="186"/>
      <c r="H58" s="186"/>
      <c r="AK58" s="195"/>
      <c r="AL58" s="195"/>
      <c r="AM58" s="195"/>
      <c r="AN58" s="260"/>
      <c r="AO58" s="195"/>
      <c r="AP58" s="195"/>
      <c r="AQ58" s="195"/>
      <c r="AR58" s="201"/>
      <c r="AS58" s="201"/>
      <c r="AT58" s="201"/>
      <c r="AU58" s="201"/>
      <c r="AV58" s="201"/>
      <c r="AW58" s="201"/>
      <c r="AX58" s="201"/>
    </row>
    <row r="59" spans="2:50">
      <c r="B59" s="186"/>
      <c r="C59" s="186"/>
      <c r="D59" s="226"/>
      <c r="E59" s="211"/>
      <c r="F59" s="186"/>
      <c r="G59" s="186"/>
      <c r="H59" s="186"/>
      <c r="AK59" s="195"/>
      <c r="AL59" s="195"/>
      <c r="AM59" s="195"/>
      <c r="AN59" s="260"/>
      <c r="AO59" s="195"/>
      <c r="AP59" s="195"/>
      <c r="AQ59" s="195"/>
      <c r="AR59" s="201"/>
      <c r="AS59" s="201"/>
      <c r="AT59" s="201"/>
      <c r="AU59" s="201"/>
      <c r="AV59" s="201"/>
      <c r="AW59" s="201"/>
      <c r="AX59" s="201"/>
    </row>
    <row r="60" spans="2:50">
      <c r="B60" s="186"/>
      <c r="C60" s="186"/>
      <c r="D60" s="226"/>
      <c r="E60" s="211"/>
      <c r="F60" s="186"/>
      <c r="G60" s="186"/>
      <c r="H60" s="186"/>
      <c r="AK60" s="195"/>
      <c r="AL60" s="195"/>
      <c r="AM60" s="195"/>
      <c r="AN60" s="260"/>
      <c r="AO60" s="195"/>
      <c r="AP60" s="195"/>
      <c r="AQ60" s="195"/>
      <c r="AR60" s="201"/>
      <c r="AS60" s="201"/>
      <c r="AT60" s="201"/>
      <c r="AU60" s="201"/>
      <c r="AV60" s="201"/>
      <c r="AW60" s="201"/>
      <c r="AX60" s="201"/>
    </row>
    <row r="61" spans="2:50">
      <c r="B61" s="186"/>
      <c r="C61" s="186"/>
      <c r="D61" s="226"/>
      <c r="E61" s="211"/>
      <c r="F61" s="186"/>
      <c r="G61" s="186"/>
      <c r="H61" s="186"/>
      <c r="AK61" s="195"/>
      <c r="AL61" s="195"/>
      <c r="AM61" s="195"/>
      <c r="AN61" s="260"/>
      <c r="AO61" s="195"/>
      <c r="AP61" s="195"/>
      <c r="AQ61" s="195"/>
      <c r="AR61" s="201"/>
      <c r="AS61" s="201"/>
      <c r="AT61" s="201"/>
      <c r="AU61" s="201"/>
      <c r="AV61" s="201"/>
      <c r="AW61" s="201"/>
      <c r="AX61" s="201"/>
    </row>
    <row r="62" spans="2:50">
      <c r="B62" s="186"/>
      <c r="C62" s="186"/>
      <c r="D62" s="226"/>
      <c r="E62" s="211"/>
      <c r="F62" s="186"/>
      <c r="G62" s="186"/>
      <c r="H62" s="186"/>
      <c r="AK62" s="195"/>
      <c r="AL62" s="195"/>
      <c r="AM62" s="195"/>
      <c r="AN62" s="260"/>
      <c r="AO62" s="195"/>
      <c r="AP62" s="195"/>
      <c r="AQ62" s="195"/>
      <c r="AR62" s="201"/>
      <c r="AS62" s="201"/>
      <c r="AT62" s="201"/>
      <c r="AU62" s="201"/>
      <c r="AV62" s="201"/>
      <c r="AW62" s="201"/>
      <c r="AX62" s="201"/>
    </row>
    <row r="63" spans="2:50">
      <c r="B63" s="186"/>
      <c r="C63" s="186"/>
      <c r="D63" s="226"/>
      <c r="E63" s="211"/>
      <c r="F63" s="186"/>
      <c r="G63" s="186"/>
      <c r="H63" s="186"/>
      <c r="AK63" s="195"/>
      <c r="AL63" s="195"/>
      <c r="AM63" s="195"/>
      <c r="AN63" s="260"/>
      <c r="AO63" s="195"/>
      <c r="AP63" s="195"/>
      <c r="AQ63" s="195"/>
      <c r="AR63" s="201"/>
      <c r="AS63" s="201"/>
      <c r="AT63" s="201"/>
      <c r="AU63" s="201"/>
      <c r="AV63" s="201"/>
      <c r="AW63" s="201"/>
      <c r="AX63" s="201"/>
    </row>
    <row r="64" spans="2:50">
      <c r="B64" s="186"/>
      <c r="C64" s="186"/>
      <c r="D64" s="226"/>
      <c r="E64" s="211"/>
      <c r="F64" s="186"/>
      <c r="G64" s="186"/>
      <c r="H64" s="186"/>
      <c r="AK64" s="195"/>
      <c r="AL64" s="195"/>
      <c r="AM64" s="195"/>
      <c r="AN64" s="260"/>
      <c r="AO64" s="195"/>
      <c r="AP64" s="195"/>
      <c r="AQ64" s="195"/>
      <c r="AR64" s="201"/>
      <c r="AS64" s="201"/>
      <c r="AT64" s="201"/>
      <c r="AU64" s="201"/>
      <c r="AV64" s="201"/>
      <c r="AW64" s="201"/>
      <c r="AX64" s="201"/>
    </row>
    <row r="65" spans="2:50">
      <c r="B65" s="186"/>
      <c r="C65" s="186"/>
      <c r="D65" s="226"/>
      <c r="E65" s="211"/>
      <c r="F65" s="186"/>
      <c r="G65" s="186"/>
      <c r="H65" s="186"/>
      <c r="AK65" s="195"/>
      <c r="AL65" s="195"/>
      <c r="AM65" s="195"/>
      <c r="AN65" s="260"/>
      <c r="AO65" s="195"/>
      <c r="AP65" s="195"/>
      <c r="AQ65" s="195"/>
      <c r="AR65" s="201"/>
      <c r="AS65" s="201"/>
      <c r="AT65" s="201"/>
      <c r="AU65" s="201"/>
      <c r="AV65" s="201"/>
      <c r="AW65" s="201"/>
      <c r="AX65" s="201"/>
    </row>
    <row r="66" spans="2:50">
      <c r="B66" s="186"/>
      <c r="C66" s="186"/>
      <c r="D66" s="226"/>
      <c r="E66" s="211"/>
      <c r="F66" s="186"/>
      <c r="G66" s="186"/>
      <c r="H66" s="186"/>
      <c r="AK66" s="195"/>
      <c r="AL66" s="195"/>
      <c r="AM66" s="195"/>
      <c r="AN66" s="260"/>
      <c r="AO66" s="195"/>
      <c r="AP66" s="195"/>
      <c r="AQ66" s="195"/>
      <c r="AR66" s="201"/>
      <c r="AS66" s="201"/>
      <c r="AT66" s="201"/>
      <c r="AU66" s="201"/>
      <c r="AV66" s="201"/>
      <c r="AW66" s="201"/>
      <c r="AX66" s="201"/>
    </row>
    <row r="67" spans="2:50">
      <c r="B67" s="186"/>
      <c r="C67" s="186"/>
      <c r="D67" s="226"/>
      <c r="E67" s="211"/>
      <c r="F67" s="186"/>
      <c r="G67" s="186"/>
      <c r="H67" s="186"/>
      <c r="AK67" s="195"/>
      <c r="AL67" s="195"/>
      <c r="AM67" s="195"/>
      <c r="AN67" s="260"/>
      <c r="AO67" s="195"/>
      <c r="AP67" s="195"/>
      <c r="AQ67" s="195"/>
      <c r="AR67" s="201"/>
      <c r="AS67" s="201"/>
      <c r="AT67" s="201"/>
      <c r="AU67" s="201"/>
      <c r="AV67" s="201"/>
      <c r="AW67" s="201"/>
      <c r="AX67" s="201"/>
    </row>
    <row r="68" spans="2:50">
      <c r="B68" s="186"/>
      <c r="C68" s="186"/>
      <c r="D68" s="226"/>
      <c r="E68" s="211"/>
      <c r="F68" s="186"/>
      <c r="G68" s="186"/>
      <c r="H68" s="186"/>
      <c r="AK68" s="195"/>
      <c r="AL68" s="195"/>
      <c r="AM68" s="195"/>
      <c r="AN68" s="260"/>
      <c r="AO68" s="195"/>
      <c r="AP68" s="195"/>
      <c r="AQ68" s="195"/>
      <c r="AR68" s="201"/>
      <c r="AS68" s="201"/>
      <c r="AT68" s="201"/>
      <c r="AU68" s="201"/>
      <c r="AV68" s="201"/>
      <c r="AW68" s="201"/>
      <c r="AX68" s="201"/>
    </row>
    <row r="69" spans="2:50">
      <c r="B69" s="186"/>
      <c r="C69" s="186"/>
      <c r="D69" s="226"/>
      <c r="E69" s="211"/>
      <c r="F69" s="186"/>
      <c r="G69" s="186"/>
      <c r="H69" s="186"/>
      <c r="AK69" s="195"/>
      <c r="AL69" s="195"/>
      <c r="AM69" s="195"/>
      <c r="AN69" s="260"/>
      <c r="AO69" s="195"/>
      <c r="AP69" s="195"/>
      <c r="AQ69" s="195"/>
      <c r="AR69" s="201"/>
      <c r="AS69" s="201"/>
      <c r="AT69" s="201"/>
      <c r="AU69" s="201"/>
      <c r="AV69" s="201"/>
      <c r="AW69" s="201"/>
      <c r="AX69" s="201"/>
    </row>
    <row r="70" spans="2:50">
      <c r="B70" s="186"/>
      <c r="C70" s="186"/>
      <c r="D70" s="226"/>
      <c r="E70" s="211"/>
      <c r="F70" s="186"/>
      <c r="G70" s="186"/>
      <c r="H70" s="186"/>
      <c r="AK70" s="195"/>
      <c r="AL70" s="195"/>
      <c r="AM70" s="195"/>
      <c r="AN70" s="260"/>
      <c r="AO70" s="195"/>
      <c r="AP70" s="195"/>
      <c r="AQ70" s="195"/>
      <c r="AR70" s="201"/>
      <c r="AS70" s="201"/>
      <c r="AT70" s="201"/>
      <c r="AU70" s="201"/>
      <c r="AV70" s="201"/>
      <c r="AW70" s="201"/>
      <c r="AX70" s="201"/>
    </row>
    <row r="71" spans="2:50">
      <c r="B71" s="186"/>
      <c r="C71" s="186"/>
      <c r="D71" s="226"/>
      <c r="E71" s="211"/>
      <c r="F71" s="186"/>
      <c r="G71" s="186"/>
      <c r="H71" s="186"/>
      <c r="AK71" s="195"/>
      <c r="AL71" s="195"/>
      <c r="AM71" s="195"/>
      <c r="AN71" s="260"/>
      <c r="AO71" s="195"/>
      <c r="AP71" s="195"/>
      <c r="AQ71" s="195"/>
      <c r="AR71" s="201"/>
      <c r="AS71" s="201"/>
      <c r="AT71" s="201"/>
      <c r="AU71" s="201"/>
      <c r="AV71" s="201"/>
      <c r="AW71" s="201"/>
      <c r="AX71" s="201"/>
    </row>
    <row r="72" spans="2:50">
      <c r="B72" s="186"/>
      <c r="C72" s="186"/>
      <c r="D72" s="226"/>
      <c r="E72" s="211"/>
      <c r="F72" s="186"/>
      <c r="G72" s="186"/>
      <c r="H72" s="186"/>
      <c r="AK72" s="195"/>
      <c r="AL72" s="195"/>
      <c r="AM72" s="195"/>
      <c r="AN72" s="260"/>
      <c r="AO72" s="195"/>
      <c r="AP72" s="195"/>
      <c r="AQ72" s="195"/>
      <c r="AR72" s="201"/>
      <c r="AS72" s="201"/>
      <c r="AT72" s="201"/>
      <c r="AU72" s="201"/>
      <c r="AV72" s="201"/>
      <c r="AW72" s="201"/>
      <c r="AX72" s="201"/>
    </row>
    <row r="73" spans="2:50">
      <c r="B73" s="186"/>
      <c r="C73" s="186"/>
      <c r="D73" s="226"/>
      <c r="E73" s="211"/>
      <c r="F73" s="186"/>
      <c r="G73" s="186"/>
      <c r="H73" s="186"/>
      <c r="AK73" s="195"/>
      <c r="AL73" s="195"/>
      <c r="AM73" s="195"/>
      <c r="AN73" s="260"/>
      <c r="AO73" s="195"/>
      <c r="AP73" s="195"/>
      <c r="AQ73" s="195"/>
      <c r="AR73" s="201"/>
      <c r="AS73" s="201"/>
      <c r="AT73" s="201"/>
      <c r="AU73" s="201"/>
      <c r="AV73" s="201"/>
      <c r="AW73" s="201"/>
      <c r="AX73" s="201"/>
    </row>
    <row r="74" spans="2:50">
      <c r="B74" s="186"/>
      <c r="C74" s="186"/>
      <c r="D74" s="226"/>
      <c r="E74" s="211"/>
      <c r="F74" s="186"/>
      <c r="G74" s="186"/>
      <c r="H74" s="186"/>
      <c r="AK74" s="195"/>
      <c r="AL74" s="195"/>
      <c r="AM74" s="195"/>
      <c r="AN74" s="260"/>
      <c r="AO74" s="195"/>
      <c r="AP74" s="195"/>
      <c r="AQ74" s="195"/>
      <c r="AR74" s="201"/>
      <c r="AS74" s="201"/>
      <c r="AT74" s="201"/>
      <c r="AU74" s="201"/>
      <c r="AV74" s="201"/>
      <c r="AW74" s="201"/>
      <c r="AX74" s="201"/>
    </row>
    <row r="75" spans="2:50">
      <c r="B75" s="186"/>
      <c r="C75" s="186"/>
      <c r="D75" s="226"/>
      <c r="E75" s="211"/>
      <c r="F75" s="186"/>
      <c r="G75" s="186"/>
      <c r="H75" s="186"/>
      <c r="AK75" s="195"/>
      <c r="AL75" s="195"/>
      <c r="AM75" s="195"/>
      <c r="AN75" s="260"/>
      <c r="AO75" s="195"/>
      <c r="AP75" s="195"/>
      <c r="AQ75" s="195"/>
      <c r="AR75" s="201"/>
      <c r="AS75" s="201"/>
      <c r="AT75" s="201"/>
      <c r="AU75" s="201"/>
      <c r="AV75" s="201"/>
      <c r="AW75" s="201"/>
      <c r="AX75" s="201"/>
    </row>
    <row r="76" spans="2:50">
      <c r="B76" s="186"/>
      <c r="C76" s="186"/>
      <c r="D76" s="226"/>
      <c r="E76" s="211"/>
      <c r="F76" s="186"/>
      <c r="G76" s="186"/>
      <c r="H76" s="186"/>
      <c r="AK76" s="195"/>
      <c r="AL76" s="195"/>
      <c r="AM76" s="195"/>
      <c r="AN76" s="260"/>
      <c r="AO76" s="195"/>
      <c r="AP76" s="195"/>
      <c r="AQ76" s="195"/>
      <c r="AR76" s="201"/>
      <c r="AS76" s="201"/>
      <c r="AT76" s="201"/>
      <c r="AU76" s="201"/>
      <c r="AV76" s="201"/>
      <c r="AW76" s="201"/>
      <c r="AX76" s="201"/>
    </row>
    <row r="77" spans="2:50">
      <c r="B77" s="186"/>
      <c r="C77" s="186"/>
      <c r="D77" s="226"/>
      <c r="E77" s="211"/>
      <c r="F77" s="186"/>
      <c r="G77" s="186"/>
      <c r="H77" s="186"/>
      <c r="AK77" s="195"/>
      <c r="AL77" s="195"/>
      <c r="AM77" s="195"/>
      <c r="AN77" s="260"/>
      <c r="AO77" s="195"/>
      <c r="AP77" s="195"/>
      <c r="AQ77" s="195"/>
      <c r="AR77" s="201"/>
      <c r="AS77" s="201"/>
      <c r="AT77" s="201"/>
      <c r="AU77" s="201"/>
      <c r="AV77" s="201"/>
      <c r="AW77" s="201"/>
      <c r="AX77" s="201"/>
    </row>
    <row r="78" spans="2:50">
      <c r="B78" s="186"/>
      <c r="C78" s="186"/>
      <c r="D78" s="226"/>
      <c r="E78" s="211"/>
      <c r="F78" s="186"/>
      <c r="G78" s="186"/>
      <c r="H78" s="186"/>
      <c r="AK78" s="195"/>
      <c r="AL78" s="195"/>
      <c r="AM78" s="195"/>
      <c r="AN78" s="260"/>
      <c r="AO78" s="195"/>
      <c r="AP78" s="195"/>
      <c r="AQ78" s="195"/>
      <c r="AR78" s="201"/>
      <c r="AS78" s="201"/>
      <c r="AT78" s="201"/>
      <c r="AU78" s="201"/>
      <c r="AV78" s="201"/>
      <c r="AW78" s="201"/>
      <c r="AX78" s="201"/>
    </row>
    <row r="79" spans="2:50">
      <c r="B79" s="186"/>
      <c r="C79" s="186"/>
      <c r="D79" s="226"/>
      <c r="E79" s="211"/>
      <c r="F79" s="186"/>
      <c r="G79" s="186"/>
      <c r="H79" s="186"/>
      <c r="AK79" s="195"/>
      <c r="AL79" s="195"/>
      <c r="AM79" s="195"/>
      <c r="AN79" s="260"/>
      <c r="AO79" s="195"/>
      <c r="AP79" s="195"/>
      <c r="AQ79" s="195"/>
      <c r="AR79" s="201"/>
      <c r="AS79" s="201"/>
      <c r="AT79" s="201"/>
      <c r="AU79" s="201"/>
      <c r="AV79" s="201"/>
      <c r="AW79" s="201"/>
      <c r="AX79" s="201"/>
    </row>
    <row r="80" spans="2:50">
      <c r="B80" s="186"/>
      <c r="C80" s="186"/>
      <c r="D80" s="226"/>
      <c r="E80" s="211"/>
      <c r="F80" s="186"/>
      <c r="G80" s="186"/>
      <c r="H80" s="186"/>
      <c r="AK80" s="195"/>
      <c r="AL80" s="195"/>
      <c r="AM80" s="195"/>
      <c r="AN80" s="260"/>
      <c r="AO80" s="195"/>
      <c r="AP80" s="195"/>
      <c r="AQ80" s="195"/>
      <c r="AR80" s="201"/>
      <c r="AS80" s="201"/>
      <c r="AT80" s="201"/>
      <c r="AU80" s="201"/>
      <c r="AV80" s="201"/>
      <c r="AW80" s="201"/>
      <c r="AX80" s="201"/>
    </row>
    <row r="81" spans="2:50">
      <c r="B81" s="186"/>
      <c r="C81" s="186"/>
      <c r="D81" s="226"/>
      <c r="E81" s="211"/>
      <c r="F81" s="186"/>
      <c r="G81" s="186"/>
      <c r="H81" s="186"/>
      <c r="AK81" s="195"/>
      <c r="AL81" s="195"/>
      <c r="AM81" s="195"/>
      <c r="AN81" s="260"/>
      <c r="AO81" s="195"/>
      <c r="AP81" s="195"/>
      <c r="AQ81" s="195"/>
      <c r="AR81" s="201"/>
      <c r="AS81" s="201"/>
      <c r="AT81" s="201"/>
      <c r="AU81" s="201"/>
      <c r="AV81" s="201"/>
      <c r="AW81" s="201"/>
      <c r="AX81" s="201"/>
    </row>
    <row r="82" spans="2:50">
      <c r="B82" s="186"/>
      <c r="C82" s="186"/>
      <c r="D82" s="226"/>
      <c r="E82" s="211"/>
      <c r="F82" s="186"/>
      <c r="G82" s="186"/>
      <c r="H82" s="186"/>
      <c r="AK82" s="195"/>
      <c r="AL82" s="195"/>
      <c r="AM82" s="195"/>
      <c r="AN82" s="260"/>
      <c r="AO82" s="195"/>
      <c r="AP82" s="195"/>
      <c r="AQ82" s="195"/>
      <c r="AR82" s="201"/>
      <c r="AS82" s="201"/>
      <c r="AT82" s="201"/>
      <c r="AU82" s="201"/>
      <c r="AV82" s="201"/>
      <c r="AW82" s="201"/>
      <c r="AX82" s="201"/>
    </row>
    <row r="83" spans="2:50">
      <c r="B83" s="186"/>
      <c r="C83" s="186"/>
      <c r="D83" s="226"/>
      <c r="E83" s="211"/>
      <c r="F83" s="186"/>
      <c r="G83" s="186"/>
      <c r="H83" s="186"/>
      <c r="AK83" s="195"/>
      <c r="AL83" s="195"/>
      <c r="AM83" s="195"/>
      <c r="AN83" s="260"/>
      <c r="AO83" s="195"/>
      <c r="AP83" s="195"/>
      <c r="AQ83" s="195"/>
      <c r="AR83" s="201"/>
      <c r="AS83" s="201"/>
      <c r="AT83" s="201"/>
      <c r="AU83" s="201"/>
      <c r="AV83" s="201"/>
      <c r="AW83" s="201"/>
      <c r="AX83" s="201"/>
    </row>
    <row r="84" spans="2:50">
      <c r="B84" s="186"/>
      <c r="C84" s="186"/>
      <c r="D84" s="226"/>
      <c r="E84" s="211"/>
      <c r="F84" s="186"/>
      <c r="G84" s="186"/>
      <c r="H84" s="186"/>
      <c r="AK84" s="195"/>
      <c r="AL84" s="195"/>
      <c r="AM84" s="195"/>
      <c r="AN84" s="260"/>
      <c r="AO84" s="195"/>
      <c r="AP84" s="195"/>
      <c r="AQ84" s="195"/>
      <c r="AR84" s="201"/>
      <c r="AS84" s="201"/>
      <c r="AT84" s="201"/>
      <c r="AU84" s="201"/>
      <c r="AV84" s="201"/>
      <c r="AW84" s="201"/>
      <c r="AX84" s="201"/>
    </row>
    <row r="85" spans="2:50">
      <c r="B85" s="186"/>
      <c r="C85" s="186"/>
      <c r="D85" s="226"/>
      <c r="E85" s="211"/>
      <c r="F85" s="186"/>
      <c r="G85" s="186"/>
      <c r="H85" s="186"/>
      <c r="AK85" s="195"/>
      <c r="AL85" s="195"/>
      <c r="AM85" s="195"/>
      <c r="AN85" s="260"/>
      <c r="AO85" s="195"/>
      <c r="AP85" s="195"/>
      <c r="AQ85" s="195"/>
      <c r="AR85" s="201"/>
      <c r="AS85" s="201"/>
      <c r="AT85" s="201"/>
      <c r="AU85" s="201"/>
      <c r="AV85" s="201"/>
      <c r="AW85" s="201"/>
      <c r="AX85" s="201"/>
    </row>
    <row r="86" spans="2:50">
      <c r="B86" s="186"/>
      <c r="C86" s="186"/>
      <c r="D86" s="226"/>
      <c r="E86" s="211"/>
      <c r="F86" s="186"/>
      <c r="G86" s="186"/>
      <c r="H86" s="186"/>
      <c r="AK86" s="195"/>
      <c r="AL86" s="195"/>
      <c r="AM86" s="195"/>
      <c r="AN86" s="260"/>
      <c r="AO86" s="195"/>
      <c r="AP86" s="195"/>
      <c r="AQ86" s="195"/>
      <c r="AR86" s="201"/>
      <c r="AS86" s="201"/>
      <c r="AT86" s="201"/>
      <c r="AU86" s="201"/>
      <c r="AV86" s="201"/>
      <c r="AW86" s="201"/>
      <c r="AX86" s="201"/>
    </row>
    <row r="87" spans="2:50">
      <c r="B87" s="186"/>
      <c r="C87" s="186"/>
      <c r="D87" s="226"/>
      <c r="E87" s="211"/>
      <c r="F87" s="186"/>
      <c r="G87" s="186"/>
      <c r="H87" s="186"/>
      <c r="AK87" s="195"/>
      <c r="AL87" s="195"/>
      <c r="AM87" s="195"/>
      <c r="AN87" s="260"/>
      <c r="AO87" s="195"/>
      <c r="AP87" s="195"/>
      <c r="AQ87" s="195"/>
      <c r="AR87" s="201"/>
      <c r="AS87" s="201"/>
      <c r="AT87" s="201"/>
      <c r="AU87" s="201"/>
      <c r="AV87" s="201"/>
      <c r="AW87" s="201"/>
      <c r="AX87" s="201"/>
    </row>
    <row r="88" spans="2:50">
      <c r="B88" s="186"/>
      <c r="C88" s="186"/>
      <c r="D88" s="226"/>
      <c r="E88" s="211"/>
      <c r="F88" s="186"/>
      <c r="G88" s="186"/>
      <c r="H88" s="186"/>
      <c r="AK88" s="195"/>
      <c r="AL88" s="195"/>
      <c r="AM88" s="195"/>
      <c r="AN88" s="260"/>
      <c r="AO88" s="195"/>
      <c r="AP88" s="195"/>
      <c r="AQ88" s="195"/>
      <c r="AR88" s="201"/>
      <c r="AS88" s="201"/>
      <c r="AT88" s="201"/>
      <c r="AU88" s="201"/>
      <c r="AV88" s="201"/>
      <c r="AW88" s="201"/>
      <c r="AX88" s="201"/>
    </row>
    <row r="89" spans="2:50">
      <c r="B89" s="186"/>
      <c r="C89" s="186"/>
      <c r="D89" s="226"/>
      <c r="E89" s="211"/>
      <c r="F89" s="186"/>
      <c r="G89" s="186"/>
      <c r="H89" s="186"/>
      <c r="AK89" s="195"/>
      <c r="AL89" s="195"/>
      <c r="AM89" s="195"/>
      <c r="AN89" s="260"/>
      <c r="AO89" s="195"/>
      <c r="AP89" s="195"/>
      <c r="AQ89" s="195"/>
      <c r="AR89" s="201"/>
      <c r="AS89" s="201"/>
      <c r="AT89" s="201"/>
      <c r="AU89" s="201"/>
      <c r="AV89" s="201"/>
      <c r="AW89" s="201"/>
      <c r="AX89" s="201"/>
    </row>
    <row r="90" spans="2:50">
      <c r="B90" s="186"/>
      <c r="C90" s="186"/>
      <c r="D90" s="226"/>
      <c r="E90" s="211"/>
      <c r="F90" s="186"/>
      <c r="G90" s="186"/>
      <c r="H90" s="186"/>
      <c r="AK90" s="195"/>
      <c r="AL90" s="195"/>
      <c r="AM90" s="195"/>
      <c r="AN90" s="260"/>
      <c r="AO90" s="195"/>
      <c r="AP90" s="195"/>
      <c r="AQ90" s="195"/>
      <c r="AR90" s="201"/>
      <c r="AS90" s="201"/>
      <c r="AT90" s="201"/>
      <c r="AU90" s="201"/>
      <c r="AV90" s="201"/>
      <c r="AW90" s="201"/>
      <c r="AX90" s="201"/>
    </row>
    <row r="91" spans="2:50">
      <c r="B91" s="186"/>
      <c r="C91" s="186"/>
      <c r="D91" s="226"/>
      <c r="E91" s="211"/>
      <c r="F91" s="186"/>
      <c r="G91" s="186"/>
      <c r="H91" s="186"/>
      <c r="AK91" s="195"/>
      <c r="AL91" s="195"/>
      <c r="AM91" s="195"/>
      <c r="AN91" s="260"/>
      <c r="AO91" s="195"/>
      <c r="AP91" s="195"/>
      <c r="AQ91" s="195"/>
      <c r="AR91" s="201"/>
      <c r="AS91" s="201"/>
      <c r="AT91" s="201"/>
      <c r="AU91" s="201"/>
      <c r="AV91" s="201"/>
      <c r="AW91" s="201"/>
      <c r="AX91" s="201"/>
    </row>
    <row r="92" spans="2:50">
      <c r="B92" s="186"/>
      <c r="C92" s="186"/>
      <c r="D92" s="226"/>
      <c r="E92" s="211"/>
      <c r="F92" s="186"/>
      <c r="G92" s="186"/>
      <c r="H92" s="186"/>
      <c r="AK92" s="195"/>
      <c r="AL92" s="195"/>
      <c r="AM92" s="195"/>
      <c r="AN92" s="260"/>
      <c r="AO92" s="195"/>
      <c r="AP92" s="195"/>
      <c r="AQ92" s="195"/>
      <c r="AR92" s="201"/>
      <c r="AS92" s="201"/>
      <c r="AT92" s="201"/>
      <c r="AU92" s="201"/>
      <c r="AV92" s="201"/>
      <c r="AW92" s="201"/>
      <c r="AX92" s="201"/>
    </row>
    <row r="93" spans="2:50">
      <c r="B93" s="186"/>
      <c r="C93" s="186"/>
      <c r="D93" s="226"/>
      <c r="E93" s="211"/>
      <c r="F93" s="186"/>
      <c r="G93" s="186"/>
      <c r="H93" s="186"/>
      <c r="AK93" s="195"/>
      <c r="AL93" s="195"/>
      <c r="AM93" s="195"/>
      <c r="AN93" s="260"/>
      <c r="AO93" s="195"/>
      <c r="AP93" s="195"/>
      <c r="AQ93" s="195"/>
      <c r="AR93" s="201"/>
      <c r="AS93" s="201"/>
      <c r="AT93" s="201"/>
      <c r="AU93" s="201"/>
      <c r="AV93" s="201"/>
      <c r="AW93" s="201"/>
      <c r="AX93" s="201"/>
    </row>
    <row r="94" spans="2:50">
      <c r="B94" s="186"/>
      <c r="C94" s="186"/>
      <c r="D94" s="226"/>
      <c r="E94" s="211"/>
      <c r="F94" s="186"/>
      <c r="G94" s="186"/>
      <c r="H94" s="186"/>
      <c r="AK94" s="195"/>
      <c r="AL94" s="195"/>
      <c r="AM94" s="195"/>
      <c r="AN94" s="260"/>
      <c r="AO94" s="195"/>
      <c r="AP94" s="195"/>
      <c r="AQ94" s="195"/>
      <c r="AR94" s="201"/>
      <c r="AS94" s="201"/>
      <c r="AT94" s="201"/>
      <c r="AU94" s="201"/>
      <c r="AV94" s="201"/>
      <c r="AW94" s="201"/>
      <c r="AX94" s="201"/>
    </row>
    <row r="95" spans="2:50">
      <c r="B95" s="186"/>
      <c r="C95" s="186"/>
      <c r="D95" s="226"/>
      <c r="E95" s="211"/>
      <c r="F95" s="186"/>
      <c r="G95" s="186"/>
      <c r="H95" s="186"/>
      <c r="AK95" s="195"/>
      <c r="AL95" s="195"/>
      <c r="AM95" s="195"/>
      <c r="AN95" s="260"/>
      <c r="AO95" s="195"/>
      <c r="AP95" s="195"/>
      <c r="AQ95" s="195"/>
      <c r="AR95" s="201"/>
      <c r="AS95" s="201"/>
      <c r="AT95" s="201"/>
      <c r="AU95" s="201"/>
      <c r="AV95" s="201"/>
      <c r="AW95" s="201"/>
      <c r="AX95" s="201"/>
    </row>
    <row r="96" spans="2:50">
      <c r="B96" s="186"/>
      <c r="C96" s="186"/>
      <c r="D96" s="226"/>
      <c r="E96" s="211"/>
      <c r="F96" s="186"/>
      <c r="G96" s="186"/>
      <c r="H96" s="186"/>
      <c r="AK96" s="195"/>
      <c r="AL96" s="195"/>
      <c r="AM96" s="195"/>
      <c r="AN96" s="260"/>
      <c r="AO96" s="195"/>
      <c r="AP96" s="195"/>
      <c r="AQ96" s="195"/>
      <c r="AR96" s="201"/>
      <c r="AS96" s="201"/>
      <c r="AT96" s="201"/>
      <c r="AU96" s="201"/>
      <c r="AV96" s="201"/>
      <c r="AW96" s="201"/>
      <c r="AX96" s="201"/>
    </row>
    <row r="97" spans="2:50">
      <c r="B97" s="186"/>
      <c r="C97" s="186"/>
      <c r="D97" s="226"/>
      <c r="E97" s="211"/>
      <c r="F97" s="186"/>
      <c r="G97" s="186"/>
      <c r="H97" s="186"/>
      <c r="AK97" s="195"/>
      <c r="AL97" s="195"/>
      <c r="AM97" s="195"/>
      <c r="AN97" s="260"/>
      <c r="AO97" s="195"/>
      <c r="AP97" s="195"/>
      <c r="AQ97" s="195"/>
      <c r="AR97" s="201"/>
      <c r="AS97" s="201"/>
      <c r="AT97" s="201"/>
      <c r="AU97" s="201"/>
      <c r="AV97" s="201"/>
      <c r="AW97" s="201"/>
      <c r="AX97" s="201"/>
    </row>
    <row r="98" spans="2:50">
      <c r="B98" s="186"/>
      <c r="C98" s="186"/>
      <c r="D98" s="226"/>
      <c r="E98" s="211"/>
      <c r="F98" s="186"/>
      <c r="G98" s="186"/>
      <c r="H98" s="186"/>
      <c r="AK98" s="195"/>
      <c r="AL98" s="195"/>
      <c r="AM98" s="195"/>
      <c r="AN98" s="260"/>
      <c r="AO98" s="195"/>
      <c r="AP98" s="195"/>
      <c r="AQ98" s="195"/>
      <c r="AR98" s="201"/>
      <c r="AS98" s="201"/>
      <c r="AT98" s="201"/>
      <c r="AU98" s="201"/>
      <c r="AV98" s="201"/>
      <c r="AW98" s="201"/>
      <c r="AX98" s="201"/>
    </row>
    <row r="99" spans="2:50">
      <c r="B99" s="186"/>
      <c r="C99" s="186"/>
      <c r="D99" s="226"/>
      <c r="E99" s="211"/>
      <c r="F99" s="186"/>
      <c r="G99" s="186"/>
      <c r="H99" s="186"/>
      <c r="AK99" s="195"/>
      <c r="AL99" s="195"/>
      <c r="AM99" s="195"/>
      <c r="AN99" s="260"/>
      <c r="AO99" s="195"/>
      <c r="AP99" s="195"/>
      <c r="AQ99" s="195"/>
      <c r="AR99" s="201"/>
      <c r="AS99" s="201"/>
      <c r="AT99" s="201"/>
      <c r="AU99" s="201"/>
      <c r="AV99" s="201"/>
      <c r="AW99" s="201"/>
      <c r="AX99" s="201"/>
    </row>
    <row r="100" spans="2:50">
      <c r="B100" s="186"/>
      <c r="C100" s="186"/>
      <c r="D100" s="226"/>
      <c r="E100" s="211"/>
      <c r="F100" s="186"/>
      <c r="G100" s="186"/>
      <c r="H100" s="186"/>
      <c r="AK100" s="195"/>
      <c r="AL100" s="195"/>
      <c r="AM100" s="195"/>
      <c r="AN100" s="260"/>
      <c r="AO100" s="195"/>
      <c r="AP100" s="195"/>
      <c r="AQ100" s="195"/>
      <c r="AR100" s="201"/>
      <c r="AS100" s="201"/>
      <c r="AT100" s="201"/>
      <c r="AU100" s="201"/>
      <c r="AV100" s="201"/>
      <c r="AW100" s="201"/>
      <c r="AX100" s="201"/>
    </row>
    <row r="101" spans="2:50">
      <c r="B101" s="186"/>
      <c r="C101" s="186"/>
      <c r="D101" s="226"/>
      <c r="E101" s="211"/>
      <c r="F101" s="186"/>
      <c r="G101" s="186"/>
      <c r="H101" s="186"/>
      <c r="AK101" s="195"/>
      <c r="AL101" s="195"/>
      <c r="AM101" s="195"/>
      <c r="AN101" s="260"/>
      <c r="AO101" s="195"/>
      <c r="AP101" s="195"/>
      <c r="AQ101" s="195"/>
      <c r="AR101" s="201"/>
      <c r="AS101" s="201"/>
      <c r="AT101" s="201"/>
      <c r="AU101" s="201"/>
      <c r="AV101" s="201"/>
      <c r="AW101" s="201"/>
      <c r="AX101" s="201"/>
    </row>
    <row r="102" spans="2:50">
      <c r="B102" s="186"/>
      <c r="C102" s="186"/>
      <c r="D102" s="226"/>
      <c r="E102" s="211"/>
      <c r="F102" s="186"/>
      <c r="G102" s="186"/>
      <c r="H102" s="186"/>
      <c r="AK102" s="195"/>
      <c r="AL102" s="195"/>
      <c r="AM102" s="195"/>
      <c r="AN102" s="260"/>
      <c r="AO102" s="195"/>
      <c r="AP102" s="195"/>
      <c r="AQ102" s="195"/>
      <c r="AR102" s="201"/>
      <c r="AS102" s="201"/>
      <c r="AT102" s="201"/>
      <c r="AU102" s="201"/>
      <c r="AV102" s="201"/>
      <c r="AW102" s="201"/>
      <c r="AX102" s="201"/>
    </row>
    <row r="103" spans="2:50">
      <c r="B103" s="186"/>
      <c r="C103" s="186"/>
      <c r="D103" s="226"/>
      <c r="E103" s="211"/>
      <c r="F103" s="186"/>
      <c r="G103" s="186"/>
      <c r="H103" s="186"/>
      <c r="AK103" s="195"/>
      <c r="AL103" s="195"/>
      <c r="AM103" s="195"/>
      <c r="AN103" s="260"/>
      <c r="AO103" s="195"/>
      <c r="AP103" s="195"/>
      <c r="AQ103" s="195"/>
      <c r="AR103" s="201"/>
      <c r="AS103" s="201"/>
      <c r="AT103" s="201"/>
      <c r="AU103" s="201"/>
      <c r="AV103" s="201"/>
      <c r="AW103" s="201"/>
      <c r="AX103" s="201"/>
    </row>
    <row r="104" spans="2:50">
      <c r="B104" s="186"/>
      <c r="C104" s="186"/>
      <c r="D104" s="226"/>
      <c r="E104" s="211"/>
      <c r="F104" s="186"/>
      <c r="G104" s="186"/>
      <c r="H104" s="186"/>
      <c r="AK104" s="195"/>
      <c r="AL104" s="195"/>
      <c r="AM104" s="195"/>
      <c r="AN104" s="260"/>
      <c r="AO104" s="195"/>
      <c r="AP104" s="195"/>
      <c r="AQ104" s="195"/>
      <c r="AR104" s="201"/>
      <c r="AS104" s="201"/>
      <c r="AT104" s="201"/>
      <c r="AU104" s="201"/>
      <c r="AV104" s="201"/>
      <c r="AW104" s="201"/>
      <c r="AX104" s="201"/>
    </row>
    <row r="105" spans="2:50">
      <c r="B105" s="186"/>
      <c r="C105" s="186"/>
      <c r="D105" s="226"/>
      <c r="E105" s="211"/>
      <c r="F105" s="186"/>
      <c r="G105" s="186"/>
      <c r="H105" s="186"/>
      <c r="AK105" s="195"/>
      <c r="AL105" s="195"/>
      <c r="AM105" s="195"/>
      <c r="AN105" s="260"/>
      <c r="AO105" s="195"/>
      <c r="AP105" s="195"/>
      <c r="AQ105" s="195"/>
      <c r="AR105" s="201"/>
      <c r="AS105" s="201"/>
      <c r="AT105" s="201"/>
      <c r="AU105" s="201"/>
      <c r="AV105" s="201"/>
      <c r="AW105" s="201"/>
      <c r="AX105" s="201"/>
    </row>
    <row r="106" spans="2:50">
      <c r="B106" s="186"/>
      <c r="C106" s="186"/>
      <c r="D106" s="226"/>
      <c r="E106" s="211"/>
      <c r="F106" s="186"/>
      <c r="G106" s="186"/>
      <c r="H106" s="186"/>
      <c r="AK106" s="195"/>
      <c r="AL106" s="195"/>
      <c r="AM106" s="195"/>
      <c r="AN106" s="260"/>
      <c r="AO106" s="195"/>
      <c r="AP106" s="195"/>
      <c r="AQ106" s="195"/>
      <c r="AR106" s="201"/>
      <c r="AS106" s="201"/>
      <c r="AT106" s="201"/>
      <c r="AU106" s="201"/>
      <c r="AV106" s="201"/>
      <c r="AW106" s="201"/>
      <c r="AX106" s="201"/>
    </row>
    <row r="107" spans="2:50">
      <c r="B107" s="186"/>
      <c r="C107" s="186"/>
      <c r="D107" s="226"/>
      <c r="E107" s="211"/>
      <c r="F107" s="186"/>
      <c r="G107" s="186"/>
      <c r="H107" s="186"/>
      <c r="AK107" s="195"/>
      <c r="AL107" s="195"/>
      <c r="AM107" s="195"/>
      <c r="AN107" s="260"/>
      <c r="AO107" s="195"/>
      <c r="AP107" s="195"/>
      <c r="AQ107" s="195"/>
      <c r="AR107" s="201"/>
      <c r="AS107" s="201"/>
      <c r="AT107" s="201"/>
      <c r="AU107" s="201"/>
      <c r="AV107" s="201"/>
      <c r="AW107" s="201"/>
      <c r="AX107" s="201"/>
    </row>
    <row r="108" spans="2:50">
      <c r="B108" s="186"/>
      <c r="C108" s="186"/>
      <c r="D108" s="226"/>
      <c r="E108" s="211"/>
      <c r="F108" s="186"/>
      <c r="G108" s="186"/>
      <c r="H108" s="186"/>
      <c r="AK108" s="195"/>
      <c r="AL108" s="195"/>
      <c r="AM108" s="195"/>
      <c r="AN108" s="260"/>
      <c r="AO108" s="195"/>
      <c r="AP108" s="195"/>
      <c r="AQ108" s="195"/>
      <c r="AR108" s="201"/>
      <c r="AS108" s="201"/>
      <c r="AT108" s="201"/>
      <c r="AU108" s="201"/>
      <c r="AV108" s="201"/>
      <c r="AW108" s="201"/>
      <c r="AX108" s="201"/>
    </row>
    <row r="109" spans="2:50">
      <c r="B109" s="186"/>
      <c r="C109" s="186"/>
      <c r="D109" s="226"/>
      <c r="E109" s="211"/>
      <c r="F109" s="186"/>
      <c r="G109" s="186"/>
      <c r="H109" s="186"/>
      <c r="AK109" s="195"/>
      <c r="AL109" s="195"/>
      <c r="AM109" s="195"/>
      <c r="AN109" s="260"/>
      <c r="AO109" s="195"/>
      <c r="AP109" s="195"/>
      <c r="AQ109" s="195"/>
      <c r="AR109" s="201"/>
      <c r="AS109" s="201"/>
      <c r="AT109" s="201"/>
      <c r="AU109" s="201"/>
      <c r="AV109" s="201"/>
      <c r="AW109" s="201"/>
      <c r="AX109" s="201"/>
    </row>
    <row r="110" spans="2:50">
      <c r="B110" s="186"/>
      <c r="C110" s="186"/>
      <c r="D110" s="226"/>
      <c r="E110" s="211"/>
      <c r="F110" s="186"/>
      <c r="G110" s="186"/>
      <c r="H110" s="186"/>
      <c r="AK110" s="195"/>
      <c r="AL110" s="195"/>
      <c r="AM110" s="195"/>
      <c r="AN110" s="260"/>
      <c r="AO110" s="195"/>
      <c r="AP110" s="195"/>
      <c r="AQ110" s="195"/>
      <c r="AR110" s="201"/>
      <c r="AS110" s="201"/>
      <c r="AT110" s="201"/>
      <c r="AU110" s="201"/>
      <c r="AV110" s="201"/>
      <c r="AW110" s="201"/>
      <c r="AX110" s="201"/>
    </row>
    <row r="111" spans="2:50">
      <c r="B111" s="186"/>
      <c r="C111" s="186"/>
      <c r="D111" s="226"/>
      <c r="E111" s="211"/>
      <c r="F111" s="186"/>
      <c r="G111" s="186"/>
      <c r="H111" s="186"/>
      <c r="AK111" s="195"/>
      <c r="AL111" s="195"/>
      <c r="AM111" s="195"/>
      <c r="AN111" s="260"/>
      <c r="AO111" s="195"/>
      <c r="AP111" s="195"/>
      <c r="AQ111" s="195"/>
      <c r="AR111" s="201"/>
      <c r="AS111" s="201"/>
      <c r="AT111" s="201"/>
      <c r="AU111" s="201"/>
      <c r="AV111" s="201"/>
      <c r="AW111" s="201"/>
      <c r="AX111" s="201"/>
    </row>
    <row r="112" spans="2:50">
      <c r="B112" s="186"/>
      <c r="C112" s="186"/>
      <c r="D112" s="226"/>
      <c r="E112" s="211"/>
      <c r="F112" s="186"/>
      <c r="G112" s="186"/>
      <c r="H112" s="186"/>
      <c r="AK112" s="195"/>
      <c r="AL112" s="195"/>
      <c r="AM112" s="195"/>
      <c r="AN112" s="260"/>
      <c r="AO112" s="195"/>
      <c r="AP112" s="195"/>
      <c r="AQ112" s="195"/>
      <c r="AR112" s="201"/>
      <c r="AS112" s="201"/>
      <c r="AT112" s="201"/>
      <c r="AU112" s="201"/>
      <c r="AV112" s="201"/>
      <c r="AW112" s="201"/>
      <c r="AX112" s="201"/>
    </row>
    <row r="113" spans="2:50">
      <c r="B113" s="186"/>
      <c r="C113" s="186"/>
      <c r="D113" s="226"/>
      <c r="E113" s="211"/>
      <c r="F113" s="186"/>
      <c r="G113" s="186"/>
      <c r="H113" s="186"/>
      <c r="AK113" s="195"/>
      <c r="AL113" s="195"/>
      <c r="AM113" s="195"/>
      <c r="AN113" s="260"/>
      <c r="AO113" s="195"/>
      <c r="AP113" s="195"/>
      <c r="AQ113" s="195"/>
      <c r="AR113" s="201"/>
      <c r="AS113" s="201"/>
      <c r="AT113" s="201"/>
      <c r="AU113" s="201"/>
      <c r="AV113" s="201"/>
      <c r="AW113" s="201"/>
      <c r="AX113" s="201"/>
    </row>
    <row r="114" spans="2:50">
      <c r="B114" s="186"/>
      <c r="C114" s="186"/>
      <c r="D114" s="226"/>
      <c r="E114" s="211"/>
      <c r="F114" s="186"/>
      <c r="G114" s="186"/>
      <c r="H114" s="186"/>
      <c r="AK114" s="195"/>
      <c r="AL114" s="195"/>
      <c r="AM114" s="195"/>
      <c r="AN114" s="260"/>
      <c r="AO114" s="195"/>
      <c r="AP114" s="195"/>
      <c r="AQ114" s="195"/>
      <c r="AR114" s="201"/>
      <c r="AS114" s="201"/>
      <c r="AT114" s="201"/>
      <c r="AU114" s="201"/>
      <c r="AV114" s="201"/>
      <c r="AW114" s="201"/>
      <c r="AX114" s="201"/>
    </row>
    <row r="115" spans="2:50">
      <c r="B115" s="186"/>
      <c r="C115" s="186"/>
      <c r="D115" s="226"/>
      <c r="E115" s="211"/>
      <c r="F115" s="186"/>
      <c r="G115" s="186"/>
      <c r="H115" s="186"/>
      <c r="AK115" s="195"/>
      <c r="AL115" s="195"/>
      <c r="AM115" s="195"/>
      <c r="AN115" s="260"/>
      <c r="AO115" s="195"/>
      <c r="AP115" s="195"/>
      <c r="AQ115" s="195"/>
      <c r="AR115" s="201"/>
      <c r="AS115" s="201"/>
      <c r="AT115" s="201"/>
      <c r="AU115" s="201"/>
      <c r="AV115" s="201"/>
      <c r="AW115" s="201"/>
      <c r="AX115" s="201"/>
    </row>
    <row r="116" spans="2:50">
      <c r="B116" s="186"/>
      <c r="C116" s="186"/>
      <c r="D116" s="226"/>
      <c r="E116" s="211"/>
      <c r="F116" s="186"/>
      <c r="G116" s="186"/>
      <c r="H116" s="186"/>
      <c r="AK116" s="195"/>
      <c r="AL116" s="195"/>
      <c r="AM116" s="195"/>
      <c r="AN116" s="260"/>
      <c r="AO116" s="195"/>
      <c r="AP116" s="195"/>
      <c r="AQ116" s="195"/>
      <c r="AR116" s="201"/>
      <c r="AS116" s="201"/>
      <c r="AT116" s="201"/>
      <c r="AU116" s="201"/>
      <c r="AV116" s="201"/>
      <c r="AW116" s="201"/>
      <c r="AX116" s="201"/>
    </row>
    <row r="117" spans="2:50">
      <c r="B117" s="186"/>
      <c r="C117" s="186"/>
      <c r="D117" s="226"/>
      <c r="E117" s="211"/>
      <c r="F117" s="186"/>
      <c r="G117" s="186"/>
      <c r="H117" s="186"/>
      <c r="AK117" s="195"/>
      <c r="AL117" s="195"/>
      <c r="AM117" s="195"/>
      <c r="AN117" s="260"/>
      <c r="AO117" s="195"/>
      <c r="AP117" s="195"/>
      <c r="AQ117" s="195"/>
      <c r="AR117" s="201"/>
      <c r="AS117" s="201"/>
      <c r="AT117" s="201"/>
      <c r="AU117" s="201"/>
      <c r="AV117" s="201"/>
      <c r="AW117" s="201"/>
      <c r="AX117" s="201"/>
    </row>
    <row r="118" spans="2:50">
      <c r="B118" s="186"/>
      <c r="C118" s="186"/>
      <c r="D118" s="226"/>
      <c r="E118" s="211"/>
      <c r="F118" s="186"/>
      <c r="G118" s="186"/>
      <c r="H118" s="186"/>
      <c r="AK118" s="195"/>
      <c r="AL118" s="195"/>
      <c r="AM118" s="195"/>
      <c r="AN118" s="260"/>
      <c r="AO118" s="195"/>
      <c r="AP118" s="195"/>
      <c r="AQ118" s="195"/>
      <c r="AR118" s="201"/>
      <c r="AS118" s="201"/>
      <c r="AT118" s="201"/>
      <c r="AU118" s="201"/>
      <c r="AV118" s="201"/>
      <c r="AW118" s="201"/>
      <c r="AX118" s="201"/>
    </row>
    <row r="119" spans="2:50">
      <c r="B119" s="186"/>
      <c r="C119" s="186"/>
      <c r="D119" s="226"/>
      <c r="E119" s="211"/>
      <c r="F119" s="186"/>
      <c r="G119" s="186"/>
      <c r="H119" s="186"/>
      <c r="AK119" s="195"/>
      <c r="AL119" s="195"/>
      <c r="AM119" s="195"/>
      <c r="AN119" s="260"/>
      <c r="AO119" s="195"/>
      <c r="AP119" s="195"/>
      <c r="AQ119" s="195"/>
      <c r="AR119" s="201"/>
      <c r="AS119" s="201"/>
      <c r="AT119" s="201"/>
      <c r="AU119" s="201"/>
      <c r="AV119" s="201"/>
      <c r="AW119" s="201"/>
      <c r="AX119" s="201"/>
    </row>
    <row r="120" spans="2:50">
      <c r="B120" s="186"/>
      <c r="C120" s="186"/>
      <c r="D120" s="226"/>
      <c r="E120" s="211"/>
      <c r="F120" s="186"/>
      <c r="G120" s="186"/>
      <c r="H120" s="186"/>
      <c r="AK120" s="195"/>
      <c r="AL120" s="195"/>
      <c r="AM120" s="195"/>
      <c r="AN120" s="260"/>
      <c r="AO120" s="195"/>
      <c r="AP120" s="195"/>
      <c r="AQ120" s="195"/>
      <c r="AR120" s="201"/>
      <c r="AS120" s="201"/>
      <c r="AT120" s="201"/>
      <c r="AU120" s="201"/>
      <c r="AV120" s="201"/>
      <c r="AW120" s="201"/>
      <c r="AX120" s="201"/>
    </row>
    <row r="121" spans="2:50">
      <c r="B121" s="186"/>
      <c r="C121" s="186"/>
      <c r="D121" s="226"/>
      <c r="E121" s="211"/>
      <c r="F121" s="186"/>
      <c r="G121" s="186"/>
      <c r="H121" s="186"/>
      <c r="AK121" s="195"/>
      <c r="AL121" s="195"/>
      <c r="AM121" s="195"/>
      <c r="AN121" s="260"/>
      <c r="AO121" s="195"/>
      <c r="AP121" s="195"/>
      <c r="AQ121" s="195"/>
      <c r="AR121" s="201"/>
      <c r="AS121" s="201"/>
      <c r="AT121" s="201"/>
      <c r="AU121" s="201"/>
      <c r="AV121" s="201"/>
      <c r="AW121" s="201"/>
      <c r="AX121" s="201"/>
    </row>
    <row r="122" spans="2:50">
      <c r="B122" s="186"/>
      <c r="C122" s="186"/>
      <c r="D122" s="226"/>
      <c r="E122" s="211"/>
      <c r="F122" s="186"/>
      <c r="G122" s="186"/>
      <c r="H122" s="186"/>
      <c r="AK122" s="195"/>
      <c r="AL122" s="195"/>
      <c r="AM122" s="195"/>
      <c r="AN122" s="260"/>
      <c r="AO122" s="195"/>
      <c r="AP122" s="195"/>
      <c r="AQ122" s="195"/>
      <c r="AR122" s="201"/>
      <c r="AS122" s="201"/>
      <c r="AT122" s="201"/>
      <c r="AU122" s="201"/>
      <c r="AV122" s="201"/>
      <c r="AW122" s="201"/>
      <c r="AX122" s="201"/>
    </row>
    <row r="123" spans="2:50">
      <c r="B123" s="186"/>
      <c r="C123" s="186"/>
      <c r="D123" s="226"/>
      <c r="E123" s="211"/>
      <c r="F123" s="186"/>
      <c r="G123" s="186"/>
      <c r="H123" s="186"/>
      <c r="AK123" s="195"/>
      <c r="AL123" s="195"/>
      <c r="AM123" s="195"/>
      <c r="AN123" s="260"/>
      <c r="AO123" s="195"/>
      <c r="AP123" s="195"/>
      <c r="AQ123" s="195"/>
      <c r="AR123" s="201"/>
      <c r="AS123" s="201"/>
      <c r="AT123" s="201"/>
      <c r="AU123" s="201"/>
      <c r="AV123" s="201"/>
      <c r="AW123" s="201"/>
      <c r="AX123" s="201"/>
    </row>
    <row r="124" spans="2:50">
      <c r="B124" s="186"/>
      <c r="C124" s="186"/>
      <c r="D124" s="226"/>
      <c r="E124" s="211"/>
      <c r="F124" s="186"/>
      <c r="G124" s="186"/>
      <c r="H124" s="186"/>
      <c r="AK124" s="195"/>
      <c r="AL124" s="195"/>
      <c r="AM124" s="195"/>
      <c r="AN124" s="260"/>
      <c r="AO124" s="195"/>
      <c r="AP124" s="195"/>
      <c r="AQ124" s="195"/>
      <c r="AR124" s="201"/>
      <c r="AS124" s="201"/>
      <c r="AT124" s="201"/>
      <c r="AU124" s="201"/>
      <c r="AV124" s="201"/>
      <c r="AW124" s="201"/>
      <c r="AX124" s="201"/>
    </row>
    <row r="125" spans="2:50">
      <c r="B125" s="186"/>
      <c r="C125" s="186"/>
      <c r="D125" s="226"/>
      <c r="E125" s="211"/>
      <c r="F125" s="186"/>
      <c r="G125" s="186"/>
      <c r="H125" s="186"/>
      <c r="AK125" s="195"/>
      <c r="AL125" s="195"/>
      <c r="AM125" s="195"/>
      <c r="AN125" s="260"/>
      <c r="AO125" s="195"/>
      <c r="AP125" s="195"/>
      <c r="AQ125" s="195"/>
      <c r="AR125" s="201"/>
      <c r="AS125" s="201"/>
      <c r="AT125" s="201"/>
      <c r="AU125" s="201"/>
      <c r="AV125" s="201"/>
      <c r="AW125" s="201"/>
      <c r="AX125" s="201"/>
    </row>
    <row r="126" spans="2:50">
      <c r="B126" s="186"/>
      <c r="C126" s="186"/>
      <c r="D126" s="226"/>
      <c r="E126" s="211"/>
      <c r="F126" s="186"/>
      <c r="G126" s="186"/>
      <c r="H126" s="186"/>
      <c r="AK126" s="195"/>
      <c r="AL126" s="195"/>
      <c r="AM126" s="195"/>
      <c r="AN126" s="260"/>
      <c r="AO126" s="195"/>
      <c r="AP126" s="195"/>
      <c r="AQ126" s="195"/>
      <c r="AR126" s="201"/>
      <c r="AS126" s="201"/>
      <c r="AT126" s="201"/>
      <c r="AU126" s="201"/>
      <c r="AV126" s="201"/>
      <c r="AW126" s="201"/>
      <c r="AX126" s="201"/>
    </row>
    <row r="127" spans="2:50">
      <c r="B127" s="186"/>
      <c r="C127" s="186"/>
      <c r="D127" s="226"/>
      <c r="E127" s="211"/>
      <c r="F127" s="186"/>
      <c r="G127" s="186"/>
      <c r="H127" s="186"/>
      <c r="AK127" s="195"/>
      <c r="AL127" s="195"/>
      <c r="AM127" s="195"/>
      <c r="AN127" s="260"/>
      <c r="AO127" s="195"/>
      <c r="AP127" s="195"/>
      <c r="AQ127" s="195"/>
      <c r="AR127" s="201"/>
      <c r="AS127" s="201"/>
      <c r="AT127" s="201"/>
      <c r="AU127" s="201"/>
      <c r="AV127" s="201"/>
      <c r="AW127" s="201"/>
      <c r="AX127" s="201"/>
    </row>
    <row r="128" spans="2:50">
      <c r="B128" s="186"/>
      <c r="C128" s="186"/>
      <c r="D128" s="226"/>
      <c r="E128" s="211"/>
      <c r="F128" s="186"/>
      <c r="G128" s="186"/>
      <c r="H128" s="186"/>
      <c r="AK128" s="195"/>
      <c r="AL128" s="195"/>
      <c r="AM128" s="195"/>
      <c r="AN128" s="260"/>
      <c r="AO128" s="195"/>
      <c r="AP128" s="195"/>
      <c r="AQ128" s="195"/>
      <c r="AR128" s="201"/>
      <c r="AS128" s="201"/>
      <c r="AT128" s="201"/>
      <c r="AU128" s="201"/>
      <c r="AV128" s="201"/>
      <c r="AW128" s="201"/>
      <c r="AX128" s="201"/>
    </row>
    <row r="129" spans="2:50">
      <c r="B129" s="186"/>
      <c r="C129" s="186"/>
      <c r="D129" s="226"/>
      <c r="E129" s="211"/>
      <c r="F129" s="186"/>
      <c r="G129" s="186"/>
      <c r="H129" s="186"/>
      <c r="AK129" s="195"/>
      <c r="AL129" s="195"/>
      <c r="AM129" s="195"/>
      <c r="AN129" s="260"/>
      <c r="AO129" s="195"/>
      <c r="AP129" s="195"/>
      <c r="AQ129" s="195"/>
      <c r="AR129" s="201"/>
      <c r="AS129" s="201"/>
      <c r="AT129" s="201"/>
      <c r="AU129" s="201"/>
      <c r="AV129" s="201"/>
      <c r="AW129" s="201"/>
      <c r="AX129" s="201"/>
    </row>
    <row r="130" spans="2:50">
      <c r="B130" s="186"/>
      <c r="C130" s="186"/>
      <c r="D130" s="226"/>
      <c r="E130" s="211"/>
      <c r="F130" s="186"/>
      <c r="G130" s="186"/>
      <c r="H130" s="186"/>
      <c r="AK130" s="195"/>
      <c r="AL130" s="195"/>
      <c r="AM130" s="195"/>
      <c r="AN130" s="260"/>
      <c r="AO130" s="195"/>
      <c r="AP130" s="195"/>
      <c r="AQ130" s="195"/>
      <c r="AR130" s="201"/>
      <c r="AS130" s="201"/>
      <c r="AT130" s="201"/>
      <c r="AU130" s="201"/>
      <c r="AV130" s="201"/>
      <c r="AW130" s="201"/>
      <c r="AX130" s="201"/>
    </row>
    <row r="131" spans="2:50">
      <c r="B131" s="186"/>
      <c r="C131" s="186"/>
      <c r="D131" s="226"/>
      <c r="E131" s="211"/>
      <c r="F131" s="186"/>
      <c r="G131" s="186"/>
      <c r="H131" s="186"/>
      <c r="AK131" s="195"/>
      <c r="AL131" s="195"/>
      <c r="AM131" s="195"/>
      <c r="AN131" s="260"/>
      <c r="AO131" s="195"/>
      <c r="AP131" s="195"/>
      <c r="AQ131" s="195"/>
      <c r="AR131" s="201"/>
      <c r="AS131" s="201"/>
      <c r="AT131" s="201"/>
      <c r="AU131" s="201"/>
      <c r="AV131" s="201"/>
      <c r="AW131" s="201"/>
      <c r="AX131" s="201"/>
    </row>
    <row r="132" spans="2:50">
      <c r="B132" s="186"/>
      <c r="C132" s="186"/>
      <c r="D132" s="226"/>
      <c r="E132" s="211"/>
      <c r="F132" s="186"/>
      <c r="G132" s="186"/>
      <c r="H132" s="186"/>
      <c r="AK132" s="195"/>
      <c r="AL132" s="195"/>
      <c r="AM132" s="195"/>
      <c r="AN132" s="260"/>
      <c r="AO132" s="195"/>
      <c r="AP132" s="195"/>
      <c r="AQ132" s="195"/>
      <c r="AR132" s="201"/>
      <c r="AS132" s="201"/>
      <c r="AT132" s="201"/>
      <c r="AU132" s="201"/>
      <c r="AV132" s="201"/>
      <c r="AW132" s="201"/>
      <c r="AX132" s="201"/>
    </row>
    <row r="133" spans="2:50">
      <c r="B133" s="186"/>
      <c r="C133" s="186"/>
      <c r="D133" s="226"/>
      <c r="E133" s="211"/>
      <c r="F133" s="186"/>
      <c r="G133" s="186"/>
      <c r="H133" s="186"/>
      <c r="AK133" s="195"/>
      <c r="AL133" s="195"/>
      <c r="AM133" s="195"/>
      <c r="AN133" s="260"/>
      <c r="AO133" s="195"/>
      <c r="AP133" s="195"/>
      <c r="AQ133" s="195"/>
      <c r="AR133" s="201"/>
      <c r="AS133" s="201"/>
      <c r="AT133" s="201"/>
      <c r="AU133" s="201"/>
      <c r="AV133" s="201"/>
      <c r="AW133" s="201"/>
      <c r="AX133" s="201"/>
    </row>
    <row r="134" spans="2:50">
      <c r="B134" s="186"/>
      <c r="C134" s="186"/>
      <c r="D134" s="226"/>
      <c r="E134" s="211"/>
      <c r="F134" s="186"/>
      <c r="G134" s="186"/>
      <c r="H134" s="186"/>
      <c r="AK134" s="195"/>
      <c r="AL134" s="195"/>
      <c r="AM134" s="195"/>
      <c r="AN134" s="260"/>
      <c r="AO134" s="195"/>
      <c r="AP134" s="195"/>
      <c r="AQ134" s="195"/>
      <c r="AR134" s="201"/>
      <c r="AS134" s="201"/>
      <c r="AT134" s="201"/>
      <c r="AU134" s="201"/>
      <c r="AV134" s="201"/>
      <c r="AW134" s="201"/>
      <c r="AX134" s="201"/>
    </row>
    <row r="135" spans="2:50">
      <c r="B135" s="186"/>
      <c r="C135" s="186"/>
      <c r="D135" s="226"/>
      <c r="E135" s="211"/>
      <c r="F135" s="186"/>
      <c r="G135" s="186"/>
      <c r="H135" s="186"/>
      <c r="AK135" s="195"/>
      <c r="AL135" s="195"/>
      <c r="AM135" s="195"/>
      <c r="AN135" s="260"/>
      <c r="AO135" s="195"/>
      <c r="AP135" s="195"/>
      <c r="AQ135" s="195"/>
      <c r="AR135" s="201"/>
      <c r="AS135" s="201"/>
      <c r="AT135" s="201"/>
      <c r="AU135" s="201"/>
      <c r="AV135" s="201"/>
      <c r="AW135" s="201"/>
      <c r="AX135" s="201"/>
    </row>
    <row r="136" spans="2:50">
      <c r="B136" s="186"/>
      <c r="C136" s="186"/>
      <c r="D136" s="226"/>
      <c r="E136" s="211"/>
      <c r="F136" s="186"/>
      <c r="G136" s="186"/>
      <c r="H136" s="186"/>
      <c r="AK136" s="195"/>
      <c r="AL136" s="195"/>
      <c r="AM136" s="195"/>
      <c r="AN136" s="260"/>
      <c r="AO136" s="195"/>
      <c r="AP136" s="195"/>
      <c r="AQ136" s="195"/>
      <c r="AR136" s="201"/>
      <c r="AS136" s="201"/>
      <c r="AT136" s="201"/>
      <c r="AU136" s="201"/>
      <c r="AV136" s="201"/>
      <c r="AW136" s="201"/>
      <c r="AX136" s="201"/>
    </row>
    <row r="137" spans="2:50">
      <c r="B137" s="186"/>
      <c r="C137" s="186"/>
      <c r="D137" s="226"/>
      <c r="E137" s="211"/>
      <c r="F137" s="186"/>
      <c r="G137" s="186"/>
      <c r="H137" s="186"/>
      <c r="AK137" s="195"/>
      <c r="AL137" s="195"/>
      <c r="AM137" s="195"/>
      <c r="AN137" s="260"/>
      <c r="AO137" s="195"/>
      <c r="AP137" s="195"/>
      <c r="AQ137" s="195"/>
      <c r="AR137" s="201"/>
      <c r="AS137" s="201"/>
      <c r="AT137" s="201"/>
      <c r="AU137" s="201"/>
      <c r="AV137" s="201"/>
      <c r="AW137" s="201"/>
      <c r="AX137" s="201"/>
    </row>
    <row r="138" spans="2:50">
      <c r="B138" s="186"/>
      <c r="C138" s="186"/>
      <c r="D138" s="226"/>
      <c r="E138" s="211"/>
      <c r="F138" s="186"/>
      <c r="G138" s="186"/>
      <c r="H138" s="186"/>
      <c r="AK138" s="195"/>
      <c r="AL138" s="195"/>
      <c r="AM138" s="195"/>
      <c r="AN138" s="260"/>
      <c r="AO138" s="195"/>
      <c r="AP138" s="195"/>
      <c r="AQ138" s="195"/>
      <c r="AR138" s="201"/>
      <c r="AS138" s="201"/>
      <c r="AT138" s="201"/>
      <c r="AU138" s="201"/>
      <c r="AV138" s="201"/>
      <c r="AW138" s="201"/>
      <c r="AX138" s="201"/>
    </row>
    <row r="139" spans="2:50">
      <c r="B139" s="186"/>
      <c r="C139" s="186"/>
      <c r="D139" s="226"/>
      <c r="E139" s="211"/>
      <c r="F139" s="186"/>
      <c r="G139" s="186"/>
      <c r="H139" s="186"/>
      <c r="AK139" s="195"/>
      <c r="AL139" s="195"/>
      <c r="AM139" s="195"/>
      <c r="AN139" s="260"/>
      <c r="AO139" s="195"/>
      <c r="AP139" s="195"/>
      <c r="AQ139" s="195"/>
      <c r="AR139" s="201"/>
      <c r="AS139" s="201"/>
      <c r="AT139" s="201"/>
      <c r="AU139" s="201"/>
      <c r="AV139" s="201"/>
      <c r="AW139" s="201"/>
      <c r="AX139" s="201"/>
    </row>
    <row r="140" spans="2:50">
      <c r="B140" s="186"/>
      <c r="C140" s="186"/>
      <c r="D140" s="226"/>
      <c r="E140" s="211"/>
      <c r="F140" s="186"/>
      <c r="G140" s="186"/>
      <c r="H140" s="186"/>
      <c r="AK140" s="195"/>
      <c r="AL140" s="195"/>
      <c r="AM140" s="195"/>
      <c r="AN140" s="260"/>
      <c r="AO140" s="195"/>
      <c r="AP140" s="195"/>
      <c r="AQ140" s="195"/>
      <c r="AR140" s="201"/>
      <c r="AS140" s="201"/>
      <c r="AT140" s="201"/>
      <c r="AU140" s="201"/>
      <c r="AV140" s="201"/>
      <c r="AW140" s="201"/>
      <c r="AX140" s="201"/>
    </row>
    <row r="141" spans="2:50">
      <c r="B141" s="186"/>
      <c r="C141" s="186"/>
      <c r="D141" s="226"/>
      <c r="E141" s="211"/>
      <c r="F141" s="186"/>
      <c r="G141" s="186"/>
      <c r="H141" s="186"/>
      <c r="AK141" s="195"/>
      <c r="AL141" s="195"/>
      <c r="AM141" s="195"/>
      <c r="AN141" s="260"/>
      <c r="AO141" s="195"/>
      <c r="AP141" s="195"/>
      <c r="AQ141" s="195"/>
      <c r="AR141" s="201"/>
      <c r="AS141" s="201"/>
      <c r="AT141" s="201"/>
      <c r="AU141" s="201"/>
      <c r="AV141" s="201"/>
      <c r="AW141" s="201"/>
      <c r="AX141" s="201"/>
    </row>
    <row r="142" spans="2:50">
      <c r="B142" s="186"/>
      <c r="C142" s="186"/>
      <c r="D142" s="226"/>
      <c r="E142" s="211"/>
      <c r="F142" s="186"/>
      <c r="G142" s="186"/>
      <c r="H142" s="186"/>
      <c r="AK142" s="195"/>
      <c r="AL142" s="195"/>
      <c r="AM142" s="195"/>
      <c r="AN142" s="260"/>
      <c r="AO142" s="195"/>
      <c r="AP142" s="195"/>
      <c r="AQ142" s="195"/>
      <c r="AR142" s="201"/>
      <c r="AS142" s="201"/>
      <c r="AT142" s="201"/>
      <c r="AU142" s="201"/>
      <c r="AV142" s="201"/>
      <c r="AW142" s="201"/>
      <c r="AX142" s="201"/>
    </row>
    <row r="143" spans="2:50">
      <c r="B143" s="186"/>
      <c r="C143" s="186"/>
      <c r="D143" s="226"/>
      <c r="E143" s="211"/>
      <c r="F143" s="186"/>
      <c r="G143" s="186"/>
      <c r="H143" s="186"/>
      <c r="AK143" s="195"/>
      <c r="AL143" s="195"/>
      <c r="AM143" s="195"/>
      <c r="AN143" s="260"/>
      <c r="AO143" s="195"/>
      <c r="AP143" s="195"/>
      <c r="AQ143" s="195"/>
      <c r="AR143" s="201"/>
      <c r="AS143" s="201"/>
      <c r="AT143" s="201"/>
      <c r="AU143" s="201"/>
      <c r="AV143" s="201"/>
      <c r="AW143" s="201"/>
      <c r="AX143" s="201"/>
    </row>
    <row r="144" spans="2:50">
      <c r="B144" s="186"/>
      <c r="C144" s="186"/>
      <c r="D144" s="226"/>
      <c r="E144" s="211"/>
      <c r="F144" s="186"/>
      <c r="G144" s="186"/>
      <c r="H144" s="186"/>
      <c r="AK144" s="195"/>
      <c r="AL144" s="195"/>
      <c r="AM144" s="195"/>
      <c r="AN144" s="260"/>
      <c r="AO144" s="195"/>
      <c r="AP144" s="195"/>
      <c r="AQ144" s="195"/>
      <c r="AR144" s="201"/>
      <c r="AS144" s="201"/>
      <c r="AT144" s="201"/>
      <c r="AU144" s="201"/>
      <c r="AV144" s="201"/>
      <c r="AW144" s="201"/>
      <c r="AX144" s="201"/>
    </row>
    <row r="145" spans="2:50">
      <c r="B145" s="186"/>
      <c r="C145" s="186"/>
      <c r="D145" s="226"/>
      <c r="E145" s="211"/>
      <c r="F145" s="186"/>
      <c r="G145" s="186"/>
      <c r="H145" s="186"/>
      <c r="AK145" s="195"/>
      <c r="AL145" s="195"/>
      <c r="AM145" s="195"/>
      <c r="AN145" s="260"/>
      <c r="AO145" s="195"/>
      <c r="AP145" s="195"/>
      <c r="AQ145" s="195"/>
      <c r="AR145" s="201"/>
      <c r="AS145" s="201"/>
      <c r="AT145" s="201"/>
      <c r="AU145" s="201"/>
      <c r="AV145" s="201"/>
      <c r="AW145" s="201"/>
      <c r="AX145" s="201"/>
    </row>
    <row r="146" spans="2:50">
      <c r="B146" s="186"/>
      <c r="C146" s="186"/>
      <c r="D146" s="226"/>
      <c r="E146" s="211"/>
      <c r="F146" s="186"/>
      <c r="G146" s="186"/>
      <c r="H146" s="186"/>
      <c r="AK146" s="195"/>
      <c r="AL146" s="195"/>
      <c r="AM146" s="195"/>
      <c r="AN146" s="260"/>
      <c r="AO146" s="195"/>
      <c r="AP146" s="195"/>
      <c r="AQ146" s="195"/>
      <c r="AR146" s="201"/>
      <c r="AS146" s="201"/>
      <c r="AT146" s="201"/>
      <c r="AU146" s="201"/>
      <c r="AV146" s="201"/>
      <c r="AW146" s="201"/>
      <c r="AX146" s="201"/>
    </row>
    <row r="147" spans="2:50">
      <c r="B147" s="186"/>
      <c r="C147" s="186"/>
      <c r="D147" s="226"/>
      <c r="E147" s="211"/>
      <c r="F147" s="186"/>
      <c r="G147" s="186"/>
      <c r="H147" s="186"/>
      <c r="AK147" s="195"/>
      <c r="AL147" s="195"/>
      <c r="AM147" s="195"/>
      <c r="AN147" s="260"/>
      <c r="AO147" s="195"/>
      <c r="AP147" s="195"/>
      <c r="AQ147" s="195"/>
      <c r="AR147" s="201"/>
      <c r="AS147" s="201"/>
      <c r="AT147" s="201"/>
      <c r="AU147" s="201"/>
      <c r="AV147" s="201"/>
      <c r="AW147" s="201"/>
      <c r="AX147" s="201"/>
    </row>
    <row r="148" spans="2:50">
      <c r="B148" s="186"/>
      <c r="C148" s="186"/>
      <c r="D148" s="226"/>
      <c r="E148" s="211"/>
      <c r="F148" s="186"/>
      <c r="G148" s="186"/>
      <c r="H148" s="186"/>
      <c r="AK148" s="195"/>
      <c r="AL148" s="195"/>
      <c r="AM148" s="195"/>
      <c r="AN148" s="260"/>
      <c r="AO148" s="195"/>
      <c r="AP148" s="195"/>
      <c r="AQ148" s="195"/>
      <c r="AR148" s="201"/>
      <c r="AS148" s="201"/>
      <c r="AT148" s="201"/>
      <c r="AU148" s="201"/>
      <c r="AV148" s="201"/>
      <c r="AW148" s="201"/>
      <c r="AX148" s="201"/>
    </row>
    <row r="149" spans="2:50">
      <c r="B149" s="186"/>
      <c r="C149" s="186"/>
      <c r="D149" s="226"/>
      <c r="E149" s="211"/>
      <c r="F149" s="186"/>
      <c r="G149" s="186"/>
      <c r="H149" s="186"/>
      <c r="AK149" s="195"/>
      <c r="AL149" s="195"/>
      <c r="AM149" s="195"/>
      <c r="AN149" s="260"/>
      <c r="AO149" s="195"/>
      <c r="AP149" s="195"/>
      <c r="AQ149" s="195"/>
      <c r="AR149" s="201"/>
      <c r="AS149" s="201"/>
      <c r="AT149" s="201"/>
      <c r="AU149" s="201"/>
      <c r="AV149" s="201"/>
      <c r="AW149" s="201"/>
      <c r="AX149" s="201"/>
    </row>
    <row r="150" spans="2:50">
      <c r="B150" s="186"/>
      <c r="C150" s="186"/>
      <c r="D150" s="226"/>
      <c r="E150" s="211"/>
      <c r="F150" s="186"/>
      <c r="G150" s="186"/>
      <c r="H150" s="186"/>
      <c r="AK150" s="195"/>
      <c r="AL150" s="195"/>
      <c r="AM150" s="195"/>
      <c r="AN150" s="260"/>
      <c r="AO150" s="195"/>
      <c r="AP150" s="195"/>
      <c r="AQ150" s="195"/>
      <c r="AR150" s="201"/>
      <c r="AS150" s="201"/>
      <c r="AT150" s="201"/>
      <c r="AU150" s="201"/>
      <c r="AV150" s="201"/>
      <c r="AW150" s="201"/>
      <c r="AX150" s="201"/>
    </row>
    <row r="151" spans="2:50">
      <c r="B151" s="186"/>
      <c r="C151" s="186"/>
      <c r="D151" s="226"/>
      <c r="E151" s="211"/>
      <c r="F151" s="186"/>
      <c r="G151" s="186"/>
      <c r="H151" s="186"/>
      <c r="AK151" s="195"/>
      <c r="AL151" s="195"/>
      <c r="AM151" s="195"/>
      <c r="AN151" s="260"/>
      <c r="AO151" s="195"/>
      <c r="AP151" s="195"/>
      <c r="AQ151" s="195"/>
      <c r="AR151" s="201"/>
      <c r="AS151" s="201"/>
      <c r="AT151" s="201"/>
      <c r="AU151" s="201"/>
      <c r="AV151" s="201"/>
      <c r="AW151" s="201"/>
      <c r="AX151" s="201"/>
    </row>
    <row r="152" spans="2:50">
      <c r="B152" s="186"/>
      <c r="C152" s="186"/>
      <c r="D152" s="226"/>
      <c r="E152" s="211"/>
      <c r="F152" s="186"/>
      <c r="G152" s="186"/>
      <c r="H152" s="186"/>
      <c r="AK152" s="195"/>
      <c r="AL152" s="195"/>
      <c r="AM152" s="195"/>
      <c r="AN152" s="260"/>
      <c r="AO152" s="195"/>
      <c r="AP152" s="195"/>
      <c r="AQ152" s="195"/>
      <c r="AR152" s="201"/>
      <c r="AS152" s="201"/>
      <c r="AT152" s="201"/>
      <c r="AU152" s="201"/>
      <c r="AV152" s="201"/>
      <c r="AW152" s="201"/>
      <c r="AX152" s="201"/>
    </row>
    <row r="153" spans="2:50">
      <c r="B153" s="186"/>
      <c r="C153" s="186"/>
      <c r="D153" s="226"/>
      <c r="E153" s="211"/>
      <c r="F153" s="186"/>
      <c r="G153" s="186"/>
      <c r="H153" s="186"/>
      <c r="AK153" s="195"/>
      <c r="AL153" s="195"/>
      <c r="AM153" s="195"/>
      <c r="AN153" s="260"/>
      <c r="AO153" s="195"/>
      <c r="AP153" s="195"/>
      <c r="AQ153" s="195"/>
      <c r="AR153" s="201"/>
      <c r="AS153" s="201"/>
      <c r="AT153" s="201"/>
      <c r="AU153" s="201"/>
      <c r="AV153" s="201"/>
      <c r="AW153" s="201"/>
      <c r="AX153" s="201"/>
    </row>
    <row r="154" spans="2:50">
      <c r="B154" s="186"/>
      <c r="C154" s="186"/>
      <c r="D154" s="226"/>
      <c r="E154" s="211"/>
      <c r="F154" s="186"/>
      <c r="G154" s="186"/>
      <c r="H154" s="186"/>
      <c r="AK154" s="195"/>
      <c r="AL154" s="195"/>
      <c r="AM154" s="195"/>
      <c r="AN154" s="260"/>
      <c r="AO154" s="195"/>
      <c r="AP154" s="195"/>
      <c r="AQ154" s="195"/>
      <c r="AR154" s="201"/>
      <c r="AS154" s="201"/>
      <c r="AT154" s="201"/>
      <c r="AU154" s="201"/>
      <c r="AV154" s="201"/>
      <c r="AW154" s="201"/>
      <c r="AX154" s="201"/>
    </row>
    <row r="155" spans="2:50">
      <c r="B155" s="186"/>
      <c r="C155" s="186"/>
      <c r="D155" s="226"/>
      <c r="E155" s="211"/>
      <c r="F155" s="186"/>
      <c r="G155" s="186"/>
      <c r="H155" s="186"/>
      <c r="AK155" s="195"/>
      <c r="AL155" s="195"/>
      <c r="AM155" s="195"/>
      <c r="AN155" s="260"/>
      <c r="AO155" s="195"/>
      <c r="AP155" s="195"/>
      <c r="AQ155" s="195"/>
      <c r="AR155" s="201"/>
      <c r="AS155" s="201"/>
      <c r="AT155" s="201"/>
      <c r="AU155" s="201"/>
      <c r="AV155" s="201"/>
      <c r="AW155" s="201"/>
      <c r="AX155" s="201"/>
    </row>
    <row r="156" spans="2:50">
      <c r="B156" s="186"/>
      <c r="C156" s="186"/>
      <c r="D156" s="226"/>
      <c r="E156" s="211"/>
      <c r="F156" s="186"/>
      <c r="G156" s="186"/>
      <c r="H156" s="186"/>
      <c r="AK156" s="195"/>
      <c r="AL156" s="195"/>
      <c r="AM156" s="195"/>
      <c r="AN156" s="260"/>
      <c r="AO156" s="195"/>
      <c r="AP156" s="195"/>
      <c r="AQ156" s="195"/>
      <c r="AR156" s="201"/>
      <c r="AS156" s="201"/>
      <c r="AT156" s="201"/>
      <c r="AU156" s="201"/>
      <c r="AV156" s="201"/>
      <c r="AW156" s="201"/>
      <c r="AX156" s="201"/>
    </row>
    <row r="157" spans="2:50">
      <c r="B157" s="186"/>
      <c r="C157" s="186"/>
      <c r="D157" s="226"/>
      <c r="E157" s="211"/>
      <c r="F157" s="186"/>
      <c r="G157" s="186"/>
      <c r="H157" s="186"/>
      <c r="AK157" s="195"/>
      <c r="AL157" s="195"/>
      <c r="AM157" s="195"/>
      <c r="AN157" s="260"/>
      <c r="AO157" s="195"/>
      <c r="AP157" s="195"/>
      <c r="AQ157" s="195"/>
      <c r="AR157" s="201"/>
      <c r="AS157" s="201"/>
      <c r="AT157" s="201"/>
      <c r="AU157" s="201"/>
      <c r="AV157" s="201"/>
      <c r="AW157" s="201"/>
      <c r="AX157" s="201"/>
    </row>
    <row r="158" spans="2:50">
      <c r="B158" s="186"/>
      <c r="C158" s="186"/>
      <c r="D158" s="226"/>
      <c r="E158" s="211"/>
      <c r="F158" s="186"/>
      <c r="G158" s="186"/>
      <c r="H158" s="186"/>
      <c r="AK158" s="195"/>
      <c r="AL158" s="195"/>
      <c r="AM158" s="195"/>
      <c r="AN158" s="260"/>
      <c r="AO158" s="195"/>
      <c r="AP158" s="195"/>
      <c r="AQ158" s="195"/>
      <c r="AR158" s="201"/>
      <c r="AS158" s="201"/>
      <c r="AT158" s="201"/>
      <c r="AU158" s="201"/>
      <c r="AV158" s="201"/>
      <c r="AW158" s="201"/>
      <c r="AX158" s="201"/>
    </row>
    <row r="159" spans="2:50">
      <c r="B159" s="186"/>
      <c r="C159" s="186"/>
      <c r="D159" s="226"/>
      <c r="E159" s="211"/>
      <c r="F159" s="186"/>
      <c r="G159" s="186"/>
      <c r="H159" s="186"/>
      <c r="AK159" s="195"/>
      <c r="AL159" s="195"/>
      <c r="AM159" s="195"/>
      <c r="AN159" s="260"/>
      <c r="AO159" s="195"/>
      <c r="AP159" s="195"/>
      <c r="AQ159" s="195"/>
      <c r="AR159" s="201"/>
      <c r="AS159" s="201"/>
      <c r="AT159" s="201"/>
      <c r="AU159" s="201"/>
      <c r="AV159" s="201"/>
      <c r="AW159" s="201"/>
      <c r="AX159" s="201"/>
    </row>
    <row r="160" spans="2:50">
      <c r="B160" s="186"/>
      <c r="C160" s="186"/>
      <c r="D160" s="226"/>
      <c r="E160" s="211"/>
      <c r="F160" s="186"/>
      <c r="G160" s="186"/>
      <c r="H160" s="186"/>
      <c r="AK160" s="195"/>
      <c r="AL160" s="195"/>
      <c r="AM160" s="195"/>
      <c r="AN160" s="260"/>
      <c r="AO160" s="195"/>
      <c r="AP160" s="195"/>
      <c r="AQ160" s="195"/>
      <c r="AR160" s="201"/>
      <c r="AS160" s="201"/>
      <c r="AT160" s="201"/>
      <c r="AU160" s="201"/>
      <c r="AV160" s="201"/>
      <c r="AW160" s="201"/>
      <c r="AX160" s="201"/>
    </row>
    <row r="161" spans="2:50">
      <c r="B161" s="186"/>
      <c r="C161" s="186"/>
      <c r="D161" s="226"/>
      <c r="E161" s="211"/>
      <c r="F161" s="186"/>
      <c r="G161" s="186"/>
      <c r="H161" s="186"/>
      <c r="AK161" s="195"/>
      <c r="AL161" s="195"/>
      <c r="AM161" s="195"/>
      <c r="AN161" s="260"/>
      <c r="AO161" s="195"/>
      <c r="AP161" s="195"/>
      <c r="AQ161" s="195"/>
      <c r="AR161" s="201"/>
      <c r="AS161" s="201"/>
      <c r="AT161" s="201"/>
      <c r="AU161" s="201"/>
      <c r="AV161" s="201"/>
      <c r="AW161" s="201"/>
      <c r="AX161" s="201"/>
    </row>
    <row r="162" spans="2:50">
      <c r="B162" s="186"/>
      <c r="C162" s="186"/>
      <c r="D162" s="226"/>
      <c r="E162" s="211"/>
      <c r="F162" s="186"/>
      <c r="G162" s="186"/>
      <c r="H162" s="186"/>
      <c r="AK162" s="195"/>
      <c r="AL162" s="195"/>
      <c r="AM162" s="195"/>
      <c r="AN162" s="260"/>
      <c r="AO162" s="195"/>
      <c r="AP162" s="195"/>
      <c r="AQ162" s="195"/>
      <c r="AR162" s="201"/>
      <c r="AS162" s="201"/>
      <c r="AT162" s="201"/>
      <c r="AU162" s="201"/>
      <c r="AV162" s="201"/>
      <c r="AW162" s="201"/>
      <c r="AX162" s="201"/>
    </row>
    <row r="163" spans="2:50">
      <c r="B163" s="186"/>
      <c r="C163" s="186"/>
      <c r="D163" s="226"/>
      <c r="E163" s="211"/>
      <c r="F163" s="186"/>
      <c r="G163" s="186"/>
      <c r="H163" s="186"/>
      <c r="AK163" s="195"/>
      <c r="AL163" s="195"/>
      <c r="AM163" s="195"/>
      <c r="AN163" s="260"/>
      <c r="AO163" s="195"/>
      <c r="AP163" s="195"/>
      <c r="AQ163" s="195"/>
      <c r="AR163" s="201"/>
      <c r="AS163" s="201"/>
      <c r="AT163" s="201"/>
      <c r="AU163" s="201"/>
      <c r="AV163" s="201"/>
      <c r="AW163" s="201"/>
      <c r="AX163" s="201"/>
    </row>
    <row r="164" spans="2:50">
      <c r="B164" s="186"/>
      <c r="C164" s="186"/>
      <c r="D164" s="226"/>
      <c r="E164" s="211"/>
      <c r="F164" s="186"/>
      <c r="G164" s="186"/>
      <c r="H164" s="186"/>
      <c r="AK164" s="195"/>
      <c r="AL164" s="195"/>
      <c r="AM164" s="195"/>
      <c r="AN164" s="260"/>
      <c r="AO164" s="195"/>
      <c r="AP164" s="195"/>
      <c r="AQ164" s="195"/>
      <c r="AR164" s="201"/>
      <c r="AS164" s="201"/>
      <c r="AT164" s="201"/>
      <c r="AU164" s="201"/>
      <c r="AV164" s="201"/>
      <c r="AW164" s="201"/>
      <c r="AX164" s="201"/>
    </row>
    <row r="165" spans="2:50">
      <c r="B165" s="186"/>
      <c r="C165" s="186"/>
      <c r="D165" s="226"/>
      <c r="E165" s="211"/>
      <c r="F165" s="186"/>
      <c r="G165" s="186"/>
      <c r="H165" s="186"/>
      <c r="AK165" s="195"/>
      <c r="AL165" s="195"/>
      <c r="AM165" s="195"/>
      <c r="AN165" s="260"/>
      <c r="AO165" s="195"/>
      <c r="AP165" s="195"/>
      <c r="AQ165" s="195"/>
      <c r="AR165" s="201"/>
      <c r="AS165" s="201"/>
      <c r="AT165" s="201"/>
      <c r="AU165" s="201"/>
      <c r="AV165" s="201"/>
      <c r="AW165" s="201"/>
      <c r="AX165" s="201"/>
    </row>
    <row r="166" spans="2:50">
      <c r="B166" s="186"/>
      <c r="C166" s="186"/>
      <c r="D166" s="226"/>
      <c r="E166" s="211"/>
      <c r="F166" s="186"/>
      <c r="G166" s="186"/>
      <c r="H166" s="186"/>
      <c r="AK166" s="195"/>
      <c r="AL166" s="195"/>
      <c r="AM166" s="195"/>
      <c r="AN166" s="260"/>
      <c r="AO166" s="195"/>
      <c r="AP166" s="195"/>
      <c r="AQ166" s="195"/>
      <c r="AR166" s="201"/>
      <c r="AS166" s="201"/>
      <c r="AT166" s="201"/>
      <c r="AU166" s="201"/>
      <c r="AV166" s="201"/>
      <c r="AW166" s="201"/>
      <c r="AX166" s="201"/>
    </row>
    <row r="167" spans="2:50">
      <c r="B167" s="186"/>
      <c r="C167" s="186"/>
      <c r="D167" s="226"/>
      <c r="E167" s="211"/>
      <c r="F167" s="186"/>
      <c r="G167" s="186"/>
      <c r="H167" s="186"/>
      <c r="AK167" s="195"/>
      <c r="AL167" s="195"/>
      <c r="AM167" s="195"/>
      <c r="AN167" s="260"/>
      <c r="AO167" s="195"/>
      <c r="AP167" s="195"/>
      <c r="AQ167" s="195"/>
      <c r="AR167" s="201"/>
      <c r="AS167" s="201"/>
      <c r="AT167" s="201"/>
      <c r="AU167" s="201"/>
      <c r="AV167" s="201"/>
      <c r="AW167" s="201"/>
      <c r="AX167" s="201"/>
    </row>
    <row r="168" spans="2:50">
      <c r="B168" s="186"/>
      <c r="C168" s="186"/>
      <c r="D168" s="226"/>
      <c r="E168" s="211"/>
      <c r="F168" s="186"/>
      <c r="G168" s="186"/>
      <c r="H168" s="186"/>
      <c r="AK168" s="195"/>
      <c r="AL168" s="195"/>
      <c r="AM168" s="195"/>
      <c r="AN168" s="260"/>
      <c r="AO168" s="195"/>
      <c r="AP168" s="195"/>
      <c r="AQ168" s="195"/>
      <c r="AR168" s="201"/>
      <c r="AS168" s="201"/>
      <c r="AT168" s="201"/>
      <c r="AU168" s="201"/>
      <c r="AV168" s="201"/>
      <c r="AW168" s="201"/>
      <c r="AX168" s="201"/>
    </row>
    <row r="169" spans="2:50">
      <c r="B169" s="186"/>
      <c r="C169" s="186"/>
      <c r="D169" s="226"/>
      <c r="E169" s="211"/>
      <c r="F169" s="186"/>
      <c r="G169" s="186"/>
      <c r="H169" s="186"/>
      <c r="AK169" s="195"/>
      <c r="AL169" s="195"/>
      <c r="AM169" s="195"/>
      <c r="AN169" s="260"/>
      <c r="AO169" s="195"/>
      <c r="AP169" s="195"/>
      <c r="AQ169" s="195"/>
      <c r="AR169" s="201"/>
      <c r="AS169" s="201"/>
      <c r="AT169" s="201"/>
      <c r="AU169" s="201"/>
      <c r="AV169" s="201"/>
      <c r="AW169" s="201"/>
      <c r="AX169" s="201"/>
    </row>
    <row r="170" spans="2:50">
      <c r="B170" s="186"/>
      <c r="C170" s="186"/>
      <c r="D170" s="226"/>
      <c r="E170" s="211"/>
      <c r="F170" s="186"/>
      <c r="G170" s="186"/>
      <c r="H170" s="186"/>
      <c r="AK170" s="195"/>
      <c r="AL170" s="195"/>
      <c r="AM170" s="195"/>
      <c r="AN170" s="260"/>
      <c r="AO170" s="195"/>
      <c r="AP170" s="195"/>
      <c r="AQ170" s="195"/>
      <c r="AR170" s="201"/>
      <c r="AS170" s="201"/>
      <c r="AT170" s="201"/>
      <c r="AU170" s="201"/>
      <c r="AV170" s="201"/>
      <c r="AW170" s="201"/>
      <c r="AX170" s="201"/>
    </row>
    <row r="171" spans="2:50">
      <c r="B171" s="186"/>
      <c r="C171" s="186"/>
      <c r="D171" s="226"/>
      <c r="E171" s="211"/>
      <c r="F171" s="186"/>
      <c r="G171" s="186"/>
      <c r="H171" s="186"/>
      <c r="AK171" s="195"/>
      <c r="AL171" s="195"/>
      <c r="AM171" s="195"/>
      <c r="AN171" s="260"/>
      <c r="AO171" s="195"/>
      <c r="AP171" s="195"/>
      <c r="AQ171" s="195"/>
      <c r="AR171" s="201"/>
      <c r="AS171" s="201"/>
      <c r="AT171" s="201"/>
      <c r="AU171" s="201"/>
      <c r="AV171" s="201"/>
      <c r="AW171" s="201"/>
      <c r="AX171" s="201"/>
    </row>
    <row r="172" spans="2:50">
      <c r="B172" s="186"/>
      <c r="C172" s="186"/>
      <c r="D172" s="226"/>
      <c r="E172" s="211"/>
      <c r="F172" s="186"/>
      <c r="G172" s="186"/>
      <c r="H172" s="186"/>
      <c r="AK172" s="195"/>
      <c r="AL172" s="195"/>
      <c r="AM172" s="195"/>
      <c r="AN172" s="260"/>
      <c r="AO172" s="195"/>
      <c r="AP172" s="195"/>
      <c r="AQ172" s="195"/>
      <c r="AR172" s="201"/>
      <c r="AS172" s="201"/>
      <c r="AT172" s="201"/>
      <c r="AU172" s="201"/>
      <c r="AV172" s="201"/>
      <c r="AW172" s="201"/>
      <c r="AX172" s="201"/>
    </row>
    <row r="173" spans="2:50">
      <c r="B173" s="186"/>
      <c r="C173" s="186"/>
      <c r="D173" s="226"/>
      <c r="E173" s="211"/>
      <c r="F173" s="186"/>
      <c r="G173" s="186"/>
      <c r="H173" s="186"/>
      <c r="AK173" s="195"/>
      <c r="AL173" s="195"/>
      <c r="AM173" s="195"/>
      <c r="AN173" s="260"/>
      <c r="AO173" s="195"/>
      <c r="AP173" s="195"/>
      <c r="AQ173" s="195"/>
      <c r="AR173" s="201"/>
      <c r="AS173" s="201"/>
      <c r="AT173" s="201"/>
      <c r="AU173" s="201"/>
      <c r="AV173" s="201"/>
      <c r="AW173" s="201"/>
      <c r="AX173" s="201"/>
    </row>
    <row r="174" spans="2:50">
      <c r="B174" s="186"/>
      <c r="C174" s="186"/>
      <c r="D174" s="226"/>
      <c r="E174" s="211"/>
      <c r="F174" s="186"/>
      <c r="G174" s="186"/>
      <c r="H174" s="186"/>
      <c r="AK174" s="195"/>
      <c r="AL174" s="195"/>
      <c r="AM174" s="195"/>
      <c r="AN174" s="260"/>
      <c r="AO174" s="195"/>
      <c r="AP174" s="195"/>
      <c r="AQ174" s="195"/>
      <c r="AR174" s="201"/>
      <c r="AS174" s="201"/>
      <c r="AT174" s="201"/>
      <c r="AU174" s="201"/>
      <c r="AV174" s="201"/>
      <c r="AW174" s="201"/>
      <c r="AX174" s="201"/>
    </row>
    <row r="175" spans="2:50">
      <c r="B175" s="186"/>
      <c r="C175" s="186"/>
      <c r="D175" s="226"/>
      <c r="E175" s="211"/>
      <c r="F175" s="186"/>
      <c r="G175" s="186"/>
      <c r="H175" s="186"/>
      <c r="AK175" s="195"/>
      <c r="AL175" s="195"/>
      <c r="AM175" s="195"/>
      <c r="AN175" s="260"/>
      <c r="AO175" s="195"/>
      <c r="AP175" s="195"/>
      <c r="AQ175" s="195"/>
      <c r="AR175" s="201"/>
      <c r="AS175" s="201"/>
      <c r="AT175" s="201"/>
      <c r="AU175" s="201"/>
      <c r="AV175" s="201"/>
      <c r="AW175" s="201"/>
      <c r="AX175" s="201"/>
    </row>
    <row r="176" spans="2:50">
      <c r="B176" s="186"/>
      <c r="C176" s="186"/>
      <c r="D176" s="226"/>
      <c r="E176" s="211"/>
      <c r="F176" s="186"/>
      <c r="G176" s="186"/>
      <c r="H176" s="186"/>
      <c r="AK176" s="195"/>
      <c r="AL176" s="195"/>
      <c r="AM176" s="195"/>
      <c r="AN176" s="260"/>
      <c r="AO176" s="195"/>
      <c r="AP176" s="195"/>
      <c r="AQ176" s="195"/>
      <c r="AR176" s="201"/>
      <c r="AS176" s="201"/>
      <c r="AT176" s="201"/>
      <c r="AU176" s="201"/>
      <c r="AV176" s="201"/>
      <c r="AW176" s="201"/>
      <c r="AX176" s="201"/>
    </row>
    <row r="177" spans="2:50">
      <c r="B177" s="186"/>
      <c r="C177" s="186"/>
      <c r="D177" s="226"/>
      <c r="E177" s="211"/>
      <c r="F177" s="186"/>
      <c r="G177" s="186"/>
      <c r="H177" s="186"/>
      <c r="AK177" s="195"/>
      <c r="AL177" s="195"/>
      <c r="AM177" s="195"/>
      <c r="AN177" s="260"/>
      <c r="AO177" s="195"/>
      <c r="AP177" s="195"/>
      <c r="AQ177" s="195"/>
      <c r="AR177" s="201"/>
      <c r="AS177" s="201"/>
      <c r="AT177" s="201"/>
      <c r="AU177" s="201"/>
      <c r="AV177" s="201"/>
      <c r="AW177" s="201"/>
      <c r="AX177" s="201"/>
    </row>
    <row r="178" spans="2:50">
      <c r="B178" s="186"/>
      <c r="C178" s="186"/>
      <c r="D178" s="226"/>
      <c r="E178" s="211"/>
      <c r="F178" s="186"/>
      <c r="G178" s="186"/>
      <c r="H178" s="186"/>
      <c r="AK178" s="195"/>
      <c r="AL178" s="195"/>
      <c r="AM178" s="195"/>
      <c r="AN178" s="260"/>
      <c r="AO178" s="195"/>
      <c r="AP178" s="195"/>
      <c r="AQ178" s="195"/>
      <c r="AR178" s="201"/>
      <c r="AS178" s="201"/>
      <c r="AT178" s="201"/>
      <c r="AU178" s="201"/>
      <c r="AV178" s="201"/>
      <c r="AW178" s="201"/>
      <c r="AX178" s="201"/>
    </row>
    <row r="179" spans="2:50">
      <c r="B179" s="186"/>
      <c r="C179" s="186"/>
      <c r="D179" s="226"/>
      <c r="E179" s="211"/>
      <c r="F179" s="186"/>
      <c r="G179" s="186"/>
      <c r="H179" s="186"/>
      <c r="AK179" s="195"/>
      <c r="AL179" s="195"/>
      <c r="AM179" s="195"/>
      <c r="AN179" s="260"/>
      <c r="AO179" s="195"/>
      <c r="AP179" s="195"/>
      <c r="AQ179" s="195"/>
      <c r="AR179" s="201"/>
      <c r="AS179" s="201"/>
      <c r="AT179" s="201"/>
      <c r="AU179" s="201"/>
      <c r="AV179" s="201"/>
      <c r="AW179" s="201"/>
      <c r="AX179" s="201"/>
    </row>
    <row r="180" spans="2:50">
      <c r="B180" s="186"/>
      <c r="C180" s="186"/>
      <c r="D180" s="226"/>
      <c r="E180" s="211"/>
      <c r="F180" s="186"/>
      <c r="G180" s="186"/>
      <c r="H180" s="186"/>
      <c r="AK180" s="195"/>
      <c r="AL180" s="195"/>
      <c r="AM180" s="195"/>
      <c r="AN180" s="260"/>
      <c r="AO180" s="195"/>
      <c r="AP180" s="195"/>
      <c r="AQ180" s="195"/>
      <c r="AR180" s="201"/>
      <c r="AS180" s="201"/>
      <c r="AT180" s="201"/>
      <c r="AU180" s="201"/>
      <c r="AV180" s="201"/>
      <c r="AW180" s="201"/>
      <c r="AX180" s="201"/>
    </row>
    <row r="181" spans="2:50">
      <c r="B181" s="186"/>
      <c r="C181" s="186"/>
      <c r="D181" s="226"/>
      <c r="E181" s="211"/>
      <c r="F181" s="186"/>
      <c r="G181" s="186"/>
      <c r="H181" s="186"/>
      <c r="AK181" s="195"/>
      <c r="AL181" s="195"/>
      <c r="AM181" s="195"/>
      <c r="AN181" s="260"/>
      <c r="AO181" s="195"/>
      <c r="AP181" s="195"/>
      <c r="AQ181" s="195"/>
      <c r="AR181" s="201"/>
      <c r="AS181" s="201"/>
      <c r="AT181" s="201"/>
      <c r="AU181" s="201"/>
      <c r="AV181" s="201"/>
      <c r="AW181" s="201"/>
      <c r="AX181" s="201"/>
    </row>
    <row r="182" spans="2:50">
      <c r="B182" s="186"/>
      <c r="C182" s="186"/>
      <c r="D182" s="226"/>
      <c r="E182" s="211"/>
      <c r="F182" s="186"/>
      <c r="G182" s="186"/>
      <c r="H182" s="186"/>
      <c r="AK182" s="195"/>
      <c r="AL182" s="195"/>
      <c r="AM182" s="195"/>
      <c r="AN182" s="260"/>
      <c r="AO182" s="195"/>
      <c r="AP182" s="195"/>
      <c r="AQ182" s="195"/>
      <c r="AR182" s="201"/>
      <c r="AS182" s="201"/>
      <c r="AT182" s="201"/>
      <c r="AU182" s="201"/>
      <c r="AV182" s="201"/>
      <c r="AW182" s="201"/>
      <c r="AX182" s="201"/>
    </row>
    <row r="183" spans="2:50">
      <c r="B183" s="186"/>
      <c r="C183" s="186"/>
      <c r="D183" s="226"/>
      <c r="E183" s="211"/>
      <c r="F183" s="186"/>
      <c r="G183" s="186"/>
      <c r="H183" s="186"/>
      <c r="AK183" s="195"/>
      <c r="AL183" s="195"/>
      <c r="AM183" s="195"/>
      <c r="AN183" s="260"/>
      <c r="AO183" s="195"/>
      <c r="AP183" s="195"/>
      <c r="AQ183" s="195"/>
      <c r="AR183" s="201"/>
      <c r="AS183" s="201"/>
      <c r="AT183" s="201"/>
      <c r="AU183" s="201"/>
      <c r="AV183" s="201"/>
      <c r="AW183" s="201"/>
      <c r="AX183" s="201"/>
    </row>
    <row r="184" spans="2:50">
      <c r="B184" s="186"/>
      <c r="C184" s="186"/>
      <c r="D184" s="226"/>
      <c r="E184" s="211"/>
      <c r="F184" s="186"/>
      <c r="G184" s="186"/>
      <c r="H184" s="186"/>
      <c r="AK184" s="195"/>
      <c r="AL184" s="195"/>
      <c r="AM184" s="195"/>
      <c r="AN184" s="260"/>
      <c r="AO184" s="195"/>
      <c r="AP184" s="195"/>
      <c r="AQ184" s="195"/>
      <c r="AR184" s="201"/>
      <c r="AS184" s="201"/>
      <c r="AT184" s="201"/>
      <c r="AU184" s="201"/>
      <c r="AV184" s="201"/>
      <c r="AW184" s="201"/>
      <c r="AX184" s="201"/>
    </row>
    <row r="185" spans="2:50">
      <c r="B185" s="186"/>
      <c r="C185" s="186"/>
      <c r="D185" s="226"/>
      <c r="E185" s="211"/>
      <c r="F185" s="186"/>
      <c r="G185" s="186"/>
      <c r="H185" s="186"/>
      <c r="AK185" s="195"/>
      <c r="AL185" s="195"/>
      <c r="AM185" s="195"/>
      <c r="AN185" s="260"/>
      <c r="AO185" s="195"/>
      <c r="AP185" s="195"/>
      <c r="AQ185" s="195"/>
      <c r="AR185" s="201"/>
      <c r="AS185" s="201"/>
      <c r="AT185" s="201"/>
      <c r="AU185" s="201"/>
      <c r="AV185" s="201"/>
      <c r="AW185" s="201"/>
      <c r="AX185" s="201"/>
    </row>
    <row r="186" spans="2:50">
      <c r="B186" s="186"/>
      <c r="C186" s="186"/>
      <c r="D186" s="226"/>
      <c r="E186" s="211"/>
      <c r="F186" s="186"/>
      <c r="G186" s="186"/>
      <c r="H186" s="186"/>
      <c r="AK186" s="195"/>
      <c r="AL186" s="195"/>
      <c r="AM186" s="195"/>
      <c r="AN186" s="260"/>
      <c r="AO186" s="195"/>
      <c r="AP186" s="195"/>
      <c r="AQ186" s="195"/>
      <c r="AR186" s="201"/>
      <c r="AS186" s="201"/>
      <c r="AT186" s="201"/>
      <c r="AU186" s="201"/>
      <c r="AV186" s="201"/>
      <c r="AW186" s="201"/>
      <c r="AX186" s="201"/>
    </row>
    <row r="187" spans="2:50">
      <c r="B187" s="186"/>
      <c r="C187" s="186"/>
      <c r="D187" s="226"/>
      <c r="E187" s="211"/>
      <c r="F187" s="186"/>
      <c r="G187" s="186"/>
      <c r="H187" s="186"/>
      <c r="AK187" s="195"/>
      <c r="AL187" s="195"/>
      <c r="AM187" s="195"/>
      <c r="AN187" s="260"/>
      <c r="AO187" s="195"/>
      <c r="AP187" s="195"/>
      <c r="AQ187" s="195"/>
      <c r="AR187" s="201"/>
      <c r="AS187" s="201"/>
      <c r="AT187" s="201"/>
      <c r="AU187" s="201"/>
      <c r="AV187" s="201"/>
      <c r="AW187" s="201"/>
      <c r="AX187" s="201"/>
    </row>
    <row r="188" spans="2:50">
      <c r="B188" s="186"/>
      <c r="C188" s="186"/>
      <c r="D188" s="226"/>
      <c r="E188" s="211"/>
      <c r="F188" s="186"/>
      <c r="G188" s="186"/>
      <c r="H188" s="186"/>
      <c r="AK188" s="195"/>
      <c r="AL188" s="195"/>
      <c r="AM188" s="195"/>
      <c r="AN188" s="260"/>
      <c r="AO188" s="195"/>
      <c r="AP188" s="195"/>
      <c r="AQ188" s="195"/>
      <c r="AR188" s="201"/>
      <c r="AS188" s="201"/>
      <c r="AT188" s="201"/>
      <c r="AU188" s="201"/>
      <c r="AV188" s="201"/>
      <c r="AW188" s="201"/>
      <c r="AX188" s="201"/>
    </row>
    <row r="189" spans="2:50">
      <c r="B189" s="186"/>
      <c r="C189" s="186"/>
      <c r="D189" s="226"/>
      <c r="E189" s="211"/>
      <c r="F189" s="186"/>
      <c r="G189" s="186"/>
      <c r="H189" s="186"/>
      <c r="AK189" s="195"/>
      <c r="AL189" s="195"/>
      <c r="AM189" s="195"/>
      <c r="AN189" s="260"/>
      <c r="AO189" s="195"/>
      <c r="AP189" s="195"/>
      <c r="AQ189" s="195"/>
      <c r="AR189" s="201"/>
      <c r="AS189" s="201"/>
      <c r="AT189" s="201"/>
      <c r="AU189" s="201"/>
      <c r="AV189" s="201"/>
      <c r="AW189" s="201"/>
      <c r="AX189" s="201"/>
    </row>
    <row r="190" spans="2:50">
      <c r="B190" s="186"/>
      <c r="C190" s="186"/>
      <c r="D190" s="226"/>
      <c r="E190" s="211"/>
      <c r="F190" s="186"/>
      <c r="G190" s="186"/>
      <c r="H190" s="186"/>
      <c r="AK190" s="195"/>
      <c r="AL190" s="195"/>
      <c r="AM190" s="195"/>
      <c r="AN190" s="260"/>
      <c r="AO190" s="195"/>
      <c r="AP190" s="195"/>
      <c r="AQ190" s="195"/>
      <c r="AR190" s="201"/>
      <c r="AS190" s="201"/>
      <c r="AT190" s="201"/>
      <c r="AU190" s="201"/>
      <c r="AV190" s="201"/>
      <c r="AW190" s="201"/>
      <c r="AX190" s="201"/>
    </row>
    <row r="191" spans="2:50">
      <c r="B191" s="186"/>
      <c r="C191" s="186"/>
      <c r="D191" s="226"/>
      <c r="E191" s="211"/>
      <c r="F191" s="186"/>
      <c r="G191" s="186"/>
      <c r="H191" s="186"/>
      <c r="AK191" s="195"/>
      <c r="AL191" s="195"/>
      <c r="AM191" s="195"/>
      <c r="AN191" s="260"/>
      <c r="AO191" s="195"/>
      <c r="AP191" s="195"/>
      <c r="AQ191" s="195"/>
      <c r="AR191" s="201"/>
      <c r="AS191" s="201"/>
      <c r="AT191" s="201"/>
      <c r="AU191" s="201"/>
      <c r="AV191" s="201"/>
      <c r="AW191" s="201"/>
      <c r="AX191" s="201"/>
    </row>
    <row r="192" spans="2:50">
      <c r="B192" s="186"/>
      <c r="C192" s="186"/>
      <c r="D192" s="226"/>
      <c r="E192" s="211"/>
      <c r="F192" s="186"/>
      <c r="G192" s="186"/>
      <c r="H192" s="186"/>
      <c r="AK192" s="195"/>
      <c r="AL192" s="195"/>
      <c r="AM192" s="195"/>
      <c r="AN192" s="260"/>
      <c r="AO192" s="195"/>
      <c r="AP192" s="195"/>
      <c r="AQ192" s="195"/>
      <c r="AR192" s="201"/>
      <c r="AS192" s="201"/>
      <c r="AT192" s="201"/>
      <c r="AU192" s="201"/>
      <c r="AV192" s="201"/>
      <c r="AW192" s="201"/>
      <c r="AX192" s="201"/>
    </row>
    <row r="193" spans="2:50">
      <c r="B193" s="186"/>
      <c r="C193" s="186"/>
      <c r="D193" s="226"/>
      <c r="E193" s="211"/>
      <c r="F193" s="186"/>
      <c r="G193" s="186"/>
      <c r="H193" s="186"/>
      <c r="AK193" s="195"/>
      <c r="AL193" s="195"/>
      <c r="AM193" s="195"/>
      <c r="AN193" s="260"/>
      <c r="AO193" s="195"/>
      <c r="AP193" s="195"/>
      <c r="AQ193" s="195"/>
      <c r="AR193" s="201"/>
      <c r="AS193" s="201"/>
      <c r="AT193" s="201"/>
      <c r="AU193" s="201"/>
      <c r="AV193" s="201"/>
      <c r="AW193" s="201"/>
      <c r="AX193" s="201"/>
    </row>
    <row r="194" spans="2:50">
      <c r="B194" s="186"/>
      <c r="C194" s="186"/>
      <c r="D194" s="226"/>
      <c r="E194" s="211"/>
      <c r="F194" s="186"/>
      <c r="G194" s="186"/>
      <c r="H194" s="186"/>
      <c r="AK194" s="195"/>
      <c r="AL194" s="195"/>
      <c r="AM194" s="195"/>
      <c r="AN194" s="260"/>
      <c r="AO194" s="195"/>
      <c r="AP194" s="195"/>
      <c r="AQ194" s="195"/>
      <c r="AR194" s="201"/>
      <c r="AS194" s="201"/>
      <c r="AT194" s="201"/>
      <c r="AU194" s="201"/>
      <c r="AV194" s="201"/>
      <c r="AW194" s="201"/>
      <c r="AX194" s="201"/>
    </row>
    <row r="195" spans="2:50">
      <c r="B195" s="186"/>
      <c r="C195" s="186"/>
      <c r="D195" s="226"/>
      <c r="E195" s="211"/>
      <c r="F195" s="186"/>
      <c r="G195" s="186"/>
      <c r="H195" s="186"/>
      <c r="AK195" s="195"/>
      <c r="AL195" s="195"/>
      <c r="AM195" s="195"/>
      <c r="AN195" s="260"/>
      <c r="AO195" s="195"/>
      <c r="AP195" s="195"/>
      <c r="AQ195" s="195"/>
      <c r="AR195" s="201"/>
      <c r="AS195" s="201"/>
      <c r="AT195" s="201"/>
      <c r="AU195" s="201"/>
      <c r="AV195" s="201"/>
      <c r="AW195" s="201"/>
      <c r="AX195" s="201"/>
    </row>
    <row r="196" spans="2:50">
      <c r="B196" s="186"/>
      <c r="C196" s="186"/>
      <c r="D196" s="226"/>
      <c r="E196" s="211"/>
      <c r="F196" s="186"/>
      <c r="G196" s="186"/>
      <c r="H196" s="186"/>
      <c r="AK196" s="195"/>
      <c r="AL196" s="195"/>
      <c r="AM196" s="195"/>
      <c r="AN196" s="260"/>
      <c r="AO196" s="195"/>
      <c r="AP196" s="195"/>
      <c r="AQ196" s="195"/>
      <c r="AR196" s="201"/>
      <c r="AS196" s="201"/>
      <c r="AT196" s="201"/>
      <c r="AU196" s="201"/>
      <c r="AV196" s="201"/>
      <c r="AW196" s="201"/>
      <c r="AX196" s="201"/>
    </row>
    <row r="197" spans="2:50">
      <c r="B197" s="186"/>
      <c r="C197" s="186"/>
      <c r="D197" s="226"/>
      <c r="E197" s="211"/>
      <c r="F197" s="186"/>
      <c r="G197" s="186"/>
      <c r="H197" s="186"/>
      <c r="AK197" s="195"/>
      <c r="AL197" s="195"/>
      <c r="AM197" s="195"/>
      <c r="AN197" s="260"/>
      <c r="AO197" s="195"/>
      <c r="AP197" s="195"/>
      <c r="AQ197" s="195"/>
      <c r="AR197" s="201"/>
      <c r="AS197" s="201"/>
      <c r="AT197" s="201"/>
      <c r="AU197" s="201"/>
      <c r="AV197" s="201"/>
      <c r="AW197" s="201"/>
      <c r="AX197" s="201"/>
    </row>
    <row r="198" spans="2:50">
      <c r="B198" s="186"/>
      <c r="C198" s="186"/>
      <c r="D198" s="226"/>
      <c r="E198" s="211"/>
      <c r="F198" s="186"/>
      <c r="G198" s="186"/>
      <c r="H198" s="186"/>
      <c r="AK198" s="195"/>
      <c r="AL198" s="195"/>
      <c r="AM198" s="195"/>
      <c r="AN198" s="260"/>
      <c r="AO198" s="195"/>
      <c r="AP198" s="195"/>
      <c r="AQ198" s="195"/>
      <c r="AR198" s="201"/>
      <c r="AS198" s="201"/>
      <c r="AT198" s="201"/>
      <c r="AU198" s="201"/>
      <c r="AV198" s="201"/>
      <c r="AW198" s="201"/>
      <c r="AX198" s="201"/>
    </row>
    <row r="199" spans="2:50">
      <c r="B199" s="186"/>
      <c r="C199" s="186"/>
      <c r="D199" s="226"/>
      <c r="E199" s="211"/>
      <c r="F199" s="186"/>
      <c r="G199" s="186"/>
      <c r="H199" s="186"/>
      <c r="AK199" s="195"/>
      <c r="AL199" s="195"/>
      <c r="AM199" s="195"/>
      <c r="AN199" s="260"/>
      <c r="AO199" s="195"/>
      <c r="AP199" s="195"/>
      <c r="AQ199" s="195"/>
      <c r="AR199" s="201"/>
      <c r="AS199" s="201"/>
      <c r="AT199" s="201"/>
      <c r="AU199" s="201"/>
      <c r="AV199" s="201"/>
      <c r="AW199" s="201"/>
      <c r="AX199" s="201"/>
    </row>
    <row r="200" spans="2:50">
      <c r="B200" s="186"/>
      <c r="C200" s="186"/>
      <c r="D200" s="226"/>
      <c r="E200" s="211"/>
      <c r="F200" s="186"/>
      <c r="G200" s="186"/>
      <c r="H200" s="186"/>
      <c r="AK200" s="195"/>
      <c r="AL200" s="195"/>
      <c r="AM200" s="195"/>
      <c r="AN200" s="260"/>
      <c r="AO200" s="195"/>
      <c r="AP200" s="195"/>
      <c r="AQ200" s="195"/>
      <c r="AR200" s="201"/>
      <c r="AS200" s="201"/>
      <c r="AT200" s="201"/>
      <c r="AU200" s="201"/>
      <c r="AV200" s="201"/>
      <c r="AW200" s="201"/>
      <c r="AX200" s="201"/>
    </row>
    <row r="201" spans="2:50">
      <c r="B201" s="186"/>
      <c r="C201" s="186"/>
      <c r="D201" s="226"/>
      <c r="E201" s="211"/>
      <c r="F201" s="186"/>
      <c r="G201" s="186"/>
      <c r="H201" s="186"/>
      <c r="AK201" s="195"/>
      <c r="AL201" s="195"/>
      <c r="AM201" s="195"/>
      <c r="AN201" s="260"/>
      <c r="AO201" s="195"/>
      <c r="AP201" s="195"/>
      <c r="AQ201" s="195"/>
      <c r="AR201" s="201"/>
      <c r="AS201" s="201"/>
      <c r="AT201" s="201"/>
      <c r="AU201" s="201"/>
      <c r="AV201" s="201"/>
      <c r="AW201" s="201"/>
      <c r="AX201" s="201"/>
    </row>
    <row r="202" spans="2:50">
      <c r="B202" s="186"/>
      <c r="C202" s="186"/>
      <c r="D202" s="226"/>
      <c r="E202" s="211"/>
      <c r="F202" s="186"/>
      <c r="G202" s="186"/>
      <c r="H202" s="186"/>
      <c r="AK202" s="195"/>
      <c r="AL202" s="195"/>
      <c r="AM202" s="195"/>
      <c r="AN202" s="260"/>
      <c r="AO202" s="195"/>
      <c r="AP202" s="195"/>
      <c r="AQ202" s="195"/>
      <c r="AR202" s="201"/>
      <c r="AS202" s="201"/>
      <c r="AT202" s="201"/>
      <c r="AU202" s="201"/>
      <c r="AV202" s="201"/>
      <c r="AW202" s="201"/>
      <c r="AX202" s="201"/>
    </row>
    <row r="203" spans="2:50">
      <c r="B203" s="186"/>
      <c r="C203" s="186"/>
      <c r="D203" s="226"/>
      <c r="E203" s="211"/>
      <c r="F203" s="186"/>
      <c r="G203" s="186"/>
      <c r="H203" s="186"/>
      <c r="AK203" s="195"/>
      <c r="AL203" s="195"/>
      <c r="AM203" s="195"/>
      <c r="AN203" s="260"/>
      <c r="AO203" s="195"/>
      <c r="AP203" s="195"/>
      <c r="AQ203" s="195"/>
      <c r="AR203" s="201"/>
      <c r="AS203" s="201"/>
      <c r="AT203" s="201"/>
      <c r="AU203" s="201"/>
      <c r="AV203" s="201"/>
      <c r="AW203" s="201"/>
      <c r="AX203" s="201"/>
    </row>
    <row r="204" spans="2:50">
      <c r="B204" s="186"/>
      <c r="C204" s="186"/>
      <c r="D204" s="226"/>
      <c r="E204" s="211"/>
      <c r="F204" s="186"/>
      <c r="G204" s="186"/>
      <c r="H204" s="186"/>
      <c r="AK204" s="195"/>
      <c r="AL204" s="195"/>
      <c r="AM204" s="195"/>
      <c r="AN204" s="260"/>
      <c r="AO204" s="195"/>
      <c r="AP204" s="195"/>
      <c r="AQ204" s="195"/>
      <c r="AR204" s="201"/>
      <c r="AS204" s="201"/>
      <c r="AT204" s="201"/>
      <c r="AU204" s="201"/>
      <c r="AV204" s="201"/>
      <c r="AW204" s="201"/>
      <c r="AX204" s="201"/>
    </row>
    <row r="205" spans="2:50">
      <c r="B205" s="186"/>
      <c r="C205" s="186"/>
      <c r="D205" s="226"/>
      <c r="E205" s="211"/>
      <c r="F205" s="186"/>
      <c r="G205" s="186"/>
      <c r="H205" s="186"/>
      <c r="AK205" s="195"/>
      <c r="AL205" s="195"/>
      <c r="AM205" s="195"/>
      <c r="AN205" s="260"/>
      <c r="AO205" s="195"/>
      <c r="AP205" s="195"/>
      <c r="AQ205" s="195"/>
      <c r="AR205" s="201"/>
      <c r="AS205" s="201"/>
      <c r="AT205" s="201"/>
      <c r="AU205" s="201"/>
      <c r="AV205" s="201"/>
      <c r="AW205" s="201"/>
      <c r="AX205" s="201"/>
    </row>
    <row r="206" spans="2:50">
      <c r="B206" s="186"/>
      <c r="C206" s="186"/>
      <c r="D206" s="226"/>
      <c r="E206" s="211"/>
      <c r="F206" s="186"/>
      <c r="G206" s="186"/>
      <c r="H206" s="186"/>
      <c r="AK206" s="195"/>
      <c r="AL206" s="195"/>
      <c r="AM206" s="195"/>
      <c r="AN206" s="260"/>
      <c r="AO206" s="195"/>
      <c r="AP206" s="195"/>
      <c r="AQ206" s="195"/>
      <c r="AR206" s="201"/>
      <c r="AS206" s="201"/>
      <c r="AT206" s="201"/>
      <c r="AU206" s="201"/>
      <c r="AV206" s="201"/>
      <c r="AW206" s="201"/>
      <c r="AX206" s="201"/>
    </row>
    <row r="207" spans="2:50">
      <c r="B207" s="186"/>
      <c r="C207" s="186"/>
      <c r="D207" s="226"/>
      <c r="E207" s="211"/>
      <c r="F207" s="186"/>
      <c r="G207" s="186"/>
      <c r="H207" s="186"/>
      <c r="AK207" s="195"/>
      <c r="AL207" s="195"/>
      <c r="AM207" s="195"/>
      <c r="AN207" s="260"/>
      <c r="AO207" s="195"/>
      <c r="AP207" s="195"/>
      <c r="AQ207" s="195"/>
      <c r="AR207" s="201"/>
      <c r="AS207" s="201"/>
      <c r="AT207" s="201"/>
      <c r="AU207" s="201"/>
      <c r="AV207" s="201"/>
      <c r="AW207" s="201"/>
      <c r="AX207" s="201"/>
    </row>
    <row r="208" spans="2:50">
      <c r="B208" s="186"/>
      <c r="C208" s="186"/>
      <c r="D208" s="226"/>
      <c r="E208" s="211"/>
      <c r="F208" s="186"/>
      <c r="G208" s="186"/>
      <c r="H208" s="186"/>
      <c r="AK208" s="195"/>
      <c r="AL208" s="195"/>
      <c r="AM208" s="195"/>
      <c r="AN208" s="260"/>
      <c r="AO208" s="195"/>
      <c r="AP208" s="195"/>
      <c r="AQ208" s="195"/>
      <c r="AR208" s="201"/>
      <c r="AS208" s="201"/>
      <c r="AT208" s="201"/>
      <c r="AU208" s="201"/>
      <c r="AV208" s="201"/>
      <c r="AW208" s="201"/>
      <c r="AX208" s="201"/>
    </row>
    <row r="209" spans="2:50">
      <c r="B209" s="186"/>
      <c r="C209" s="186"/>
      <c r="D209" s="226"/>
      <c r="E209" s="211"/>
      <c r="F209" s="186"/>
      <c r="G209" s="186"/>
      <c r="H209" s="186"/>
      <c r="AK209" s="195"/>
      <c r="AL209" s="195"/>
      <c r="AM209" s="195"/>
      <c r="AN209" s="260"/>
      <c r="AO209" s="195"/>
      <c r="AP209" s="195"/>
      <c r="AQ209" s="195"/>
      <c r="AR209" s="201"/>
      <c r="AS209" s="201"/>
      <c r="AT209" s="201"/>
      <c r="AU209" s="201"/>
      <c r="AV209" s="201"/>
      <c r="AW209" s="201"/>
      <c r="AX209" s="201"/>
    </row>
    <row r="210" spans="2:50">
      <c r="B210" s="186"/>
      <c r="C210" s="186"/>
      <c r="D210" s="226"/>
      <c r="E210" s="211"/>
      <c r="F210" s="186"/>
      <c r="G210" s="186"/>
      <c r="H210" s="186"/>
      <c r="AK210" s="195"/>
      <c r="AL210" s="195"/>
      <c r="AM210" s="195"/>
      <c r="AN210" s="260"/>
      <c r="AO210" s="195"/>
      <c r="AP210" s="195"/>
      <c r="AQ210" s="195"/>
      <c r="AR210" s="201"/>
      <c r="AS210" s="201"/>
      <c r="AT210" s="201"/>
      <c r="AU210" s="201"/>
      <c r="AV210" s="201"/>
      <c r="AW210" s="201"/>
      <c r="AX210" s="201"/>
    </row>
    <row r="211" spans="2:50">
      <c r="B211" s="186"/>
      <c r="C211" s="186"/>
      <c r="D211" s="226"/>
      <c r="E211" s="211"/>
      <c r="F211" s="186"/>
      <c r="G211" s="186"/>
      <c r="H211" s="186"/>
      <c r="AK211" s="195"/>
      <c r="AL211" s="195"/>
      <c r="AM211" s="195"/>
      <c r="AN211" s="260"/>
      <c r="AO211" s="195"/>
      <c r="AP211" s="195"/>
      <c r="AQ211" s="195"/>
      <c r="AR211" s="201"/>
      <c r="AS211" s="201"/>
      <c r="AT211" s="201"/>
      <c r="AU211" s="201"/>
      <c r="AV211" s="201"/>
      <c r="AW211" s="201"/>
      <c r="AX211" s="201"/>
    </row>
    <row r="212" spans="2:50">
      <c r="B212" s="186"/>
      <c r="C212" s="186"/>
      <c r="D212" s="226"/>
      <c r="E212" s="211"/>
      <c r="F212" s="186"/>
      <c r="G212" s="186"/>
      <c r="H212" s="186"/>
      <c r="AK212" s="195"/>
      <c r="AL212" s="195"/>
      <c r="AM212" s="195"/>
      <c r="AN212" s="260"/>
      <c r="AO212" s="195"/>
      <c r="AP212" s="195"/>
      <c r="AQ212" s="195"/>
      <c r="AR212" s="201"/>
      <c r="AS212" s="201"/>
      <c r="AT212" s="201"/>
      <c r="AU212" s="201"/>
      <c r="AV212" s="201"/>
      <c r="AW212" s="201"/>
      <c r="AX212" s="201"/>
    </row>
    <row r="213" spans="2:50">
      <c r="B213" s="186"/>
      <c r="C213" s="186"/>
      <c r="D213" s="226"/>
      <c r="E213" s="211"/>
      <c r="F213" s="186"/>
      <c r="G213" s="186"/>
      <c r="H213" s="186"/>
      <c r="AK213" s="195"/>
      <c r="AL213" s="195"/>
      <c r="AM213" s="195"/>
      <c r="AN213" s="260"/>
      <c r="AO213" s="195"/>
      <c r="AP213" s="195"/>
      <c r="AQ213" s="195"/>
      <c r="AR213" s="201"/>
      <c r="AS213" s="201"/>
      <c r="AT213" s="201"/>
      <c r="AU213" s="201"/>
      <c r="AV213" s="201"/>
      <c r="AW213" s="201"/>
      <c r="AX213" s="201"/>
    </row>
    <row r="214" spans="2:50">
      <c r="B214" s="186"/>
      <c r="C214" s="186"/>
      <c r="D214" s="226"/>
      <c r="E214" s="211"/>
      <c r="F214" s="186"/>
      <c r="G214" s="186"/>
      <c r="H214" s="186"/>
      <c r="AK214" s="195"/>
      <c r="AL214" s="195"/>
      <c r="AM214" s="195"/>
      <c r="AN214" s="260"/>
      <c r="AO214" s="195"/>
      <c r="AP214" s="195"/>
      <c r="AQ214" s="195"/>
      <c r="AR214" s="201"/>
      <c r="AS214" s="201"/>
      <c r="AT214" s="201"/>
      <c r="AU214" s="201"/>
      <c r="AV214" s="201"/>
      <c r="AW214" s="201"/>
      <c r="AX214" s="201"/>
    </row>
    <row r="215" spans="2:50">
      <c r="B215" s="186"/>
      <c r="C215" s="186"/>
      <c r="D215" s="226"/>
      <c r="E215" s="211"/>
      <c r="F215" s="186"/>
      <c r="G215" s="186"/>
      <c r="H215" s="186"/>
      <c r="AK215" s="195"/>
      <c r="AL215" s="195"/>
      <c r="AM215" s="195"/>
      <c r="AN215" s="260"/>
      <c r="AO215" s="195"/>
      <c r="AP215" s="195"/>
      <c r="AQ215" s="195"/>
      <c r="AR215" s="201"/>
      <c r="AS215" s="201"/>
      <c r="AT215" s="201"/>
      <c r="AU215" s="201"/>
      <c r="AV215" s="201"/>
      <c r="AW215" s="201"/>
      <c r="AX215" s="201"/>
    </row>
    <row r="216" spans="2:50">
      <c r="B216" s="186"/>
      <c r="C216" s="186"/>
      <c r="D216" s="226"/>
      <c r="E216" s="211"/>
      <c r="F216" s="186"/>
      <c r="G216" s="186"/>
      <c r="H216" s="186"/>
      <c r="AK216" s="195"/>
      <c r="AL216" s="195"/>
      <c r="AM216" s="195"/>
      <c r="AN216" s="260"/>
      <c r="AO216" s="195"/>
      <c r="AP216" s="195"/>
      <c r="AQ216" s="195"/>
      <c r="AR216" s="201"/>
      <c r="AS216" s="201"/>
      <c r="AT216" s="201"/>
      <c r="AU216" s="201"/>
      <c r="AV216" s="201"/>
      <c r="AW216" s="201"/>
      <c r="AX216" s="201"/>
    </row>
    <row r="217" spans="2:50">
      <c r="B217" s="186"/>
      <c r="C217" s="186"/>
      <c r="D217" s="226"/>
      <c r="E217" s="211"/>
      <c r="F217" s="186"/>
      <c r="G217" s="186"/>
      <c r="H217" s="186"/>
      <c r="AK217" s="195"/>
      <c r="AL217" s="195"/>
      <c r="AM217" s="195"/>
      <c r="AN217" s="260"/>
      <c r="AO217" s="195"/>
      <c r="AP217" s="195"/>
      <c r="AQ217" s="195"/>
      <c r="AR217" s="201"/>
      <c r="AS217" s="201"/>
      <c r="AT217" s="201"/>
      <c r="AU217" s="201"/>
      <c r="AV217" s="201"/>
      <c r="AW217" s="201"/>
      <c r="AX217" s="201"/>
    </row>
    <row r="218" spans="2:50">
      <c r="B218" s="186"/>
      <c r="C218" s="186"/>
      <c r="D218" s="226"/>
      <c r="E218" s="211"/>
      <c r="F218" s="186"/>
      <c r="G218" s="186"/>
      <c r="H218" s="186"/>
      <c r="AK218" s="195"/>
      <c r="AL218" s="195"/>
      <c r="AM218" s="195"/>
      <c r="AN218" s="260"/>
      <c r="AO218" s="195"/>
      <c r="AP218" s="195"/>
      <c r="AQ218" s="195"/>
      <c r="AR218" s="201"/>
      <c r="AS218" s="201"/>
      <c r="AT218" s="201"/>
      <c r="AU218" s="201"/>
      <c r="AV218" s="201"/>
      <c r="AW218" s="201"/>
      <c r="AX218" s="201"/>
    </row>
    <row r="219" spans="2:50">
      <c r="B219" s="186"/>
      <c r="C219" s="186"/>
      <c r="D219" s="226"/>
      <c r="E219" s="211"/>
      <c r="F219" s="186"/>
      <c r="G219" s="186"/>
      <c r="H219" s="186"/>
      <c r="AK219" s="195"/>
      <c r="AL219" s="195"/>
      <c r="AM219" s="195"/>
      <c r="AN219" s="260"/>
      <c r="AO219" s="195"/>
      <c r="AP219" s="195"/>
      <c r="AQ219" s="195"/>
      <c r="AR219" s="201"/>
      <c r="AS219" s="201"/>
      <c r="AT219" s="201"/>
      <c r="AU219" s="201"/>
      <c r="AV219" s="201"/>
      <c r="AW219" s="201"/>
      <c r="AX219" s="201"/>
    </row>
    <row r="220" spans="2:50">
      <c r="B220" s="186"/>
      <c r="C220" s="186"/>
      <c r="D220" s="226"/>
      <c r="E220" s="211"/>
      <c r="F220" s="186"/>
      <c r="G220" s="186"/>
      <c r="H220" s="186"/>
      <c r="AK220" s="195"/>
      <c r="AL220" s="195"/>
      <c r="AM220" s="195"/>
      <c r="AN220" s="260"/>
      <c r="AO220" s="195"/>
      <c r="AP220" s="195"/>
      <c r="AQ220" s="195"/>
      <c r="AR220" s="201"/>
      <c r="AS220" s="201"/>
      <c r="AT220" s="201"/>
      <c r="AU220" s="201"/>
      <c r="AV220" s="201"/>
      <c r="AW220" s="201"/>
      <c r="AX220" s="201"/>
    </row>
    <row r="221" spans="2:50">
      <c r="B221" s="186"/>
      <c r="C221" s="186"/>
      <c r="D221" s="226"/>
      <c r="E221" s="211"/>
      <c r="F221" s="186"/>
      <c r="G221" s="186"/>
      <c r="H221" s="186"/>
      <c r="AK221" s="195"/>
      <c r="AL221" s="195"/>
      <c r="AM221" s="195"/>
      <c r="AN221" s="260"/>
      <c r="AO221" s="195"/>
      <c r="AP221" s="195"/>
      <c r="AQ221" s="195"/>
      <c r="AR221" s="201"/>
      <c r="AS221" s="201"/>
      <c r="AT221" s="201"/>
      <c r="AU221" s="201"/>
      <c r="AV221" s="201"/>
      <c r="AW221" s="201"/>
      <c r="AX221" s="201"/>
    </row>
    <row r="222" spans="2:50">
      <c r="B222" s="186"/>
      <c r="C222" s="186"/>
      <c r="D222" s="226"/>
      <c r="E222" s="211"/>
      <c r="F222" s="186"/>
      <c r="G222" s="186"/>
      <c r="H222" s="186"/>
      <c r="AK222" s="195"/>
      <c r="AL222" s="195"/>
      <c r="AM222" s="195"/>
      <c r="AN222" s="260"/>
      <c r="AO222" s="195"/>
      <c r="AP222" s="195"/>
      <c r="AQ222" s="195"/>
      <c r="AR222" s="201"/>
      <c r="AS222" s="201"/>
      <c r="AT222" s="201"/>
      <c r="AU222" s="201"/>
      <c r="AV222" s="201"/>
      <c r="AW222" s="201"/>
      <c r="AX222" s="201"/>
    </row>
    <row r="223" spans="2:50">
      <c r="B223" s="186"/>
      <c r="C223" s="186"/>
      <c r="D223" s="226"/>
      <c r="E223" s="211"/>
      <c r="F223" s="186"/>
      <c r="G223" s="186"/>
      <c r="H223" s="186"/>
      <c r="AK223" s="195"/>
      <c r="AL223" s="195"/>
      <c r="AM223" s="195"/>
      <c r="AN223" s="260"/>
      <c r="AO223" s="195"/>
      <c r="AP223" s="195"/>
      <c r="AQ223" s="195"/>
      <c r="AR223" s="201"/>
      <c r="AS223" s="201"/>
      <c r="AT223" s="201"/>
      <c r="AU223" s="201"/>
      <c r="AV223" s="201"/>
      <c r="AW223" s="201"/>
      <c r="AX223" s="201"/>
    </row>
    <row r="224" spans="2:50">
      <c r="B224" s="186"/>
      <c r="C224" s="186"/>
      <c r="D224" s="226"/>
      <c r="E224" s="211"/>
      <c r="F224" s="186"/>
      <c r="G224" s="186"/>
      <c r="H224" s="186"/>
      <c r="AK224" s="195"/>
      <c r="AL224" s="195"/>
      <c r="AM224" s="195"/>
      <c r="AN224" s="260"/>
      <c r="AO224" s="195"/>
      <c r="AP224" s="195"/>
      <c r="AQ224" s="195"/>
      <c r="AR224" s="201"/>
      <c r="AS224" s="201"/>
      <c r="AT224" s="201"/>
      <c r="AU224" s="201"/>
      <c r="AV224" s="201"/>
      <c r="AW224" s="201"/>
      <c r="AX224" s="201"/>
    </row>
    <row r="225" spans="2:50">
      <c r="B225" s="186"/>
      <c r="C225" s="186"/>
      <c r="D225" s="226"/>
      <c r="E225" s="211"/>
      <c r="F225" s="186"/>
      <c r="G225" s="186"/>
      <c r="H225" s="186"/>
      <c r="AK225" s="195"/>
      <c r="AL225" s="195"/>
      <c r="AM225" s="195"/>
      <c r="AN225" s="260"/>
      <c r="AO225" s="195"/>
      <c r="AP225" s="195"/>
      <c r="AQ225" s="195"/>
      <c r="AR225" s="201"/>
      <c r="AS225" s="201"/>
      <c r="AT225" s="201"/>
      <c r="AU225" s="201"/>
      <c r="AV225" s="201"/>
      <c r="AW225" s="201"/>
      <c r="AX225" s="201"/>
    </row>
    <row r="226" spans="2:50">
      <c r="B226" s="186"/>
      <c r="C226" s="186"/>
      <c r="D226" s="226"/>
      <c r="E226" s="211"/>
      <c r="F226" s="186"/>
      <c r="G226" s="186"/>
      <c r="H226" s="186"/>
      <c r="AK226" s="195"/>
      <c r="AL226" s="195"/>
      <c r="AM226" s="195"/>
      <c r="AN226" s="260"/>
      <c r="AO226" s="195"/>
      <c r="AP226" s="195"/>
      <c r="AQ226" s="195"/>
      <c r="AR226" s="201"/>
      <c r="AS226" s="201"/>
      <c r="AT226" s="201"/>
      <c r="AU226" s="201"/>
      <c r="AV226" s="201"/>
      <c r="AW226" s="201"/>
      <c r="AX226" s="201"/>
    </row>
    <row r="227" spans="2:50">
      <c r="B227" s="186"/>
      <c r="C227" s="186"/>
      <c r="D227" s="226"/>
      <c r="E227" s="211"/>
      <c r="F227" s="186"/>
      <c r="G227" s="186"/>
      <c r="H227" s="186"/>
      <c r="AK227" s="195"/>
      <c r="AL227" s="195"/>
      <c r="AM227" s="195"/>
      <c r="AN227" s="260"/>
      <c r="AO227" s="195"/>
      <c r="AP227" s="195"/>
      <c r="AQ227" s="195"/>
      <c r="AR227" s="201"/>
      <c r="AS227" s="201"/>
      <c r="AT227" s="201"/>
      <c r="AU227" s="201"/>
      <c r="AV227" s="201"/>
      <c r="AW227" s="201"/>
      <c r="AX227" s="201"/>
    </row>
    <row r="228" spans="2:50">
      <c r="B228" s="186"/>
      <c r="C228" s="186"/>
      <c r="D228" s="226"/>
      <c r="E228" s="211"/>
      <c r="F228" s="186"/>
      <c r="G228" s="186"/>
      <c r="H228" s="186"/>
      <c r="AK228" s="195"/>
      <c r="AL228" s="195"/>
      <c r="AM228" s="195"/>
      <c r="AN228" s="260"/>
      <c r="AO228" s="195"/>
      <c r="AP228" s="195"/>
      <c r="AQ228" s="195"/>
      <c r="AR228" s="201"/>
      <c r="AS228" s="201"/>
      <c r="AT228" s="201"/>
      <c r="AU228" s="201"/>
      <c r="AV228" s="201"/>
      <c r="AW228" s="201"/>
      <c r="AX228" s="201"/>
    </row>
    <row r="229" spans="2:50">
      <c r="B229" s="186"/>
      <c r="C229" s="186"/>
      <c r="D229" s="226"/>
      <c r="E229" s="211"/>
      <c r="F229" s="186"/>
      <c r="G229" s="186"/>
      <c r="H229" s="186"/>
      <c r="AK229" s="195"/>
      <c r="AL229" s="195"/>
      <c r="AM229" s="195"/>
      <c r="AN229" s="260"/>
      <c r="AO229" s="195"/>
      <c r="AP229" s="195"/>
      <c r="AQ229" s="195"/>
      <c r="AR229" s="201"/>
      <c r="AS229" s="201"/>
      <c r="AT229" s="201"/>
      <c r="AU229" s="201"/>
      <c r="AV229" s="201"/>
      <c r="AW229" s="201"/>
      <c r="AX229" s="201"/>
    </row>
    <row r="230" spans="2:50">
      <c r="B230" s="186"/>
      <c r="C230" s="186"/>
      <c r="D230" s="226"/>
      <c r="E230" s="211"/>
      <c r="F230" s="186"/>
      <c r="G230" s="186"/>
      <c r="H230" s="186"/>
      <c r="AK230" s="195"/>
      <c r="AL230" s="195"/>
      <c r="AM230" s="195"/>
      <c r="AN230" s="260"/>
      <c r="AO230" s="195"/>
      <c r="AP230" s="195"/>
      <c r="AQ230" s="195"/>
      <c r="AR230" s="201"/>
      <c r="AS230" s="201"/>
      <c r="AT230" s="201"/>
      <c r="AU230" s="201"/>
      <c r="AV230" s="201"/>
      <c r="AW230" s="201"/>
      <c r="AX230" s="201"/>
    </row>
    <row r="231" spans="2:50">
      <c r="B231" s="186"/>
      <c r="C231" s="186"/>
      <c r="D231" s="226"/>
      <c r="E231" s="211"/>
      <c r="F231" s="186"/>
      <c r="G231" s="186"/>
      <c r="H231" s="186"/>
      <c r="AK231" s="195"/>
      <c r="AL231" s="195"/>
      <c r="AM231" s="195"/>
      <c r="AN231" s="260"/>
      <c r="AO231" s="195"/>
      <c r="AP231" s="195"/>
      <c r="AQ231" s="195"/>
      <c r="AR231" s="201"/>
      <c r="AS231" s="201"/>
      <c r="AT231" s="201"/>
      <c r="AU231" s="201"/>
      <c r="AV231" s="201"/>
      <c r="AW231" s="201"/>
      <c r="AX231" s="201"/>
    </row>
    <row r="232" spans="2:50">
      <c r="B232" s="186"/>
      <c r="C232" s="186"/>
      <c r="D232" s="226"/>
      <c r="E232" s="211"/>
      <c r="F232" s="186"/>
      <c r="G232" s="186"/>
      <c r="H232" s="186"/>
      <c r="AK232" s="195"/>
      <c r="AL232" s="195"/>
      <c r="AM232" s="195"/>
      <c r="AN232" s="260"/>
      <c r="AO232" s="195"/>
      <c r="AP232" s="195"/>
      <c r="AQ232" s="195"/>
      <c r="AR232" s="201"/>
      <c r="AS232" s="201"/>
      <c r="AT232" s="201"/>
      <c r="AU232" s="201"/>
      <c r="AV232" s="201"/>
      <c r="AW232" s="201"/>
      <c r="AX232" s="201"/>
    </row>
    <row r="233" spans="2:50">
      <c r="B233" s="186"/>
      <c r="C233" s="186"/>
      <c r="D233" s="226"/>
      <c r="E233" s="211"/>
      <c r="F233" s="186"/>
      <c r="G233" s="186"/>
      <c r="H233" s="186"/>
      <c r="AK233" s="195"/>
      <c r="AL233" s="195"/>
      <c r="AM233" s="195"/>
      <c r="AN233" s="260"/>
      <c r="AO233" s="195"/>
      <c r="AP233" s="195"/>
      <c r="AQ233" s="195"/>
      <c r="AR233" s="201"/>
      <c r="AS233" s="201"/>
      <c r="AT233" s="201"/>
      <c r="AU233" s="201"/>
      <c r="AV233" s="201"/>
      <c r="AW233" s="201"/>
      <c r="AX233" s="201"/>
    </row>
    <row r="234" spans="2:50">
      <c r="B234" s="186"/>
      <c r="C234" s="186"/>
      <c r="D234" s="226"/>
      <c r="E234" s="211"/>
      <c r="F234" s="186"/>
      <c r="G234" s="186"/>
      <c r="H234" s="186"/>
      <c r="AK234" s="195"/>
      <c r="AL234" s="195"/>
      <c r="AM234" s="195"/>
      <c r="AN234" s="260"/>
      <c r="AO234" s="195"/>
      <c r="AP234" s="195"/>
      <c r="AQ234" s="195"/>
      <c r="AR234" s="201"/>
      <c r="AS234" s="201"/>
      <c r="AT234" s="201"/>
      <c r="AU234" s="201"/>
      <c r="AV234" s="201"/>
      <c r="AW234" s="201"/>
      <c r="AX234" s="201"/>
    </row>
    <row r="235" spans="2:50">
      <c r="B235" s="186"/>
      <c r="C235" s="186"/>
      <c r="D235" s="226"/>
      <c r="E235" s="211"/>
      <c r="F235" s="186"/>
      <c r="G235" s="186"/>
      <c r="H235" s="186"/>
      <c r="AK235" s="195"/>
      <c r="AL235" s="195"/>
      <c r="AM235" s="195"/>
      <c r="AN235" s="260"/>
      <c r="AO235" s="195"/>
      <c r="AP235" s="195"/>
      <c r="AQ235" s="195"/>
      <c r="AR235" s="201"/>
      <c r="AS235" s="201"/>
      <c r="AT235" s="201"/>
      <c r="AU235" s="201"/>
      <c r="AV235" s="201"/>
      <c r="AW235" s="201"/>
      <c r="AX235" s="201"/>
    </row>
    <row r="236" spans="2:50">
      <c r="B236" s="186"/>
      <c r="C236" s="186"/>
      <c r="D236" s="226"/>
      <c r="E236" s="211"/>
      <c r="F236" s="186"/>
      <c r="G236" s="186"/>
      <c r="H236" s="186"/>
      <c r="AK236" s="195"/>
      <c r="AL236" s="195"/>
      <c r="AM236" s="195"/>
      <c r="AN236" s="260"/>
      <c r="AO236" s="195"/>
      <c r="AP236" s="195"/>
      <c r="AQ236" s="195"/>
      <c r="AR236" s="201"/>
      <c r="AS236" s="201"/>
      <c r="AT236" s="201"/>
      <c r="AU236" s="201"/>
      <c r="AV236" s="201"/>
      <c r="AW236" s="201"/>
      <c r="AX236" s="201"/>
    </row>
    <row r="237" spans="2:50">
      <c r="B237" s="186"/>
      <c r="C237" s="186"/>
      <c r="D237" s="226"/>
      <c r="E237" s="211"/>
      <c r="F237" s="186"/>
      <c r="G237" s="186"/>
      <c r="H237" s="186"/>
      <c r="AK237" s="195"/>
      <c r="AL237" s="195"/>
      <c r="AM237" s="195"/>
      <c r="AN237" s="260"/>
      <c r="AO237" s="195"/>
      <c r="AP237" s="195"/>
      <c r="AQ237" s="195"/>
      <c r="AR237" s="201"/>
      <c r="AS237" s="201"/>
      <c r="AT237" s="201"/>
      <c r="AU237" s="201"/>
      <c r="AV237" s="201"/>
      <c r="AW237" s="201"/>
      <c r="AX237" s="201"/>
    </row>
    <row r="238" spans="2:50">
      <c r="B238" s="186"/>
      <c r="C238" s="186"/>
      <c r="D238" s="226"/>
      <c r="E238" s="211"/>
      <c r="F238" s="186"/>
      <c r="G238" s="186"/>
      <c r="H238" s="186"/>
      <c r="AK238" s="195"/>
      <c r="AL238" s="195"/>
      <c r="AM238" s="195"/>
      <c r="AN238" s="260"/>
      <c r="AO238" s="195"/>
      <c r="AP238" s="195"/>
      <c r="AQ238" s="195"/>
      <c r="AR238" s="201"/>
      <c r="AS238" s="201"/>
      <c r="AT238" s="201"/>
      <c r="AU238" s="201"/>
      <c r="AV238" s="201"/>
      <c r="AW238" s="201"/>
      <c r="AX238" s="201"/>
    </row>
    <row r="239" spans="2:50">
      <c r="B239" s="186"/>
      <c r="C239" s="186"/>
      <c r="D239" s="226"/>
      <c r="E239" s="211"/>
      <c r="F239" s="186"/>
      <c r="G239" s="186"/>
      <c r="H239" s="186"/>
      <c r="AK239" s="195"/>
      <c r="AL239" s="195"/>
      <c r="AM239" s="195"/>
      <c r="AN239" s="260"/>
      <c r="AO239" s="195"/>
      <c r="AP239" s="195"/>
      <c r="AQ239" s="195"/>
      <c r="AR239" s="201"/>
      <c r="AS239" s="201"/>
      <c r="AT239" s="201"/>
      <c r="AU239" s="201"/>
      <c r="AV239" s="201"/>
      <c r="AW239" s="201"/>
      <c r="AX239" s="201"/>
    </row>
    <row r="240" spans="2:50">
      <c r="B240" s="186"/>
      <c r="C240" s="186"/>
      <c r="D240" s="226"/>
      <c r="E240" s="211"/>
      <c r="F240" s="186"/>
      <c r="G240" s="186"/>
      <c r="H240" s="186"/>
      <c r="AK240" s="195"/>
      <c r="AL240" s="195"/>
      <c r="AM240" s="195"/>
      <c r="AN240" s="260"/>
      <c r="AO240" s="195"/>
      <c r="AP240" s="195"/>
      <c r="AQ240" s="195"/>
      <c r="AR240" s="201"/>
      <c r="AS240" s="201"/>
      <c r="AT240" s="201"/>
      <c r="AU240" s="201"/>
      <c r="AV240" s="201"/>
      <c r="AW240" s="201"/>
      <c r="AX240" s="201"/>
    </row>
    <row r="241" spans="2:50">
      <c r="B241" s="186"/>
      <c r="C241" s="186"/>
      <c r="D241" s="226"/>
      <c r="E241" s="211"/>
      <c r="F241" s="186"/>
      <c r="G241" s="186"/>
      <c r="H241" s="186"/>
      <c r="AK241" s="195"/>
      <c r="AL241" s="195"/>
      <c r="AM241" s="195"/>
      <c r="AN241" s="260"/>
      <c r="AO241" s="195"/>
      <c r="AP241" s="195"/>
      <c r="AQ241" s="195"/>
      <c r="AR241" s="201"/>
      <c r="AS241" s="201"/>
      <c r="AT241" s="201"/>
      <c r="AU241" s="201"/>
      <c r="AV241" s="201"/>
      <c r="AW241" s="201"/>
      <c r="AX241" s="201"/>
    </row>
    <row r="242" spans="2:50">
      <c r="B242" s="186"/>
      <c r="C242" s="186"/>
      <c r="D242" s="226"/>
      <c r="E242" s="211"/>
      <c r="F242" s="186"/>
      <c r="G242" s="186"/>
      <c r="H242" s="186"/>
      <c r="AK242" s="195"/>
      <c r="AL242" s="195"/>
      <c r="AM242" s="195"/>
      <c r="AN242" s="260"/>
      <c r="AO242" s="195"/>
      <c r="AP242" s="195"/>
      <c r="AQ242" s="195"/>
      <c r="AR242" s="201"/>
      <c r="AS242" s="201"/>
      <c r="AT242" s="201"/>
      <c r="AU242" s="201"/>
      <c r="AV242" s="201"/>
      <c r="AW242" s="201"/>
      <c r="AX242" s="201"/>
    </row>
    <row r="243" spans="2:50">
      <c r="B243" s="186"/>
      <c r="C243" s="186"/>
      <c r="D243" s="226"/>
      <c r="E243" s="211"/>
      <c r="F243" s="186"/>
      <c r="G243" s="186"/>
      <c r="H243" s="186"/>
      <c r="AK243" s="195"/>
      <c r="AL243" s="195"/>
      <c r="AM243" s="195"/>
      <c r="AN243" s="260"/>
      <c r="AO243" s="195"/>
      <c r="AP243" s="195"/>
      <c r="AQ243" s="195"/>
      <c r="AR243" s="201"/>
      <c r="AS243" s="201"/>
      <c r="AT243" s="201"/>
      <c r="AU243" s="201"/>
      <c r="AV243" s="201"/>
      <c r="AW243" s="201"/>
      <c r="AX243" s="201"/>
    </row>
    <row r="244" spans="2:50">
      <c r="B244" s="186"/>
      <c r="C244" s="186"/>
      <c r="D244" s="226"/>
      <c r="E244" s="211"/>
      <c r="F244" s="186"/>
      <c r="G244" s="186"/>
      <c r="H244" s="186"/>
      <c r="AK244" s="195"/>
      <c r="AL244" s="195"/>
      <c r="AM244" s="195"/>
      <c r="AN244" s="260"/>
      <c r="AO244" s="195"/>
      <c r="AP244" s="195"/>
      <c r="AQ244" s="195"/>
      <c r="AR244" s="201"/>
      <c r="AS244" s="201"/>
      <c r="AT244" s="201"/>
      <c r="AU244" s="201"/>
      <c r="AV244" s="201"/>
      <c r="AW244" s="201"/>
      <c r="AX244" s="201"/>
    </row>
    <row r="245" spans="2:50">
      <c r="B245" s="186"/>
      <c r="C245" s="186"/>
      <c r="D245" s="226"/>
      <c r="E245" s="211"/>
      <c r="F245" s="186"/>
      <c r="G245" s="186"/>
      <c r="H245" s="186"/>
      <c r="AK245" s="195"/>
      <c r="AL245" s="195"/>
      <c r="AM245" s="195"/>
      <c r="AN245" s="260"/>
      <c r="AO245" s="195"/>
      <c r="AP245" s="195"/>
      <c r="AQ245" s="195"/>
      <c r="AR245" s="201"/>
      <c r="AS245" s="201"/>
      <c r="AT245" s="201"/>
      <c r="AU245" s="201"/>
      <c r="AV245" s="201"/>
      <c r="AW245" s="201"/>
      <c r="AX245" s="201"/>
    </row>
    <row r="246" spans="2:50">
      <c r="B246" s="186"/>
      <c r="C246" s="186"/>
      <c r="D246" s="226"/>
      <c r="E246" s="211"/>
      <c r="F246" s="186"/>
      <c r="G246" s="186"/>
      <c r="H246" s="186"/>
      <c r="AK246" s="195"/>
      <c r="AL246" s="195"/>
      <c r="AM246" s="195"/>
      <c r="AN246" s="260"/>
      <c r="AO246" s="195"/>
      <c r="AP246" s="195"/>
      <c r="AQ246" s="195"/>
      <c r="AR246" s="201"/>
      <c r="AS246" s="201"/>
      <c r="AT246" s="201"/>
      <c r="AU246" s="201"/>
      <c r="AV246" s="201"/>
      <c r="AW246" s="201"/>
      <c r="AX246" s="201"/>
    </row>
    <row r="247" spans="2:50">
      <c r="B247" s="186"/>
      <c r="C247" s="186"/>
      <c r="D247" s="226"/>
      <c r="E247" s="211"/>
      <c r="F247" s="186"/>
      <c r="G247" s="186"/>
      <c r="H247" s="186"/>
      <c r="AK247" s="195"/>
      <c r="AL247" s="195"/>
      <c r="AM247" s="195"/>
      <c r="AN247" s="260"/>
      <c r="AO247" s="195"/>
      <c r="AP247" s="195"/>
      <c r="AQ247" s="195"/>
      <c r="AR247" s="201"/>
      <c r="AS247" s="201"/>
      <c r="AT247" s="201"/>
      <c r="AU247" s="201"/>
      <c r="AV247" s="201"/>
      <c r="AW247" s="201"/>
      <c r="AX247" s="201"/>
    </row>
    <row r="248" spans="2:50">
      <c r="B248" s="186"/>
      <c r="C248" s="186"/>
      <c r="D248" s="226"/>
      <c r="E248" s="211"/>
      <c r="F248" s="186"/>
      <c r="G248" s="186"/>
      <c r="H248" s="186"/>
      <c r="AK248" s="195"/>
      <c r="AL248" s="195"/>
      <c r="AM248" s="195"/>
      <c r="AN248" s="260"/>
      <c r="AO248" s="195"/>
      <c r="AP248" s="195"/>
      <c r="AQ248" s="195"/>
      <c r="AR248" s="201"/>
      <c r="AS248" s="201"/>
      <c r="AT248" s="201"/>
      <c r="AU248" s="201"/>
      <c r="AV248" s="201"/>
      <c r="AW248" s="201"/>
      <c r="AX248" s="201"/>
    </row>
    <row r="249" spans="2:50">
      <c r="B249" s="186"/>
      <c r="C249" s="186"/>
      <c r="D249" s="226"/>
      <c r="E249" s="211"/>
      <c r="F249" s="186"/>
      <c r="G249" s="186"/>
      <c r="H249" s="186"/>
      <c r="AK249" s="195"/>
      <c r="AL249" s="195"/>
      <c r="AM249" s="195"/>
      <c r="AN249" s="260"/>
      <c r="AO249" s="195"/>
      <c r="AP249" s="195"/>
      <c r="AQ249" s="195"/>
      <c r="AR249" s="201"/>
      <c r="AS249" s="201"/>
      <c r="AT249" s="201"/>
      <c r="AU249" s="201"/>
      <c r="AV249" s="201"/>
      <c r="AW249" s="201"/>
      <c r="AX249" s="201"/>
    </row>
    <row r="250" spans="2:50">
      <c r="B250" s="186"/>
      <c r="C250" s="186"/>
      <c r="D250" s="226"/>
      <c r="E250" s="211"/>
      <c r="F250" s="186"/>
      <c r="G250" s="186"/>
      <c r="H250" s="186"/>
      <c r="AK250" s="195"/>
      <c r="AL250" s="195"/>
      <c r="AM250" s="195"/>
      <c r="AN250" s="260"/>
      <c r="AO250" s="195"/>
      <c r="AP250" s="195"/>
      <c r="AQ250" s="195"/>
      <c r="AR250" s="201"/>
      <c r="AS250" s="201"/>
      <c r="AT250" s="201"/>
      <c r="AU250" s="201"/>
      <c r="AV250" s="201"/>
      <c r="AW250" s="201"/>
      <c r="AX250" s="201"/>
    </row>
    <row r="251" spans="2:50">
      <c r="B251" s="186"/>
      <c r="C251" s="186"/>
      <c r="D251" s="226"/>
      <c r="E251" s="211"/>
      <c r="F251" s="186"/>
      <c r="G251" s="186"/>
      <c r="H251" s="186"/>
      <c r="AK251" s="195"/>
      <c r="AL251" s="195"/>
      <c r="AM251" s="195"/>
      <c r="AN251" s="260"/>
      <c r="AO251" s="195"/>
      <c r="AP251" s="195"/>
      <c r="AQ251" s="195"/>
      <c r="AR251" s="201"/>
      <c r="AS251" s="201"/>
      <c r="AT251" s="201"/>
      <c r="AU251" s="201"/>
      <c r="AV251" s="201"/>
      <c r="AW251" s="201"/>
      <c r="AX251" s="201"/>
    </row>
    <row r="252" spans="2:50">
      <c r="B252" s="186"/>
      <c r="C252" s="186"/>
      <c r="D252" s="226"/>
      <c r="E252" s="211"/>
      <c r="F252" s="186"/>
      <c r="G252" s="186"/>
      <c r="H252" s="186"/>
      <c r="AK252" s="195"/>
      <c r="AL252" s="195"/>
      <c r="AM252" s="195"/>
      <c r="AN252" s="260"/>
      <c r="AO252" s="195"/>
      <c r="AP252" s="195"/>
      <c r="AQ252" s="195"/>
      <c r="AR252" s="201"/>
      <c r="AS252" s="201"/>
      <c r="AT252" s="201"/>
      <c r="AU252" s="201"/>
      <c r="AV252" s="201"/>
      <c r="AW252" s="201"/>
      <c r="AX252" s="201"/>
    </row>
    <row r="253" spans="2:50">
      <c r="B253" s="186"/>
      <c r="C253" s="186"/>
      <c r="D253" s="226"/>
      <c r="E253" s="211"/>
      <c r="F253" s="186"/>
      <c r="G253" s="186"/>
      <c r="H253" s="186"/>
      <c r="AK253" s="195"/>
      <c r="AL253" s="195"/>
      <c r="AM253" s="195"/>
      <c r="AN253" s="260"/>
      <c r="AO253" s="195"/>
      <c r="AP253" s="195"/>
      <c r="AQ253" s="195"/>
      <c r="AR253" s="201"/>
      <c r="AS253" s="201"/>
      <c r="AT253" s="201"/>
      <c r="AU253" s="201"/>
      <c r="AV253" s="201"/>
      <c r="AW253" s="201"/>
      <c r="AX253" s="201"/>
    </row>
    <row r="254" spans="2:50">
      <c r="B254" s="186"/>
      <c r="C254" s="186"/>
      <c r="D254" s="226"/>
      <c r="E254" s="211"/>
      <c r="F254" s="186"/>
      <c r="G254" s="186"/>
      <c r="H254" s="186"/>
      <c r="AK254" s="195"/>
      <c r="AL254" s="195"/>
      <c r="AM254" s="195"/>
      <c r="AN254" s="260"/>
      <c r="AO254" s="195"/>
      <c r="AP254" s="195"/>
      <c r="AQ254" s="195"/>
      <c r="AR254" s="201"/>
      <c r="AS254" s="201"/>
      <c r="AT254" s="201"/>
      <c r="AU254" s="201"/>
      <c r="AV254" s="201"/>
      <c r="AW254" s="201"/>
      <c r="AX254" s="201"/>
    </row>
    <row r="255" spans="2:50">
      <c r="B255" s="186"/>
      <c r="C255" s="186"/>
      <c r="D255" s="226"/>
      <c r="E255" s="211"/>
      <c r="F255" s="186"/>
      <c r="G255" s="186"/>
      <c r="H255" s="186"/>
      <c r="AK255" s="195"/>
      <c r="AL255" s="195"/>
      <c r="AM255" s="195"/>
      <c r="AN255" s="260"/>
      <c r="AO255" s="195"/>
      <c r="AP255" s="195"/>
      <c r="AQ255" s="195"/>
      <c r="AR255" s="201"/>
      <c r="AS255" s="201"/>
      <c r="AT255" s="201"/>
      <c r="AU255" s="201"/>
      <c r="AV255" s="201"/>
      <c r="AW255" s="201"/>
      <c r="AX255" s="201"/>
    </row>
    <row r="256" spans="2:50">
      <c r="B256" s="186"/>
      <c r="C256" s="186"/>
      <c r="D256" s="226"/>
      <c r="E256" s="211"/>
      <c r="F256" s="186"/>
      <c r="G256" s="186"/>
      <c r="H256" s="186"/>
      <c r="AK256" s="195"/>
      <c r="AL256" s="195"/>
      <c r="AM256" s="195"/>
      <c r="AN256" s="260"/>
      <c r="AO256" s="195"/>
      <c r="AP256" s="195"/>
      <c r="AQ256" s="195"/>
      <c r="AR256" s="201"/>
      <c r="AS256" s="201"/>
      <c r="AT256" s="201"/>
      <c r="AU256" s="201"/>
      <c r="AV256" s="201"/>
      <c r="AW256" s="201"/>
      <c r="AX256" s="201"/>
    </row>
    <row r="257" spans="2:50">
      <c r="B257" s="186"/>
      <c r="C257" s="186"/>
      <c r="D257" s="226"/>
      <c r="E257" s="211"/>
      <c r="F257" s="186"/>
      <c r="G257" s="186"/>
      <c r="H257" s="186"/>
      <c r="AK257" s="195"/>
      <c r="AL257" s="195"/>
      <c r="AM257" s="195"/>
      <c r="AN257" s="260"/>
      <c r="AO257" s="195"/>
      <c r="AP257" s="195"/>
      <c r="AQ257" s="195"/>
      <c r="AR257" s="201"/>
      <c r="AS257" s="201"/>
      <c r="AT257" s="201"/>
      <c r="AU257" s="201"/>
      <c r="AV257" s="201"/>
      <c r="AW257" s="201"/>
      <c r="AX257" s="201"/>
    </row>
    <row r="258" spans="2:50">
      <c r="B258" s="186"/>
      <c r="C258" s="186"/>
      <c r="D258" s="226"/>
      <c r="E258" s="211"/>
      <c r="F258" s="186"/>
      <c r="G258" s="186"/>
      <c r="H258" s="186"/>
      <c r="AK258" s="195"/>
      <c r="AL258" s="195"/>
      <c r="AM258" s="195"/>
      <c r="AN258" s="260"/>
      <c r="AO258" s="195"/>
      <c r="AP258" s="195"/>
      <c r="AQ258" s="195"/>
      <c r="AR258" s="201"/>
      <c r="AS258" s="201"/>
      <c r="AT258" s="201"/>
      <c r="AU258" s="201"/>
      <c r="AV258" s="201"/>
      <c r="AW258" s="201"/>
      <c r="AX258" s="201"/>
    </row>
    <row r="259" spans="2:50">
      <c r="B259" s="186"/>
      <c r="C259" s="186"/>
      <c r="D259" s="226"/>
      <c r="E259" s="211"/>
      <c r="F259" s="186"/>
      <c r="G259" s="186"/>
      <c r="H259" s="186"/>
      <c r="AK259" s="195"/>
      <c r="AL259" s="195"/>
      <c r="AM259" s="195"/>
      <c r="AN259" s="260"/>
      <c r="AO259" s="195"/>
      <c r="AP259" s="195"/>
      <c r="AQ259" s="195"/>
      <c r="AR259" s="201"/>
      <c r="AS259" s="201"/>
      <c r="AT259" s="201"/>
      <c r="AU259" s="201"/>
      <c r="AV259" s="201"/>
      <c r="AW259" s="201"/>
      <c r="AX259" s="201"/>
    </row>
    <row r="260" spans="2:50">
      <c r="B260" s="186"/>
      <c r="C260" s="186"/>
      <c r="D260" s="226"/>
      <c r="E260" s="211"/>
      <c r="F260" s="186"/>
      <c r="G260" s="186"/>
      <c r="H260" s="186"/>
      <c r="AK260" s="195"/>
      <c r="AL260" s="195"/>
      <c r="AM260" s="195"/>
      <c r="AN260" s="260"/>
      <c r="AO260" s="195"/>
      <c r="AP260" s="195"/>
      <c r="AQ260" s="195"/>
      <c r="AR260" s="201"/>
      <c r="AS260" s="201"/>
      <c r="AT260" s="201"/>
      <c r="AU260" s="201"/>
      <c r="AV260" s="201"/>
      <c r="AW260" s="201"/>
      <c r="AX260" s="201"/>
    </row>
    <row r="261" spans="2:50">
      <c r="B261" s="186"/>
      <c r="C261" s="186"/>
      <c r="D261" s="226"/>
      <c r="E261" s="211"/>
      <c r="F261" s="186"/>
      <c r="G261" s="186"/>
      <c r="H261" s="186"/>
      <c r="AK261" s="195"/>
      <c r="AL261" s="195"/>
      <c r="AM261" s="195"/>
      <c r="AN261" s="260"/>
      <c r="AO261" s="195"/>
      <c r="AP261" s="195"/>
      <c r="AQ261" s="195"/>
      <c r="AR261" s="201"/>
      <c r="AS261" s="201"/>
      <c r="AT261" s="201"/>
      <c r="AU261" s="201"/>
      <c r="AV261" s="201"/>
      <c r="AW261" s="201"/>
      <c r="AX261" s="201"/>
    </row>
    <row r="262" spans="2:50">
      <c r="B262" s="186"/>
      <c r="C262" s="186"/>
      <c r="D262" s="226"/>
      <c r="E262" s="211"/>
      <c r="F262" s="186"/>
      <c r="G262" s="186"/>
      <c r="H262" s="186"/>
      <c r="AK262" s="195"/>
      <c r="AL262" s="195"/>
      <c r="AM262" s="195"/>
      <c r="AN262" s="260"/>
      <c r="AO262" s="195"/>
      <c r="AP262" s="195"/>
      <c r="AQ262" s="195"/>
      <c r="AR262" s="201"/>
      <c r="AS262" s="201"/>
      <c r="AT262" s="201"/>
      <c r="AU262" s="201"/>
      <c r="AV262" s="201"/>
      <c r="AW262" s="201"/>
      <c r="AX262" s="201"/>
    </row>
    <row r="263" spans="2:50">
      <c r="B263" s="186"/>
      <c r="C263" s="186"/>
      <c r="D263" s="226"/>
      <c r="E263" s="211"/>
      <c r="F263" s="186"/>
      <c r="G263" s="186"/>
      <c r="H263" s="186"/>
      <c r="AK263" s="195"/>
      <c r="AL263" s="195"/>
      <c r="AM263" s="195"/>
      <c r="AN263" s="260"/>
      <c r="AO263" s="195"/>
      <c r="AP263" s="195"/>
      <c r="AQ263" s="195"/>
      <c r="AR263" s="201"/>
      <c r="AS263" s="201"/>
      <c r="AT263" s="201"/>
      <c r="AU263" s="201"/>
      <c r="AV263" s="201"/>
      <c r="AW263" s="201"/>
      <c r="AX263" s="201"/>
    </row>
    <row r="264" spans="2:50">
      <c r="B264" s="186"/>
      <c r="C264" s="186"/>
      <c r="D264" s="226"/>
      <c r="E264" s="211"/>
      <c r="F264" s="186"/>
      <c r="G264" s="186"/>
      <c r="H264" s="186"/>
      <c r="AK264" s="195"/>
      <c r="AL264" s="195"/>
      <c r="AM264" s="195"/>
      <c r="AN264" s="260"/>
      <c r="AO264" s="195"/>
      <c r="AP264" s="195"/>
      <c r="AQ264" s="195"/>
      <c r="AR264" s="201"/>
      <c r="AS264" s="201"/>
      <c r="AT264" s="201"/>
      <c r="AU264" s="201"/>
      <c r="AV264" s="201"/>
      <c r="AW264" s="201"/>
      <c r="AX264" s="201"/>
    </row>
    <row r="265" spans="2:50">
      <c r="B265" s="186"/>
      <c r="C265" s="186"/>
      <c r="D265" s="226"/>
      <c r="E265" s="211"/>
      <c r="F265" s="186"/>
      <c r="G265" s="186"/>
      <c r="H265" s="186"/>
      <c r="AK265" s="195"/>
      <c r="AL265" s="195"/>
      <c r="AM265" s="195"/>
      <c r="AN265" s="260"/>
      <c r="AO265" s="195"/>
      <c r="AP265" s="195"/>
      <c r="AQ265" s="195"/>
      <c r="AR265" s="201"/>
      <c r="AS265" s="201"/>
      <c r="AT265" s="201"/>
      <c r="AU265" s="201"/>
      <c r="AV265" s="201"/>
      <c r="AW265" s="201"/>
      <c r="AX265" s="201"/>
    </row>
    <row r="266" spans="2:50">
      <c r="B266" s="186"/>
      <c r="C266" s="186"/>
      <c r="D266" s="226"/>
      <c r="E266" s="211"/>
      <c r="F266" s="186"/>
      <c r="G266" s="186"/>
      <c r="H266" s="186"/>
      <c r="AK266" s="195"/>
      <c r="AL266" s="195"/>
      <c r="AM266" s="195"/>
      <c r="AN266" s="260"/>
      <c r="AO266" s="195"/>
      <c r="AP266" s="195"/>
      <c r="AQ266" s="195"/>
      <c r="AR266" s="201"/>
      <c r="AS266" s="201"/>
      <c r="AT266" s="201"/>
      <c r="AU266" s="201"/>
      <c r="AV266" s="201"/>
      <c r="AW266" s="201"/>
      <c r="AX266" s="201"/>
    </row>
    <row r="267" spans="2:50">
      <c r="B267" s="186"/>
      <c r="C267" s="186"/>
      <c r="D267" s="226"/>
      <c r="E267" s="211"/>
      <c r="F267" s="186"/>
      <c r="G267" s="186"/>
      <c r="H267" s="186"/>
      <c r="AK267" s="195"/>
      <c r="AL267" s="195"/>
      <c r="AM267" s="195"/>
      <c r="AN267" s="260"/>
      <c r="AO267" s="195"/>
      <c r="AP267" s="195"/>
      <c r="AQ267" s="195"/>
      <c r="AR267" s="201"/>
      <c r="AS267" s="201"/>
      <c r="AT267" s="201"/>
      <c r="AU267" s="201"/>
      <c r="AV267" s="201"/>
      <c r="AW267" s="201"/>
      <c r="AX267" s="201"/>
    </row>
    <row r="268" spans="2:50">
      <c r="B268" s="186"/>
      <c r="C268" s="186"/>
      <c r="D268" s="226"/>
      <c r="E268" s="211"/>
      <c r="F268" s="186"/>
      <c r="G268" s="186"/>
      <c r="H268" s="186"/>
      <c r="AK268" s="195"/>
      <c r="AL268" s="195"/>
      <c r="AM268" s="195"/>
      <c r="AN268" s="260"/>
      <c r="AO268" s="195"/>
      <c r="AP268" s="195"/>
      <c r="AQ268" s="195"/>
      <c r="AR268" s="201"/>
      <c r="AS268" s="201"/>
      <c r="AT268" s="201"/>
      <c r="AU268" s="201"/>
      <c r="AV268" s="201"/>
      <c r="AW268" s="201"/>
      <c r="AX268" s="201"/>
    </row>
    <row r="269" spans="2:50">
      <c r="B269" s="186"/>
      <c r="C269" s="186"/>
      <c r="D269" s="226"/>
      <c r="E269" s="211"/>
      <c r="F269" s="186"/>
      <c r="G269" s="186"/>
      <c r="H269" s="186"/>
      <c r="AK269" s="195"/>
      <c r="AL269" s="195"/>
      <c r="AM269" s="195"/>
      <c r="AN269" s="260"/>
      <c r="AO269" s="195"/>
      <c r="AP269" s="195"/>
      <c r="AQ269" s="195"/>
      <c r="AR269" s="201"/>
      <c r="AS269" s="201"/>
      <c r="AT269" s="201"/>
      <c r="AU269" s="201"/>
      <c r="AV269" s="201"/>
      <c r="AW269" s="201"/>
      <c r="AX269" s="201"/>
    </row>
    <row r="270" spans="2:50">
      <c r="B270" s="186"/>
      <c r="C270" s="186"/>
      <c r="D270" s="226"/>
      <c r="E270" s="211"/>
      <c r="F270" s="186"/>
      <c r="G270" s="186"/>
      <c r="H270" s="186"/>
      <c r="AK270" s="195"/>
      <c r="AL270" s="195"/>
      <c r="AM270" s="195"/>
      <c r="AN270" s="260"/>
      <c r="AO270" s="195"/>
      <c r="AP270" s="195"/>
      <c r="AQ270" s="195"/>
      <c r="AR270" s="201"/>
      <c r="AS270" s="201"/>
      <c r="AT270" s="201"/>
      <c r="AU270" s="201"/>
      <c r="AV270" s="201"/>
      <c r="AW270" s="201"/>
      <c r="AX270" s="201"/>
    </row>
    <row r="271" spans="2:50">
      <c r="B271" s="186"/>
      <c r="C271" s="186"/>
      <c r="D271" s="226"/>
      <c r="E271" s="211"/>
      <c r="F271" s="186"/>
      <c r="G271" s="186"/>
      <c r="H271" s="186"/>
      <c r="AK271" s="195"/>
      <c r="AL271" s="195"/>
      <c r="AM271" s="195"/>
      <c r="AN271" s="260"/>
      <c r="AO271" s="195"/>
      <c r="AP271" s="195"/>
      <c r="AQ271" s="195"/>
      <c r="AR271" s="201"/>
      <c r="AS271" s="201"/>
      <c r="AT271" s="201"/>
      <c r="AU271" s="201"/>
      <c r="AV271" s="201"/>
      <c r="AW271" s="201"/>
      <c r="AX271" s="201"/>
    </row>
    <row r="272" spans="2:50">
      <c r="B272" s="186"/>
      <c r="C272" s="186"/>
      <c r="D272" s="226"/>
      <c r="E272" s="211"/>
      <c r="F272" s="186"/>
      <c r="G272" s="186"/>
      <c r="H272" s="186"/>
      <c r="AK272" s="195"/>
      <c r="AL272" s="195"/>
      <c r="AM272" s="195"/>
      <c r="AN272" s="260"/>
      <c r="AO272" s="195"/>
      <c r="AP272" s="195"/>
      <c r="AQ272" s="195"/>
      <c r="AR272" s="201"/>
      <c r="AS272" s="201"/>
      <c r="AT272" s="201"/>
      <c r="AU272" s="201"/>
      <c r="AV272" s="201"/>
      <c r="AW272" s="201"/>
      <c r="AX272" s="201"/>
    </row>
    <row r="273" spans="2:50">
      <c r="B273" s="186"/>
      <c r="C273" s="186"/>
      <c r="D273" s="226"/>
      <c r="E273" s="211"/>
      <c r="F273" s="186"/>
      <c r="G273" s="186"/>
      <c r="H273" s="186"/>
      <c r="AK273" s="195"/>
      <c r="AL273" s="195"/>
      <c r="AM273" s="195"/>
      <c r="AN273" s="260"/>
      <c r="AO273" s="195"/>
      <c r="AP273" s="195"/>
      <c r="AQ273" s="195"/>
      <c r="AR273" s="201"/>
      <c r="AS273" s="201"/>
      <c r="AT273" s="201"/>
      <c r="AU273" s="201"/>
      <c r="AV273" s="201"/>
      <c r="AW273" s="201"/>
      <c r="AX273" s="201"/>
    </row>
    <row r="274" spans="2:50">
      <c r="B274" s="186"/>
      <c r="C274" s="186"/>
      <c r="D274" s="226"/>
      <c r="E274" s="211"/>
      <c r="F274" s="186"/>
      <c r="G274" s="186"/>
      <c r="H274" s="186"/>
      <c r="AK274" s="195"/>
      <c r="AL274" s="195"/>
      <c r="AM274" s="195"/>
      <c r="AN274" s="260"/>
      <c r="AO274" s="195"/>
      <c r="AP274" s="195"/>
      <c r="AQ274" s="195"/>
      <c r="AR274" s="201"/>
      <c r="AS274" s="201"/>
      <c r="AT274" s="201"/>
      <c r="AU274" s="201"/>
      <c r="AV274" s="201"/>
      <c r="AW274" s="201"/>
      <c r="AX274" s="201"/>
    </row>
    <row r="275" spans="2:50">
      <c r="B275" s="186"/>
      <c r="C275" s="186"/>
      <c r="D275" s="226"/>
      <c r="E275" s="211"/>
      <c r="F275" s="186"/>
      <c r="G275" s="186"/>
      <c r="H275" s="186"/>
      <c r="AK275" s="195"/>
      <c r="AL275" s="195"/>
      <c r="AM275" s="195"/>
      <c r="AN275" s="260"/>
      <c r="AO275" s="195"/>
      <c r="AP275" s="195"/>
      <c r="AQ275" s="195"/>
      <c r="AR275" s="201"/>
      <c r="AS275" s="201"/>
      <c r="AT275" s="201"/>
      <c r="AU275" s="201"/>
      <c r="AV275" s="201"/>
      <c r="AW275" s="201"/>
      <c r="AX275" s="201"/>
    </row>
    <row r="276" spans="2:50">
      <c r="B276" s="186"/>
      <c r="C276" s="186"/>
      <c r="D276" s="226"/>
      <c r="E276" s="211"/>
      <c r="F276" s="186"/>
      <c r="G276" s="186"/>
      <c r="H276" s="186"/>
      <c r="AK276" s="195"/>
      <c r="AL276" s="195"/>
      <c r="AM276" s="195"/>
      <c r="AN276" s="260"/>
      <c r="AO276" s="195"/>
      <c r="AP276" s="195"/>
      <c r="AQ276" s="195"/>
      <c r="AR276" s="201"/>
      <c r="AS276" s="201"/>
      <c r="AT276" s="201"/>
      <c r="AU276" s="201"/>
      <c r="AV276" s="201"/>
      <c r="AW276" s="201"/>
      <c r="AX276" s="201"/>
    </row>
    <row r="277" spans="2:50">
      <c r="B277" s="186"/>
      <c r="C277" s="186"/>
      <c r="D277" s="226"/>
      <c r="E277" s="211"/>
      <c r="F277" s="186"/>
      <c r="G277" s="186"/>
      <c r="H277" s="186"/>
      <c r="AK277" s="195"/>
      <c r="AL277" s="195"/>
      <c r="AM277" s="195"/>
      <c r="AN277" s="260"/>
      <c r="AO277" s="195"/>
      <c r="AP277" s="195"/>
      <c r="AQ277" s="195"/>
      <c r="AR277" s="201"/>
      <c r="AS277" s="201"/>
      <c r="AT277" s="201"/>
      <c r="AU277" s="201"/>
      <c r="AV277" s="201"/>
      <c r="AW277" s="201"/>
      <c r="AX277" s="201"/>
    </row>
    <row r="278" spans="2:50">
      <c r="B278" s="186"/>
      <c r="C278" s="186"/>
      <c r="D278" s="226"/>
      <c r="E278" s="211"/>
      <c r="F278" s="186"/>
      <c r="G278" s="186"/>
      <c r="H278" s="186"/>
      <c r="AK278" s="195"/>
      <c r="AL278" s="195"/>
      <c r="AM278" s="195"/>
      <c r="AN278" s="260"/>
      <c r="AO278" s="195"/>
      <c r="AP278" s="195"/>
      <c r="AQ278" s="195"/>
      <c r="AR278" s="201"/>
      <c r="AS278" s="201"/>
      <c r="AT278" s="201"/>
      <c r="AU278" s="201"/>
      <c r="AV278" s="201"/>
      <c r="AW278" s="201"/>
      <c r="AX278" s="201"/>
    </row>
    <row r="279" spans="2:50">
      <c r="B279" s="186"/>
      <c r="C279" s="186"/>
      <c r="D279" s="226"/>
      <c r="E279" s="211"/>
      <c r="F279" s="186"/>
      <c r="G279" s="186"/>
      <c r="H279" s="186"/>
      <c r="AK279" s="195"/>
      <c r="AL279" s="195"/>
      <c r="AM279" s="195"/>
      <c r="AN279" s="260"/>
      <c r="AO279" s="195"/>
      <c r="AP279" s="195"/>
      <c r="AQ279" s="195"/>
      <c r="AR279" s="201"/>
      <c r="AS279" s="201"/>
      <c r="AT279" s="201"/>
      <c r="AU279" s="201"/>
      <c r="AV279" s="201"/>
      <c r="AW279" s="201"/>
      <c r="AX279" s="201"/>
    </row>
    <row r="280" spans="2:50">
      <c r="B280" s="186"/>
      <c r="C280" s="186"/>
      <c r="D280" s="226"/>
      <c r="E280" s="211"/>
      <c r="F280" s="186"/>
      <c r="G280" s="186"/>
      <c r="H280" s="186"/>
      <c r="AK280" s="195"/>
      <c r="AL280" s="195"/>
      <c r="AM280" s="195"/>
      <c r="AN280" s="260"/>
      <c r="AO280" s="195"/>
      <c r="AP280" s="195"/>
      <c r="AQ280" s="195"/>
      <c r="AR280" s="201"/>
      <c r="AS280" s="201"/>
      <c r="AT280" s="201"/>
      <c r="AU280" s="201"/>
      <c r="AV280" s="201"/>
      <c r="AW280" s="201"/>
      <c r="AX280" s="201"/>
    </row>
    <row r="281" spans="2:50">
      <c r="B281" s="186"/>
      <c r="C281" s="186"/>
      <c r="D281" s="226"/>
      <c r="E281" s="211"/>
      <c r="F281" s="186"/>
      <c r="G281" s="186"/>
      <c r="H281" s="186"/>
      <c r="AK281" s="195"/>
      <c r="AL281" s="195"/>
      <c r="AM281" s="195"/>
      <c r="AN281" s="260"/>
      <c r="AO281" s="195"/>
      <c r="AP281" s="195"/>
      <c r="AQ281" s="195"/>
      <c r="AR281" s="201"/>
      <c r="AS281" s="201"/>
      <c r="AT281" s="201"/>
      <c r="AU281" s="201"/>
      <c r="AV281" s="201"/>
      <c r="AW281" s="201"/>
      <c r="AX281" s="201"/>
    </row>
    <row r="282" spans="2:50">
      <c r="B282" s="186"/>
      <c r="C282" s="186"/>
      <c r="D282" s="226"/>
      <c r="E282" s="211"/>
      <c r="F282" s="186"/>
      <c r="G282" s="186"/>
      <c r="H282" s="186"/>
      <c r="AK282" s="195"/>
      <c r="AL282" s="195"/>
      <c r="AM282" s="195"/>
      <c r="AN282" s="260"/>
      <c r="AO282" s="195"/>
      <c r="AP282" s="195"/>
      <c r="AQ282" s="195"/>
      <c r="AR282" s="201"/>
      <c r="AS282" s="201"/>
      <c r="AT282" s="201"/>
      <c r="AU282" s="201"/>
      <c r="AV282" s="201"/>
      <c r="AW282" s="201"/>
      <c r="AX282" s="201"/>
    </row>
    <row r="283" spans="2:50">
      <c r="B283" s="186"/>
      <c r="C283" s="186"/>
      <c r="D283" s="226"/>
      <c r="E283" s="211"/>
      <c r="F283" s="186"/>
      <c r="G283" s="186"/>
      <c r="H283" s="186"/>
      <c r="AK283" s="195"/>
      <c r="AL283" s="195"/>
      <c r="AM283" s="195"/>
      <c r="AN283" s="260"/>
      <c r="AO283" s="195"/>
      <c r="AP283" s="195"/>
      <c r="AQ283" s="195"/>
      <c r="AR283" s="201"/>
      <c r="AS283" s="201"/>
      <c r="AT283" s="201"/>
      <c r="AU283" s="201"/>
      <c r="AV283" s="201"/>
      <c r="AW283" s="201"/>
      <c r="AX283" s="201"/>
    </row>
    <row r="284" spans="2:50">
      <c r="B284" s="186"/>
      <c r="C284" s="186"/>
      <c r="D284" s="226"/>
      <c r="E284" s="211"/>
      <c r="F284" s="186"/>
      <c r="G284" s="186"/>
      <c r="H284" s="186"/>
      <c r="AK284" s="195"/>
      <c r="AL284" s="195"/>
      <c r="AM284" s="195"/>
      <c r="AN284" s="260"/>
      <c r="AO284" s="195"/>
      <c r="AP284" s="195"/>
      <c r="AQ284" s="195"/>
      <c r="AR284" s="201"/>
      <c r="AS284" s="201"/>
      <c r="AT284" s="201"/>
      <c r="AU284" s="201"/>
      <c r="AV284" s="201"/>
      <c r="AW284" s="201"/>
      <c r="AX284" s="201"/>
    </row>
    <row r="285" spans="2:50">
      <c r="B285" s="186"/>
      <c r="C285" s="186"/>
      <c r="D285" s="226"/>
      <c r="E285" s="211"/>
      <c r="F285" s="186"/>
      <c r="G285" s="186"/>
      <c r="H285" s="186"/>
      <c r="AK285" s="195"/>
      <c r="AL285" s="195"/>
      <c r="AM285" s="195"/>
      <c r="AN285" s="260"/>
      <c r="AO285" s="195"/>
      <c r="AP285" s="195"/>
      <c r="AQ285" s="195"/>
      <c r="AR285" s="201"/>
      <c r="AS285" s="201"/>
      <c r="AT285" s="201"/>
      <c r="AU285" s="201"/>
      <c r="AV285" s="201"/>
      <c r="AW285" s="201"/>
      <c r="AX285" s="201"/>
    </row>
    <row r="286" spans="2:50">
      <c r="B286" s="186"/>
      <c r="C286" s="186"/>
      <c r="D286" s="226"/>
      <c r="E286" s="211"/>
      <c r="F286" s="186"/>
      <c r="G286" s="186"/>
      <c r="H286" s="186"/>
      <c r="AK286" s="195"/>
      <c r="AL286" s="195"/>
      <c r="AM286" s="195"/>
      <c r="AN286" s="260"/>
      <c r="AO286" s="195"/>
      <c r="AP286" s="195"/>
      <c r="AQ286" s="195"/>
      <c r="AR286" s="201"/>
      <c r="AS286" s="201"/>
      <c r="AT286" s="201"/>
      <c r="AU286" s="201"/>
      <c r="AV286" s="201"/>
      <c r="AW286" s="201"/>
      <c r="AX286" s="201"/>
    </row>
    <row r="287" spans="2:50">
      <c r="B287" s="186"/>
      <c r="C287" s="186"/>
      <c r="D287" s="226"/>
      <c r="E287" s="211"/>
      <c r="F287" s="186"/>
      <c r="G287" s="186"/>
      <c r="H287" s="186"/>
      <c r="AK287" s="195"/>
      <c r="AL287" s="195"/>
      <c r="AM287" s="195"/>
      <c r="AN287" s="260"/>
      <c r="AO287" s="195"/>
      <c r="AP287" s="195"/>
      <c r="AQ287" s="195"/>
      <c r="AR287" s="201"/>
      <c r="AS287" s="201"/>
      <c r="AT287" s="201"/>
      <c r="AU287" s="201"/>
      <c r="AV287" s="201"/>
      <c r="AW287" s="201"/>
      <c r="AX287" s="201"/>
    </row>
    <row r="288" spans="2:50">
      <c r="B288" s="186"/>
      <c r="C288" s="186"/>
      <c r="D288" s="226"/>
      <c r="E288" s="211"/>
      <c r="F288" s="186"/>
      <c r="G288" s="186"/>
      <c r="H288" s="186"/>
      <c r="AK288" s="195"/>
      <c r="AL288" s="195"/>
      <c r="AM288" s="195"/>
      <c r="AN288" s="260"/>
      <c r="AO288" s="195"/>
      <c r="AP288" s="195"/>
      <c r="AQ288" s="195"/>
      <c r="AR288" s="201"/>
      <c r="AS288" s="201"/>
      <c r="AT288" s="201"/>
      <c r="AU288" s="201"/>
      <c r="AV288" s="201"/>
      <c r="AW288" s="201"/>
      <c r="AX288" s="201"/>
    </row>
    <row r="289" spans="2:50">
      <c r="B289" s="186"/>
      <c r="C289" s="186"/>
      <c r="D289" s="226"/>
      <c r="E289" s="211"/>
      <c r="F289" s="186"/>
      <c r="G289" s="186"/>
      <c r="H289" s="186"/>
      <c r="AK289" s="195"/>
      <c r="AL289" s="195"/>
      <c r="AM289" s="195"/>
      <c r="AN289" s="260"/>
      <c r="AO289" s="195"/>
      <c r="AP289" s="195"/>
      <c r="AQ289" s="195"/>
      <c r="AR289" s="201"/>
      <c r="AS289" s="201"/>
      <c r="AT289" s="201"/>
      <c r="AU289" s="201"/>
      <c r="AV289" s="201"/>
      <c r="AW289" s="201"/>
      <c r="AX289" s="201"/>
    </row>
    <row r="290" spans="2:50">
      <c r="B290" s="186"/>
      <c r="C290" s="186"/>
      <c r="D290" s="226"/>
      <c r="E290" s="211"/>
      <c r="F290" s="186"/>
      <c r="G290" s="186"/>
      <c r="H290" s="186"/>
      <c r="AK290" s="195"/>
      <c r="AL290" s="195"/>
      <c r="AM290" s="195"/>
      <c r="AN290" s="260"/>
      <c r="AO290" s="195"/>
      <c r="AP290" s="195"/>
      <c r="AQ290" s="195"/>
      <c r="AR290" s="201"/>
      <c r="AS290" s="201"/>
      <c r="AT290" s="201"/>
      <c r="AU290" s="201"/>
      <c r="AV290" s="201"/>
      <c r="AW290" s="201"/>
      <c r="AX290" s="201"/>
    </row>
    <row r="291" spans="2:50">
      <c r="B291" s="186"/>
      <c r="C291" s="186"/>
      <c r="D291" s="226"/>
      <c r="E291" s="211"/>
      <c r="F291" s="186"/>
      <c r="G291" s="186"/>
      <c r="H291" s="186"/>
      <c r="AK291" s="195"/>
      <c r="AL291" s="195"/>
      <c r="AM291" s="195"/>
      <c r="AN291" s="260"/>
      <c r="AO291" s="195"/>
      <c r="AP291" s="195"/>
      <c r="AQ291" s="195"/>
      <c r="AR291" s="201"/>
      <c r="AS291" s="201"/>
      <c r="AT291" s="201"/>
      <c r="AU291" s="201"/>
      <c r="AV291" s="201"/>
      <c r="AW291" s="201"/>
      <c r="AX291" s="201"/>
    </row>
    <row r="292" spans="2:50">
      <c r="B292" s="186"/>
      <c r="C292" s="186"/>
      <c r="D292" s="226"/>
      <c r="E292" s="211"/>
      <c r="F292" s="186"/>
      <c r="G292" s="186"/>
      <c r="H292" s="186"/>
      <c r="AK292" s="195"/>
      <c r="AL292" s="195"/>
      <c r="AM292" s="195"/>
      <c r="AN292" s="260"/>
      <c r="AO292" s="195"/>
      <c r="AP292" s="195"/>
      <c r="AQ292" s="195"/>
      <c r="AR292" s="201"/>
      <c r="AS292" s="201"/>
      <c r="AT292" s="201"/>
      <c r="AU292" s="201"/>
      <c r="AV292" s="201"/>
      <c r="AW292" s="201"/>
      <c r="AX292" s="201"/>
    </row>
    <row r="293" spans="2:50">
      <c r="B293" s="186"/>
      <c r="C293" s="186"/>
      <c r="D293" s="226"/>
      <c r="E293" s="211"/>
      <c r="F293" s="186"/>
      <c r="G293" s="186"/>
      <c r="H293" s="186"/>
      <c r="AK293" s="195"/>
      <c r="AL293" s="195"/>
      <c r="AM293" s="195"/>
      <c r="AN293" s="260"/>
      <c r="AO293" s="195"/>
      <c r="AP293" s="195"/>
      <c r="AQ293" s="195"/>
      <c r="AR293" s="201"/>
      <c r="AS293" s="201"/>
      <c r="AT293" s="201"/>
      <c r="AU293" s="201"/>
      <c r="AV293" s="201"/>
      <c r="AW293" s="201"/>
      <c r="AX293" s="201"/>
    </row>
    <row r="294" spans="2:50">
      <c r="B294" s="186"/>
      <c r="C294" s="186"/>
      <c r="D294" s="226"/>
      <c r="E294" s="211"/>
      <c r="F294" s="186"/>
      <c r="G294" s="186"/>
      <c r="H294" s="186"/>
      <c r="AK294" s="195"/>
      <c r="AL294" s="195"/>
      <c r="AM294" s="195"/>
      <c r="AN294" s="260"/>
      <c r="AO294" s="195"/>
      <c r="AP294" s="195"/>
      <c r="AQ294" s="195"/>
      <c r="AR294" s="201"/>
      <c r="AS294" s="201"/>
      <c r="AT294" s="201"/>
      <c r="AU294" s="201"/>
      <c r="AV294" s="201"/>
      <c r="AW294" s="201"/>
      <c r="AX294" s="201"/>
    </row>
    <row r="295" spans="2:50">
      <c r="B295" s="186"/>
      <c r="C295" s="186"/>
      <c r="D295" s="226"/>
      <c r="E295" s="211"/>
      <c r="F295" s="186"/>
      <c r="G295" s="186"/>
      <c r="H295" s="186"/>
      <c r="AK295" s="195"/>
      <c r="AL295" s="195"/>
      <c r="AM295" s="195"/>
      <c r="AN295" s="260"/>
      <c r="AO295" s="195"/>
      <c r="AP295" s="195"/>
      <c r="AQ295" s="195"/>
      <c r="AR295" s="201"/>
      <c r="AS295" s="201"/>
      <c r="AT295" s="201"/>
      <c r="AU295" s="201"/>
      <c r="AV295" s="201"/>
      <c r="AW295" s="201"/>
      <c r="AX295" s="201"/>
    </row>
    <row r="296" spans="2:50">
      <c r="B296" s="186"/>
      <c r="C296" s="186"/>
      <c r="D296" s="226"/>
      <c r="E296" s="211"/>
      <c r="F296" s="186"/>
      <c r="G296" s="186"/>
      <c r="H296" s="186"/>
      <c r="AK296" s="195"/>
      <c r="AL296" s="195"/>
      <c r="AM296" s="195"/>
      <c r="AN296" s="260"/>
      <c r="AO296" s="195"/>
      <c r="AP296" s="195"/>
      <c r="AQ296" s="195"/>
      <c r="AR296" s="201"/>
      <c r="AS296" s="201"/>
      <c r="AT296" s="201"/>
      <c r="AU296" s="201"/>
      <c r="AV296" s="201"/>
      <c r="AW296" s="201"/>
      <c r="AX296" s="201"/>
    </row>
    <row r="297" spans="2:50">
      <c r="B297" s="186"/>
      <c r="C297" s="186"/>
      <c r="D297" s="226"/>
      <c r="E297" s="211"/>
      <c r="F297" s="186"/>
      <c r="G297" s="186"/>
      <c r="H297" s="186"/>
      <c r="AK297" s="195"/>
      <c r="AL297" s="195"/>
      <c r="AM297" s="195"/>
      <c r="AN297" s="260"/>
      <c r="AO297" s="195"/>
      <c r="AP297" s="195"/>
      <c r="AQ297" s="195"/>
      <c r="AR297" s="201"/>
      <c r="AS297" s="201"/>
      <c r="AT297" s="201"/>
      <c r="AU297" s="201"/>
      <c r="AV297" s="201"/>
      <c r="AW297" s="201"/>
      <c r="AX297" s="201"/>
    </row>
    <row r="298" spans="2:50">
      <c r="B298" s="186"/>
      <c r="C298" s="186"/>
      <c r="D298" s="226"/>
      <c r="E298" s="211"/>
      <c r="F298" s="186"/>
      <c r="G298" s="186"/>
      <c r="H298" s="186"/>
      <c r="AK298" s="195"/>
      <c r="AL298" s="195"/>
      <c r="AM298" s="195"/>
      <c r="AN298" s="260"/>
      <c r="AO298" s="195"/>
      <c r="AP298" s="195"/>
      <c r="AQ298" s="195"/>
      <c r="AR298" s="201"/>
      <c r="AS298" s="201"/>
      <c r="AT298" s="201"/>
      <c r="AU298" s="201"/>
      <c r="AV298" s="201"/>
      <c r="AW298" s="201"/>
      <c r="AX298" s="201"/>
    </row>
    <row r="299" spans="2:50">
      <c r="AK299" s="195"/>
      <c r="AL299" s="195"/>
      <c r="AM299" s="195"/>
      <c r="AN299" s="260"/>
      <c r="AO299" s="195"/>
      <c r="AP299" s="195"/>
      <c r="AQ299" s="195"/>
      <c r="AR299" s="201"/>
      <c r="AS299" s="201"/>
      <c r="AT299" s="201"/>
      <c r="AU299" s="201"/>
      <c r="AV299" s="201"/>
      <c r="AW299" s="201"/>
      <c r="AX299" s="201"/>
    </row>
    <row r="300" spans="2:50">
      <c r="AK300" s="195"/>
      <c r="AL300" s="195"/>
      <c r="AM300" s="195"/>
      <c r="AN300" s="260"/>
      <c r="AO300" s="195"/>
      <c r="AP300" s="195"/>
      <c r="AQ300" s="195"/>
      <c r="AR300" s="201"/>
      <c r="AS300" s="201"/>
      <c r="AT300" s="201"/>
      <c r="AU300" s="201"/>
      <c r="AV300" s="201"/>
      <c r="AW300" s="201"/>
      <c r="AX300" s="201"/>
    </row>
    <row r="301" spans="2:50">
      <c r="AK301" s="195"/>
      <c r="AL301" s="195"/>
      <c r="AM301" s="195"/>
      <c r="AN301" s="260"/>
      <c r="AO301" s="195"/>
      <c r="AP301" s="195"/>
      <c r="AQ301" s="195"/>
      <c r="AR301" s="201"/>
      <c r="AS301" s="201"/>
      <c r="AT301" s="201"/>
      <c r="AU301" s="201"/>
      <c r="AV301" s="201"/>
      <c r="AW301" s="201"/>
      <c r="AX301" s="201"/>
    </row>
    <row r="302" spans="2:50">
      <c r="AK302" s="195"/>
      <c r="AL302" s="195"/>
      <c r="AM302" s="195"/>
      <c r="AN302" s="260"/>
      <c r="AO302" s="195"/>
      <c r="AP302" s="195"/>
      <c r="AQ302" s="195"/>
      <c r="AR302" s="201"/>
      <c r="AS302" s="201"/>
      <c r="AT302" s="201"/>
      <c r="AU302" s="201"/>
      <c r="AV302" s="201"/>
      <c r="AW302" s="201"/>
      <c r="AX302" s="201"/>
    </row>
    <row r="303" spans="2:50">
      <c r="AK303" s="195"/>
      <c r="AL303" s="195"/>
      <c r="AM303" s="195"/>
      <c r="AN303" s="260"/>
      <c r="AO303" s="195"/>
      <c r="AP303" s="195"/>
      <c r="AQ303" s="195"/>
      <c r="AR303" s="201"/>
      <c r="AS303" s="201"/>
      <c r="AT303" s="201"/>
      <c r="AU303" s="201"/>
      <c r="AV303" s="201"/>
      <c r="AW303" s="201"/>
      <c r="AX303" s="201"/>
    </row>
    <row r="304" spans="2:50">
      <c r="AK304" s="195"/>
      <c r="AL304" s="195"/>
      <c r="AM304" s="195"/>
      <c r="AN304" s="260"/>
      <c r="AO304" s="195"/>
      <c r="AP304" s="195"/>
      <c r="AQ304" s="195"/>
      <c r="AR304" s="201"/>
      <c r="AS304" s="201"/>
      <c r="AT304" s="201"/>
      <c r="AU304" s="201"/>
      <c r="AV304" s="201"/>
      <c r="AW304" s="201"/>
      <c r="AX304" s="201"/>
    </row>
    <row r="305" spans="37:50">
      <c r="AK305" s="195"/>
      <c r="AL305" s="195"/>
      <c r="AM305" s="195"/>
      <c r="AN305" s="260"/>
      <c r="AO305" s="195"/>
      <c r="AP305" s="195"/>
      <c r="AQ305" s="195"/>
      <c r="AR305" s="201"/>
      <c r="AS305" s="201"/>
      <c r="AT305" s="201"/>
      <c r="AU305" s="201"/>
      <c r="AV305" s="201"/>
      <c r="AW305" s="201"/>
      <c r="AX305" s="201"/>
    </row>
    <row r="306" spans="37:50">
      <c r="AK306" s="195"/>
      <c r="AL306" s="195"/>
      <c r="AM306" s="195"/>
      <c r="AN306" s="260"/>
      <c r="AO306" s="195"/>
      <c r="AP306" s="195"/>
      <c r="AQ306" s="195"/>
      <c r="AR306" s="201"/>
      <c r="AS306" s="201"/>
      <c r="AT306" s="201"/>
      <c r="AU306" s="201"/>
      <c r="AV306" s="201"/>
      <c r="AW306" s="201"/>
      <c r="AX306" s="201"/>
    </row>
    <row r="307" spans="37:50">
      <c r="AK307" s="195"/>
      <c r="AL307" s="195"/>
      <c r="AM307" s="195"/>
      <c r="AN307" s="260"/>
      <c r="AO307" s="195"/>
      <c r="AP307" s="195"/>
      <c r="AQ307" s="195"/>
      <c r="AR307" s="201"/>
      <c r="AS307" s="201"/>
      <c r="AT307" s="201"/>
      <c r="AU307" s="201"/>
      <c r="AV307" s="201"/>
      <c r="AW307" s="201"/>
      <c r="AX307" s="201"/>
    </row>
    <row r="308" spans="37:50">
      <c r="AK308" s="195"/>
      <c r="AL308" s="195"/>
      <c r="AM308" s="195"/>
      <c r="AN308" s="260"/>
      <c r="AO308" s="195"/>
      <c r="AP308" s="195"/>
      <c r="AQ308" s="195"/>
      <c r="AR308" s="201"/>
      <c r="AS308" s="201"/>
      <c r="AT308" s="201"/>
      <c r="AU308" s="201"/>
      <c r="AV308" s="201"/>
      <c r="AW308" s="201"/>
      <c r="AX308" s="201"/>
    </row>
    <row r="309" spans="37:50">
      <c r="AK309" s="195"/>
      <c r="AL309" s="195"/>
      <c r="AM309" s="195"/>
      <c r="AN309" s="260"/>
      <c r="AO309" s="195"/>
      <c r="AP309" s="195"/>
      <c r="AQ309" s="195"/>
      <c r="AR309" s="201"/>
      <c r="AS309" s="201"/>
      <c r="AT309" s="201"/>
      <c r="AU309" s="201"/>
      <c r="AV309" s="201"/>
      <c r="AW309" s="201"/>
      <c r="AX309" s="201"/>
    </row>
    <row r="310" spans="37:50">
      <c r="AK310" s="195"/>
      <c r="AL310" s="195"/>
      <c r="AM310" s="195"/>
      <c r="AN310" s="260"/>
      <c r="AO310" s="195"/>
      <c r="AP310" s="195"/>
      <c r="AQ310" s="195"/>
      <c r="AR310" s="201"/>
      <c r="AS310" s="201"/>
      <c r="AT310" s="201"/>
      <c r="AU310" s="201"/>
      <c r="AV310" s="201"/>
      <c r="AW310" s="201"/>
      <c r="AX310" s="201"/>
    </row>
    <row r="311" spans="37:50">
      <c r="AK311" s="195"/>
      <c r="AL311" s="195"/>
      <c r="AM311" s="195"/>
      <c r="AN311" s="260"/>
      <c r="AO311" s="195"/>
      <c r="AP311" s="195"/>
      <c r="AQ311" s="195"/>
      <c r="AR311" s="201"/>
      <c r="AS311" s="201"/>
      <c r="AT311" s="201"/>
      <c r="AU311" s="201"/>
      <c r="AV311" s="201"/>
      <c r="AW311" s="201"/>
      <c r="AX311" s="201"/>
    </row>
    <row r="312" spans="37:50">
      <c r="AK312" s="195"/>
      <c r="AL312" s="195"/>
      <c r="AM312" s="195"/>
      <c r="AN312" s="260"/>
      <c r="AO312" s="195"/>
      <c r="AP312" s="195"/>
      <c r="AQ312" s="195"/>
      <c r="AR312" s="201"/>
      <c r="AS312" s="201"/>
      <c r="AT312" s="201"/>
      <c r="AU312" s="201"/>
      <c r="AV312" s="201"/>
      <c r="AW312" s="201"/>
      <c r="AX312" s="201"/>
    </row>
    <row r="313" spans="37:50">
      <c r="AR313" s="201"/>
      <c r="AS313" s="201"/>
      <c r="AT313" s="201"/>
      <c r="AU313" s="201"/>
      <c r="AV313" s="201"/>
      <c r="AW313" s="201"/>
      <c r="AX313" s="201"/>
    </row>
    <row r="314" spans="37:50">
      <c r="AR314" s="201"/>
      <c r="AS314" s="201"/>
      <c r="AT314" s="201"/>
      <c r="AU314" s="201"/>
      <c r="AV314" s="201"/>
      <c r="AW314" s="201"/>
      <c r="AX314" s="201"/>
    </row>
    <row r="315" spans="37:50">
      <c r="AR315" s="201"/>
      <c r="AS315" s="201"/>
      <c r="AT315" s="201"/>
      <c r="AU315" s="201"/>
      <c r="AV315" s="201"/>
      <c r="AW315" s="201"/>
      <c r="AX315" s="201"/>
    </row>
    <row r="316" spans="37:50">
      <c r="AR316" s="201"/>
      <c r="AS316" s="201"/>
      <c r="AT316" s="201"/>
      <c r="AU316" s="201"/>
      <c r="AV316" s="201"/>
      <c r="AW316" s="201"/>
      <c r="AX316" s="201"/>
    </row>
    <row r="317" spans="37:50">
      <c r="AR317" s="201"/>
      <c r="AS317" s="201"/>
      <c r="AT317" s="201"/>
      <c r="AU317" s="201"/>
      <c r="AV317" s="201"/>
      <c r="AW317" s="201"/>
      <c r="AX317" s="201"/>
    </row>
    <row r="318" spans="37:50">
      <c r="AR318" s="201"/>
      <c r="AS318" s="201"/>
      <c r="AT318" s="201"/>
      <c r="AU318" s="201"/>
      <c r="AV318" s="201"/>
      <c r="AW318" s="201"/>
      <c r="AX318" s="201"/>
    </row>
    <row r="319" spans="37:50">
      <c r="AR319" s="201"/>
      <c r="AS319" s="201"/>
      <c r="AT319" s="201"/>
      <c r="AU319" s="201"/>
      <c r="AV319" s="201"/>
      <c r="AW319" s="201"/>
      <c r="AX319" s="201"/>
    </row>
    <row r="320" spans="37:50">
      <c r="AR320" s="201"/>
      <c r="AS320" s="201"/>
      <c r="AT320" s="201"/>
      <c r="AU320" s="201"/>
      <c r="AV320" s="201"/>
      <c r="AW320" s="201"/>
      <c r="AX320" s="201"/>
    </row>
    <row r="321" spans="44:50">
      <c r="AR321" s="201"/>
      <c r="AS321" s="201"/>
      <c r="AT321" s="201"/>
      <c r="AU321" s="201"/>
      <c r="AV321" s="201"/>
      <c r="AW321" s="201"/>
      <c r="AX321" s="201"/>
    </row>
    <row r="322" spans="44:50">
      <c r="AR322" s="201"/>
      <c r="AS322" s="201"/>
      <c r="AT322" s="201"/>
      <c r="AU322" s="201"/>
      <c r="AV322" s="201"/>
      <c r="AW322" s="201"/>
      <c r="AX322" s="201"/>
    </row>
    <row r="323" spans="44:50">
      <c r="AR323" s="201"/>
      <c r="AS323" s="201"/>
      <c r="AT323" s="201"/>
      <c r="AU323" s="201"/>
      <c r="AV323" s="201"/>
      <c r="AW323" s="201"/>
      <c r="AX323" s="201"/>
    </row>
    <row r="324" spans="44:50">
      <c r="AR324" s="201"/>
      <c r="AS324" s="201"/>
      <c r="AT324" s="201"/>
      <c r="AU324" s="201"/>
      <c r="AV324" s="201"/>
      <c r="AW324" s="201"/>
      <c r="AX324" s="201"/>
    </row>
    <row r="325" spans="44:50">
      <c r="AR325" s="201"/>
      <c r="AS325" s="201"/>
      <c r="AT325" s="201"/>
      <c r="AU325" s="201"/>
      <c r="AV325" s="201"/>
      <c r="AW325" s="201"/>
      <c r="AX325" s="201"/>
    </row>
    <row r="326" spans="44:50">
      <c r="AR326" s="201"/>
      <c r="AS326" s="201"/>
      <c r="AT326" s="201"/>
      <c r="AU326" s="201"/>
      <c r="AV326" s="201"/>
      <c r="AW326" s="201"/>
      <c r="AX326" s="201"/>
    </row>
    <row r="327" spans="44:50">
      <c r="AR327" s="201"/>
      <c r="AS327" s="201"/>
      <c r="AT327" s="201"/>
      <c r="AU327" s="201"/>
      <c r="AV327" s="201"/>
      <c r="AW327" s="201"/>
      <c r="AX327" s="201"/>
    </row>
    <row r="328" spans="44:50">
      <c r="AR328" s="201"/>
      <c r="AS328" s="201"/>
      <c r="AT328" s="201"/>
      <c r="AU328" s="201"/>
      <c r="AV328" s="201"/>
      <c r="AW328" s="201"/>
      <c r="AX328" s="201"/>
    </row>
    <row r="329" spans="44:50">
      <c r="AR329" s="201"/>
      <c r="AS329" s="201"/>
      <c r="AT329" s="201"/>
      <c r="AU329" s="201"/>
      <c r="AV329" s="201"/>
      <c r="AW329" s="201"/>
      <c r="AX329" s="201"/>
    </row>
    <row r="330" spans="44:50">
      <c r="AR330" s="201"/>
      <c r="AS330" s="201"/>
      <c r="AT330" s="201"/>
      <c r="AU330" s="201"/>
      <c r="AV330" s="201"/>
      <c r="AW330" s="201"/>
      <c r="AX330" s="201"/>
    </row>
    <row r="331" spans="44:50">
      <c r="AR331" s="201"/>
      <c r="AS331" s="201"/>
      <c r="AT331" s="201"/>
      <c r="AU331" s="201"/>
      <c r="AV331" s="201"/>
      <c r="AW331" s="201"/>
      <c r="AX331" s="201"/>
    </row>
    <row r="332" spans="44:50">
      <c r="AR332" s="201"/>
      <c r="AS332" s="201"/>
      <c r="AT332" s="201"/>
      <c r="AU332" s="201"/>
      <c r="AV332" s="201"/>
      <c r="AW332" s="201"/>
      <c r="AX332" s="201"/>
    </row>
    <row r="333" spans="44:50">
      <c r="AR333" s="201"/>
      <c r="AS333" s="201"/>
      <c r="AT333" s="201"/>
      <c r="AU333" s="201"/>
      <c r="AV333" s="201"/>
      <c r="AW333" s="201"/>
      <c r="AX333" s="201"/>
    </row>
    <row r="334" spans="44:50">
      <c r="AR334" s="201"/>
      <c r="AS334" s="201"/>
      <c r="AT334" s="201"/>
      <c r="AU334" s="201"/>
      <c r="AV334" s="201"/>
      <c r="AW334" s="201"/>
      <c r="AX334" s="201"/>
    </row>
    <row r="335" spans="44:50">
      <c r="AR335" s="201"/>
      <c r="AS335" s="201"/>
      <c r="AT335" s="201"/>
      <c r="AU335" s="201"/>
      <c r="AV335" s="201"/>
      <c r="AW335" s="201"/>
      <c r="AX335" s="201"/>
    </row>
    <row r="336" spans="44:50">
      <c r="AR336" s="201"/>
      <c r="AS336" s="201"/>
      <c r="AT336" s="201"/>
      <c r="AU336" s="201"/>
      <c r="AV336" s="201"/>
      <c r="AW336" s="201"/>
      <c r="AX336" s="201"/>
    </row>
    <row r="337" spans="44:50">
      <c r="AR337" s="201"/>
      <c r="AS337" s="201"/>
      <c r="AT337" s="201"/>
      <c r="AU337" s="201"/>
      <c r="AV337" s="201"/>
      <c r="AW337" s="201"/>
      <c r="AX337" s="201"/>
    </row>
    <row r="338" spans="44:50">
      <c r="AR338" s="201"/>
      <c r="AS338" s="201"/>
      <c r="AT338" s="201"/>
      <c r="AU338" s="201"/>
      <c r="AV338" s="201"/>
      <c r="AW338" s="201"/>
      <c r="AX338" s="201"/>
    </row>
    <row r="339" spans="44:50">
      <c r="AR339" s="201"/>
      <c r="AS339" s="201"/>
      <c r="AT339" s="201"/>
      <c r="AU339" s="201"/>
      <c r="AV339" s="201"/>
      <c r="AW339" s="201"/>
      <c r="AX339" s="201"/>
    </row>
    <row r="340" spans="44:50">
      <c r="AR340" s="201"/>
      <c r="AS340" s="201"/>
      <c r="AT340" s="201"/>
      <c r="AU340" s="201"/>
      <c r="AV340" s="201"/>
      <c r="AW340" s="201"/>
      <c r="AX340" s="201"/>
    </row>
    <row r="341" spans="44:50">
      <c r="AR341" s="201"/>
      <c r="AS341" s="201"/>
      <c r="AT341" s="201"/>
      <c r="AU341" s="201"/>
      <c r="AV341" s="201"/>
      <c r="AW341" s="201"/>
      <c r="AX341" s="201"/>
    </row>
    <row r="342" spans="44:50">
      <c r="AR342" s="201"/>
      <c r="AS342" s="201"/>
      <c r="AT342" s="201"/>
      <c r="AU342" s="201"/>
      <c r="AV342" s="201"/>
      <c r="AW342" s="201"/>
      <c r="AX342" s="201"/>
    </row>
    <row r="343" spans="44:50">
      <c r="AR343" s="201"/>
      <c r="AS343" s="201"/>
      <c r="AT343" s="201"/>
      <c r="AU343" s="201"/>
      <c r="AV343" s="201"/>
      <c r="AW343" s="201"/>
      <c r="AX343" s="201"/>
    </row>
    <row r="344" spans="44:50">
      <c r="AR344" s="201"/>
      <c r="AS344" s="201"/>
      <c r="AT344" s="201"/>
      <c r="AU344" s="201"/>
      <c r="AV344" s="201"/>
      <c r="AW344" s="201"/>
      <c r="AX344" s="201"/>
    </row>
    <row r="345" spans="44:50">
      <c r="AR345" s="201"/>
      <c r="AS345" s="201"/>
      <c r="AT345" s="201"/>
      <c r="AU345" s="201"/>
      <c r="AV345" s="201"/>
      <c r="AW345" s="201"/>
      <c r="AX345" s="201"/>
    </row>
    <row r="346" spans="44:50">
      <c r="AR346" s="201"/>
      <c r="AS346" s="201"/>
      <c r="AT346" s="201"/>
      <c r="AU346" s="201"/>
      <c r="AV346" s="201"/>
      <c r="AW346" s="201"/>
      <c r="AX346" s="201"/>
    </row>
    <row r="347" spans="44:50">
      <c r="AR347" s="201"/>
      <c r="AS347" s="201"/>
      <c r="AT347" s="201"/>
      <c r="AU347" s="201"/>
      <c r="AV347" s="201"/>
      <c r="AW347" s="201"/>
      <c r="AX347" s="201"/>
    </row>
    <row r="348" spans="44:50">
      <c r="AR348" s="201"/>
      <c r="AS348" s="201"/>
      <c r="AT348" s="201"/>
      <c r="AU348" s="201"/>
      <c r="AV348" s="201"/>
      <c r="AW348" s="201"/>
      <c r="AX348" s="201"/>
    </row>
    <row r="349" spans="44:50">
      <c r="AR349" s="201"/>
      <c r="AS349" s="201"/>
      <c r="AT349" s="201"/>
      <c r="AU349" s="201"/>
      <c r="AV349" s="201"/>
      <c r="AW349" s="201"/>
      <c r="AX349" s="201"/>
    </row>
    <row r="350" spans="44:50">
      <c r="AR350" s="201"/>
      <c r="AS350" s="201"/>
      <c r="AT350" s="201"/>
      <c r="AU350" s="201"/>
      <c r="AV350" s="201"/>
      <c r="AW350" s="201"/>
      <c r="AX350" s="201"/>
    </row>
    <row r="351" spans="44:50">
      <c r="AR351" s="201"/>
      <c r="AS351" s="201"/>
      <c r="AT351" s="201"/>
      <c r="AU351" s="201"/>
      <c r="AV351" s="201"/>
      <c r="AW351" s="201"/>
      <c r="AX351" s="201"/>
    </row>
    <row r="352" spans="44:50">
      <c r="AR352" s="201"/>
      <c r="AS352" s="201"/>
      <c r="AT352" s="201"/>
      <c r="AU352" s="201"/>
      <c r="AV352" s="201"/>
      <c r="AW352" s="201"/>
      <c r="AX352" s="201"/>
    </row>
    <row r="353" spans="44:50">
      <c r="AR353" s="201"/>
      <c r="AS353" s="201"/>
      <c r="AT353" s="201"/>
      <c r="AU353" s="201"/>
      <c r="AV353" s="201"/>
      <c r="AW353" s="201"/>
      <c r="AX353" s="201"/>
    </row>
    <row r="354" spans="44:50">
      <c r="AR354" s="201"/>
      <c r="AS354" s="201"/>
      <c r="AT354" s="201"/>
      <c r="AU354" s="201"/>
      <c r="AV354" s="201"/>
      <c r="AW354" s="201"/>
      <c r="AX354" s="201"/>
    </row>
    <row r="355" spans="44:50">
      <c r="AR355" s="201"/>
      <c r="AS355" s="201"/>
      <c r="AT355" s="201"/>
      <c r="AU355" s="201"/>
      <c r="AV355" s="201"/>
      <c r="AW355" s="201"/>
      <c r="AX355" s="201"/>
    </row>
    <row r="356" spans="44:50">
      <c r="AR356" s="201"/>
      <c r="AS356" s="201"/>
      <c r="AT356" s="201"/>
      <c r="AU356" s="201"/>
      <c r="AV356" s="201"/>
      <c r="AW356" s="201"/>
      <c r="AX356" s="201"/>
    </row>
    <row r="357" spans="44:50">
      <c r="AR357" s="201"/>
      <c r="AS357" s="201"/>
      <c r="AT357" s="201"/>
      <c r="AU357" s="201"/>
      <c r="AV357" s="201"/>
      <c r="AW357" s="201"/>
      <c r="AX357" s="201"/>
    </row>
    <row r="358" spans="44:50">
      <c r="AR358" s="201"/>
      <c r="AS358" s="201"/>
      <c r="AT358" s="201"/>
      <c r="AU358" s="201"/>
      <c r="AV358" s="201"/>
      <c r="AW358" s="201"/>
      <c r="AX358" s="201"/>
    </row>
    <row r="359" spans="44:50">
      <c r="AR359" s="201"/>
      <c r="AS359" s="201"/>
      <c r="AT359" s="201"/>
      <c r="AU359" s="201"/>
      <c r="AV359" s="201"/>
      <c r="AW359" s="201"/>
      <c r="AX359" s="201"/>
    </row>
    <row r="360" spans="44:50">
      <c r="AR360" s="201"/>
      <c r="AS360" s="201"/>
      <c r="AT360" s="201"/>
      <c r="AU360" s="201"/>
      <c r="AV360" s="201"/>
      <c r="AW360" s="201"/>
      <c r="AX360" s="201"/>
    </row>
    <row r="361" spans="44:50">
      <c r="AR361" s="201"/>
      <c r="AS361" s="201"/>
      <c r="AT361" s="201"/>
      <c r="AU361" s="201"/>
      <c r="AV361" s="201"/>
      <c r="AW361" s="201"/>
      <c r="AX361" s="201"/>
    </row>
    <row r="362" spans="44:50">
      <c r="AR362" s="201"/>
      <c r="AS362" s="201"/>
      <c r="AT362" s="201"/>
      <c r="AU362" s="201"/>
      <c r="AV362" s="201"/>
      <c r="AW362" s="201"/>
      <c r="AX362" s="201"/>
    </row>
    <row r="363" spans="44:50">
      <c r="AR363" s="201"/>
      <c r="AS363" s="201"/>
      <c r="AT363" s="201"/>
      <c r="AU363" s="201"/>
      <c r="AV363" s="201"/>
      <c r="AW363" s="201"/>
      <c r="AX363" s="201"/>
    </row>
    <row r="364" spans="44:50">
      <c r="AR364" s="201"/>
      <c r="AS364" s="201"/>
      <c r="AT364" s="201"/>
      <c r="AU364" s="201"/>
      <c r="AV364" s="201"/>
      <c r="AW364" s="201"/>
      <c r="AX364" s="201"/>
    </row>
    <row r="365" spans="44:50">
      <c r="AR365" s="201"/>
      <c r="AS365" s="201"/>
      <c r="AT365" s="201"/>
      <c r="AU365" s="201"/>
      <c r="AV365" s="201"/>
      <c r="AW365" s="201"/>
      <c r="AX365" s="201"/>
    </row>
    <row r="366" spans="44:50">
      <c r="AR366" s="201"/>
      <c r="AS366" s="201"/>
      <c r="AT366" s="201"/>
      <c r="AU366" s="201"/>
      <c r="AV366" s="201"/>
      <c r="AW366" s="201"/>
      <c r="AX366" s="201"/>
    </row>
    <row r="367" spans="44:50">
      <c r="AR367" s="201"/>
      <c r="AS367" s="201"/>
      <c r="AT367" s="201"/>
      <c r="AU367" s="201"/>
      <c r="AV367" s="201"/>
      <c r="AW367" s="201"/>
      <c r="AX367" s="201"/>
    </row>
    <row r="368" spans="44:50">
      <c r="AR368" s="201"/>
      <c r="AS368" s="201"/>
      <c r="AT368" s="201"/>
      <c r="AU368" s="201"/>
      <c r="AV368" s="201"/>
      <c r="AW368" s="201"/>
      <c r="AX368" s="201"/>
    </row>
    <row r="369" spans="44:50">
      <c r="AR369" s="201"/>
      <c r="AS369" s="201"/>
      <c r="AT369" s="201"/>
      <c r="AU369" s="201"/>
      <c r="AV369" s="201"/>
      <c r="AW369" s="201"/>
      <c r="AX369" s="201"/>
    </row>
    <row r="370" spans="44:50">
      <c r="AR370" s="201"/>
      <c r="AS370" s="201"/>
      <c r="AT370" s="201"/>
      <c r="AU370" s="201"/>
      <c r="AV370" s="201"/>
      <c r="AW370" s="201"/>
      <c r="AX370" s="201"/>
    </row>
    <row r="371" spans="44:50">
      <c r="AR371" s="201"/>
      <c r="AS371" s="201"/>
      <c r="AT371" s="201"/>
      <c r="AU371" s="201"/>
      <c r="AV371" s="201"/>
      <c r="AW371" s="201"/>
      <c r="AX371" s="201"/>
    </row>
    <row r="372" spans="44:50">
      <c r="AR372" s="201"/>
      <c r="AS372" s="201"/>
      <c r="AT372" s="201"/>
      <c r="AU372" s="201"/>
      <c r="AV372" s="201"/>
      <c r="AW372" s="201"/>
      <c r="AX372" s="201"/>
    </row>
    <row r="373" spans="44:50">
      <c r="AR373" s="201"/>
      <c r="AS373" s="201"/>
      <c r="AT373" s="201"/>
      <c r="AU373" s="201"/>
      <c r="AV373" s="201"/>
      <c r="AW373" s="201"/>
      <c r="AX373" s="201"/>
    </row>
    <row r="374" spans="44:50">
      <c r="AR374" s="201"/>
      <c r="AS374" s="201"/>
      <c r="AT374" s="201"/>
      <c r="AU374" s="201"/>
      <c r="AV374" s="201"/>
      <c r="AW374" s="201"/>
      <c r="AX374" s="201"/>
    </row>
    <row r="375" spans="44:50">
      <c r="AR375" s="201"/>
      <c r="AS375" s="201"/>
      <c r="AT375" s="201"/>
      <c r="AU375" s="201"/>
      <c r="AV375" s="201"/>
      <c r="AW375" s="201"/>
      <c r="AX375" s="201"/>
    </row>
    <row r="376" spans="44:50">
      <c r="AR376" s="201"/>
      <c r="AS376" s="201"/>
      <c r="AT376" s="201"/>
      <c r="AU376" s="201"/>
      <c r="AV376" s="201"/>
      <c r="AW376" s="201"/>
      <c r="AX376" s="201"/>
    </row>
    <row r="377" spans="44:50">
      <c r="AR377" s="201"/>
      <c r="AS377" s="201"/>
      <c r="AT377" s="201"/>
      <c r="AU377" s="201"/>
      <c r="AV377" s="201"/>
      <c r="AW377" s="201"/>
      <c r="AX377" s="201"/>
    </row>
    <row r="378" spans="44:50">
      <c r="AR378" s="201"/>
      <c r="AS378" s="201"/>
      <c r="AT378" s="201"/>
      <c r="AU378" s="201"/>
      <c r="AV378" s="201"/>
      <c r="AW378" s="201"/>
      <c r="AX378" s="201"/>
    </row>
    <row r="379" spans="44:50">
      <c r="AR379" s="201"/>
      <c r="AS379" s="201"/>
      <c r="AT379" s="201"/>
      <c r="AU379" s="201"/>
      <c r="AV379" s="201"/>
      <c r="AW379" s="201"/>
      <c r="AX379" s="201"/>
    </row>
    <row r="380" spans="44:50">
      <c r="AR380" s="201"/>
      <c r="AS380" s="201"/>
      <c r="AT380" s="201"/>
      <c r="AU380" s="201"/>
      <c r="AV380" s="201"/>
      <c r="AW380" s="201"/>
      <c r="AX380" s="201"/>
    </row>
    <row r="381" spans="44:50">
      <c r="AR381" s="201"/>
      <c r="AS381" s="201"/>
      <c r="AT381" s="201"/>
      <c r="AU381" s="201"/>
      <c r="AV381" s="201"/>
      <c r="AW381" s="201"/>
      <c r="AX381" s="201"/>
    </row>
    <row r="382" spans="44:50">
      <c r="AR382" s="201"/>
      <c r="AS382" s="201"/>
      <c r="AT382" s="201"/>
      <c r="AU382" s="201"/>
      <c r="AV382" s="201"/>
      <c r="AW382" s="201"/>
      <c r="AX382" s="201"/>
    </row>
    <row r="383" spans="44:50">
      <c r="AR383" s="201"/>
      <c r="AS383" s="201"/>
      <c r="AT383" s="201"/>
      <c r="AU383" s="201"/>
      <c r="AV383" s="201"/>
      <c r="AW383" s="201"/>
      <c r="AX383" s="201"/>
    </row>
    <row r="384" spans="44:50">
      <c r="AR384" s="201"/>
      <c r="AS384" s="201"/>
      <c r="AT384" s="201"/>
      <c r="AU384" s="201"/>
      <c r="AV384" s="201"/>
      <c r="AW384" s="201"/>
      <c r="AX384" s="201"/>
    </row>
    <row r="385" spans="44:50">
      <c r="AR385" s="201"/>
      <c r="AS385" s="201"/>
      <c r="AT385" s="201"/>
      <c r="AU385" s="201"/>
      <c r="AV385" s="201"/>
      <c r="AW385" s="201"/>
      <c r="AX385" s="201"/>
    </row>
    <row r="386" spans="44:50">
      <c r="AR386" s="201"/>
      <c r="AS386" s="201"/>
      <c r="AT386" s="201"/>
      <c r="AU386" s="201"/>
      <c r="AV386" s="201"/>
      <c r="AW386" s="201"/>
      <c r="AX386" s="201"/>
    </row>
    <row r="387" spans="44:50">
      <c r="AR387" s="201"/>
      <c r="AS387" s="201"/>
      <c r="AT387" s="201"/>
      <c r="AU387" s="201"/>
      <c r="AV387" s="201"/>
      <c r="AW387" s="201"/>
      <c r="AX387" s="201"/>
    </row>
    <row r="388" spans="44:50">
      <c r="AR388" s="201"/>
      <c r="AS388" s="201"/>
      <c r="AT388" s="201"/>
      <c r="AU388" s="201"/>
      <c r="AV388" s="201"/>
      <c r="AW388" s="201"/>
      <c r="AX388" s="201"/>
    </row>
    <row r="389" spans="44:50">
      <c r="AR389" s="201"/>
      <c r="AS389" s="201"/>
      <c r="AT389" s="201"/>
      <c r="AU389" s="201"/>
      <c r="AV389" s="201"/>
      <c r="AW389" s="201"/>
      <c r="AX389" s="201"/>
    </row>
    <row r="390" spans="44:50">
      <c r="AR390" s="201"/>
      <c r="AS390" s="201"/>
      <c r="AT390" s="201"/>
      <c r="AU390" s="201"/>
      <c r="AV390" s="201"/>
      <c r="AW390" s="201"/>
      <c r="AX390" s="201"/>
    </row>
    <row r="391" spans="44:50">
      <c r="AR391" s="201"/>
      <c r="AS391" s="201"/>
      <c r="AT391" s="201"/>
      <c r="AU391" s="201"/>
      <c r="AV391" s="201"/>
      <c r="AW391" s="201"/>
      <c r="AX391" s="201"/>
    </row>
    <row r="392" spans="44:50">
      <c r="AR392" s="201"/>
      <c r="AS392" s="201"/>
      <c r="AT392" s="201"/>
      <c r="AU392" s="201"/>
      <c r="AV392" s="201"/>
      <c r="AW392" s="201"/>
      <c r="AX392" s="201"/>
    </row>
    <row r="393" spans="44:50">
      <c r="AR393" s="201"/>
      <c r="AS393" s="201"/>
      <c r="AT393" s="201"/>
      <c r="AU393" s="201"/>
      <c r="AV393" s="201"/>
      <c r="AW393" s="201"/>
      <c r="AX393" s="201"/>
    </row>
    <row r="394" spans="44:50">
      <c r="AR394" s="201"/>
      <c r="AS394" s="201"/>
      <c r="AT394" s="201"/>
      <c r="AU394" s="201"/>
      <c r="AV394" s="201"/>
      <c r="AW394" s="201"/>
      <c r="AX394" s="201"/>
    </row>
    <row r="395" spans="44:50">
      <c r="AR395" s="201"/>
      <c r="AS395" s="201"/>
      <c r="AT395" s="201"/>
      <c r="AU395" s="201"/>
      <c r="AV395" s="201"/>
      <c r="AW395" s="201"/>
      <c r="AX395" s="201"/>
    </row>
    <row r="396" spans="44:50">
      <c r="AR396" s="201"/>
      <c r="AS396" s="201"/>
      <c r="AT396" s="201"/>
      <c r="AU396" s="201"/>
      <c r="AV396" s="201"/>
      <c r="AW396" s="201"/>
      <c r="AX396" s="201"/>
    </row>
    <row r="397" spans="44:50">
      <c r="AR397" s="201"/>
      <c r="AS397" s="201"/>
      <c r="AT397" s="201"/>
      <c r="AU397" s="201"/>
      <c r="AV397" s="201"/>
      <c r="AW397" s="201"/>
      <c r="AX397" s="201"/>
    </row>
    <row r="398" spans="44:50">
      <c r="AR398" s="201"/>
      <c r="AS398" s="201"/>
      <c r="AT398" s="201"/>
      <c r="AU398" s="201"/>
      <c r="AV398" s="201"/>
      <c r="AW398" s="201"/>
      <c r="AX398" s="201"/>
    </row>
    <row r="399" spans="44:50">
      <c r="AR399" s="201"/>
      <c r="AS399" s="201"/>
      <c r="AT399" s="201"/>
      <c r="AU399" s="201"/>
      <c r="AV399" s="201"/>
      <c r="AW399" s="201"/>
      <c r="AX399" s="201"/>
    </row>
    <row r="400" spans="44:50">
      <c r="AR400" s="201"/>
      <c r="AS400" s="201"/>
      <c r="AT400" s="201"/>
      <c r="AU400" s="201"/>
      <c r="AV400" s="201"/>
      <c r="AW400" s="201"/>
      <c r="AX400" s="201"/>
    </row>
    <row r="401" spans="44:50">
      <c r="AR401" s="201"/>
      <c r="AS401" s="201"/>
      <c r="AT401" s="201"/>
      <c r="AU401" s="201"/>
      <c r="AV401" s="201"/>
      <c r="AW401" s="201"/>
      <c r="AX401" s="201"/>
    </row>
    <row r="402" spans="44:50">
      <c r="AR402" s="201"/>
      <c r="AS402" s="201"/>
      <c r="AT402" s="201"/>
      <c r="AU402" s="201"/>
      <c r="AV402" s="201"/>
      <c r="AW402" s="201"/>
      <c r="AX402" s="201"/>
    </row>
    <row r="403" spans="44:50">
      <c r="AR403" s="201"/>
      <c r="AS403" s="201"/>
      <c r="AT403" s="201"/>
      <c r="AU403" s="201"/>
      <c r="AV403" s="201"/>
      <c r="AW403" s="201"/>
      <c r="AX403" s="201"/>
    </row>
    <row r="404" spans="44:50">
      <c r="AR404" s="201"/>
      <c r="AS404" s="201"/>
      <c r="AT404" s="201"/>
      <c r="AU404" s="201"/>
      <c r="AV404" s="201"/>
      <c r="AW404" s="201"/>
      <c r="AX404" s="201"/>
    </row>
    <row r="405" spans="44:50">
      <c r="AR405" s="201"/>
      <c r="AS405" s="201"/>
      <c r="AT405" s="201"/>
      <c r="AU405" s="201"/>
      <c r="AV405" s="201"/>
      <c r="AW405" s="201"/>
      <c r="AX405" s="201"/>
    </row>
    <row r="406" spans="44:50">
      <c r="AR406" s="201"/>
      <c r="AS406" s="201"/>
      <c r="AT406" s="201"/>
      <c r="AU406" s="201"/>
      <c r="AV406" s="201"/>
      <c r="AW406" s="201"/>
      <c r="AX406" s="201"/>
    </row>
    <row r="407" spans="44:50">
      <c r="AR407" s="201"/>
      <c r="AS407" s="201"/>
      <c r="AT407" s="201"/>
      <c r="AU407" s="201"/>
      <c r="AV407" s="201"/>
      <c r="AW407" s="201"/>
      <c r="AX407" s="201"/>
    </row>
    <row r="408" spans="44:50">
      <c r="AR408" s="201"/>
      <c r="AS408" s="201"/>
      <c r="AT408" s="201"/>
      <c r="AU408" s="201"/>
      <c r="AV408" s="201"/>
      <c r="AW408" s="201"/>
      <c r="AX408" s="201"/>
    </row>
    <row r="409" spans="44:50">
      <c r="AR409" s="201"/>
      <c r="AS409" s="201"/>
      <c r="AT409" s="201"/>
      <c r="AU409" s="201"/>
      <c r="AV409" s="201"/>
      <c r="AW409" s="201"/>
      <c r="AX409" s="201"/>
    </row>
    <row r="410" spans="44:50">
      <c r="AR410" s="201"/>
      <c r="AS410" s="201"/>
      <c r="AT410" s="201"/>
      <c r="AU410" s="201"/>
      <c r="AV410" s="201"/>
      <c r="AW410" s="201"/>
      <c r="AX410" s="201"/>
    </row>
    <row r="411" spans="44:50">
      <c r="AR411" s="201"/>
      <c r="AS411" s="201"/>
      <c r="AT411" s="201"/>
      <c r="AU411" s="201"/>
      <c r="AV411" s="201"/>
      <c r="AW411" s="201"/>
      <c r="AX411" s="201"/>
    </row>
    <row r="412" spans="44:50">
      <c r="AR412" s="201"/>
      <c r="AS412" s="201"/>
      <c r="AT412" s="201"/>
      <c r="AU412" s="201"/>
      <c r="AV412" s="201"/>
      <c r="AW412" s="201"/>
      <c r="AX412" s="201"/>
    </row>
    <row r="413" spans="44:50">
      <c r="AR413" s="201"/>
      <c r="AS413" s="201"/>
      <c r="AT413" s="201"/>
      <c r="AU413" s="201"/>
      <c r="AV413" s="201"/>
      <c r="AW413" s="201"/>
      <c r="AX413" s="201"/>
    </row>
    <row r="414" spans="44:50">
      <c r="AR414" s="201"/>
      <c r="AS414" s="201"/>
      <c r="AT414" s="201"/>
      <c r="AU414" s="201"/>
      <c r="AV414" s="201"/>
      <c r="AW414" s="201"/>
      <c r="AX414" s="201"/>
    </row>
    <row r="415" spans="44:50">
      <c r="AR415" s="201"/>
      <c r="AS415" s="201"/>
      <c r="AT415" s="201"/>
      <c r="AU415" s="201"/>
      <c r="AV415" s="201"/>
      <c r="AW415" s="201"/>
      <c r="AX415" s="201"/>
    </row>
    <row r="416" spans="44:50">
      <c r="AR416" s="201"/>
      <c r="AS416" s="201"/>
      <c r="AT416" s="201"/>
      <c r="AU416" s="201"/>
      <c r="AV416" s="201"/>
      <c r="AW416" s="201"/>
      <c r="AX416" s="201"/>
    </row>
    <row r="417" spans="44:50">
      <c r="AR417" s="201"/>
      <c r="AS417" s="201"/>
      <c r="AT417" s="201"/>
      <c r="AU417" s="201"/>
      <c r="AV417" s="201"/>
      <c r="AW417" s="201"/>
      <c r="AX417" s="201"/>
    </row>
    <row r="418" spans="44:50">
      <c r="AR418" s="201"/>
      <c r="AS418" s="201"/>
      <c r="AT418" s="201"/>
      <c r="AU418" s="201"/>
      <c r="AV418" s="201"/>
      <c r="AW418" s="201"/>
      <c r="AX418" s="201"/>
    </row>
    <row r="419" spans="44:50">
      <c r="AR419" s="201"/>
      <c r="AS419" s="201"/>
      <c r="AT419" s="201"/>
      <c r="AU419" s="201"/>
      <c r="AV419" s="201"/>
      <c r="AW419" s="201"/>
      <c r="AX419" s="201"/>
    </row>
    <row r="420" spans="44:50">
      <c r="AR420" s="201"/>
      <c r="AS420" s="201"/>
      <c r="AT420" s="201"/>
      <c r="AU420" s="201"/>
      <c r="AV420" s="201"/>
      <c r="AW420" s="201"/>
      <c r="AX420" s="201"/>
    </row>
    <row r="421" spans="44:50">
      <c r="AR421" s="201"/>
      <c r="AS421" s="201"/>
      <c r="AT421" s="201"/>
      <c r="AU421" s="201"/>
      <c r="AV421" s="201"/>
      <c r="AW421" s="201"/>
      <c r="AX421" s="201"/>
    </row>
    <row r="422" spans="44:50">
      <c r="AR422" s="201"/>
      <c r="AS422" s="201"/>
      <c r="AT422" s="201"/>
      <c r="AU422" s="201"/>
      <c r="AV422" s="201"/>
      <c r="AW422" s="201"/>
      <c r="AX422" s="201"/>
    </row>
    <row r="423" spans="44:50">
      <c r="AR423" s="201"/>
      <c r="AS423" s="201"/>
      <c r="AT423" s="201"/>
      <c r="AU423" s="201"/>
      <c r="AV423" s="201"/>
      <c r="AW423" s="201"/>
      <c r="AX423" s="201"/>
    </row>
    <row r="424" spans="44:50">
      <c r="AR424" s="201"/>
      <c r="AS424" s="201"/>
      <c r="AT424" s="201"/>
      <c r="AU424" s="201"/>
      <c r="AV424" s="201"/>
      <c r="AW424" s="201"/>
      <c r="AX424" s="201"/>
    </row>
    <row r="425" spans="44:50">
      <c r="AR425" s="201"/>
      <c r="AS425" s="201"/>
      <c r="AT425" s="201"/>
      <c r="AU425" s="201"/>
      <c r="AV425" s="201"/>
      <c r="AW425" s="201"/>
      <c r="AX425" s="201"/>
    </row>
    <row r="426" spans="44:50">
      <c r="AR426" s="201"/>
      <c r="AS426" s="201"/>
      <c r="AT426" s="201"/>
      <c r="AU426" s="201"/>
      <c r="AV426" s="201"/>
      <c r="AW426" s="201"/>
      <c r="AX426" s="201"/>
    </row>
    <row r="427" spans="44:50">
      <c r="AR427" s="201"/>
      <c r="AS427" s="201"/>
      <c r="AT427" s="201"/>
      <c r="AU427" s="201"/>
      <c r="AV427" s="201"/>
      <c r="AW427" s="201"/>
      <c r="AX427" s="201"/>
    </row>
    <row r="3427" spans="2:8">
      <c r="B3427" s="180"/>
      <c r="C3427" s="180"/>
      <c r="D3427" s="228"/>
      <c r="E3427" s="213" t="s">
        <v>187</v>
      </c>
      <c r="F3427" s="180"/>
      <c r="G3427" s="180"/>
      <c r="H3427" s="180"/>
    </row>
    <row r="3428" spans="2:8" ht="52">
      <c r="B3428" s="139" t="s">
        <v>159</v>
      </c>
      <c r="C3428" s="139" t="s">
        <v>170</v>
      </c>
      <c r="D3428" s="229" t="s">
        <v>182</v>
      </c>
      <c r="E3428" s="214" t="s">
        <v>158</v>
      </c>
      <c r="F3428" s="141" t="s">
        <v>171</v>
      </c>
      <c r="G3428" s="141" t="s">
        <v>169</v>
      </c>
      <c r="H3428" s="141" t="s">
        <v>178</v>
      </c>
    </row>
    <row r="3429" spans="2:8">
      <c r="B3429" s="125">
        <v>35</v>
      </c>
      <c r="C3429" s="125"/>
      <c r="D3429" s="230">
        <v>393.15584415584402</v>
      </c>
      <c r="E3429" s="215">
        <f>B3429*D3429</f>
        <v>13760.45454545454</v>
      </c>
      <c r="F3429" s="125"/>
      <c r="G3429" s="125"/>
      <c r="H3429" s="125"/>
    </row>
    <row r="3430" spans="2:8">
      <c r="B3430" s="125">
        <v>35</v>
      </c>
      <c r="C3430" s="125"/>
      <c r="D3430" s="230">
        <v>381.94805194805201</v>
      </c>
      <c r="E3430" s="215">
        <f>B3430*D3430</f>
        <v>13368.18181818182</v>
      </c>
      <c r="F3430" s="125"/>
      <c r="G3430" s="125"/>
      <c r="H3430" s="125"/>
    </row>
    <row r="3431" spans="2:8">
      <c r="B3431" s="125">
        <v>35</v>
      </c>
      <c r="C3431" s="125"/>
      <c r="D3431" s="230">
        <v>370.74025974026</v>
      </c>
      <c r="E3431" s="215">
        <f>B3431*D3431</f>
        <v>12975.909090909099</v>
      </c>
      <c r="F3431" s="125"/>
      <c r="G3431" s="125"/>
      <c r="H3431" s="125"/>
    </row>
    <row r="3432" spans="2:8">
      <c r="B3432" s="125">
        <v>35</v>
      </c>
      <c r="C3432" s="126"/>
      <c r="D3432" s="231">
        <v>359.53246753246799</v>
      </c>
      <c r="E3432" s="215">
        <f>B3432*D3432</f>
        <v>12583.63636363638</v>
      </c>
      <c r="F3432" s="126"/>
      <c r="G3432" s="126"/>
      <c r="H3432" s="126"/>
    </row>
    <row r="3433" spans="2:8">
      <c r="B3433" s="125">
        <v>35</v>
      </c>
      <c r="C3433" s="125"/>
      <c r="D3433" s="230">
        <v>348.32467532467598</v>
      </c>
      <c r="E3433" s="215">
        <f>D3433*B3433</f>
        <v>12191.36363636366</v>
      </c>
      <c r="F3433" s="125"/>
      <c r="G3433" s="125"/>
      <c r="H3433" s="125"/>
    </row>
    <row r="3434" spans="2:8">
      <c r="B3434" s="125">
        <v>35</v>
      </c>
      <c r="C3434" s="126"/>
      <c r="D3434" s="231">
        <v>337.116883116883</v>
      </c>
      <c r="E3434" s="215">
        <f t="shared" ref="E3434:E3450" si="27">D3434*B3434</f>
        <v>11799.090909090904</v>
      </c>
      <c r="F3434" s="126"/>
      <c r="G3434" s="126"/>
      <c r="H3434" s="126"/>
    </row>
    <row r="3435" spans="2:8">
      <c r="B3435" s="125">
        <v>35</v>
      </c>
      <c r="C3435" s="125"/>
      <c r="D3435" s="230">
        <v>325.90909090909099</v>
      </c>
      <c r="E3435" s="215">
        <f t="shared" si="27"/>
        <v>11406.818181818184</v>
      </c>
      <c r="F3435" s="125"/>
      <c r="G3435" s="125"/>
      <c r="H3435" s="125"/>
    </row>
    <row r="3436" spans="2:8">
      <c r="B3436" s="125">
        <v>35</v>
      </c>
      <c r="C3436" s="125"/>
      <c r="D3436" s="230">
        <v>314.70129870129898</v>
      </c>
      <c r="E3436" s="215">
        <f t="shared" si="27"/>
        <v>11014.545454545465</v>
      </c>
      <c r="F3436" s="125"/>
      <c r="G3436" s="125"/>
      <c r="H3436" s="125"/>
    </row>
    <row r="3437" spans="2:8">
      <c r="B3437" s="125">
        <v>35</v>
      </c>
      <c r="C3437" s="125"/>
      <c r="D3437" s="230">
        <v>303.49350649350703</v>
      </c>
      <c r="E3437" s="215">
        <f t="shared" si="27"/>
        <v>10622.272727272746</v>
      </c>
      <c r="F3437" s="125"/>
      <c r="G3437" s="125"/>
      <c r="H3437" s="125"/>
    </row>
    <row r="3438" spans="2:8">
      <c r="B3438" s="125">
        <v>35</v>
      </c>
      <c r="C3438" s="126"/>
      <c r="D3438" s="231">
        <v>292.28571428571502</v>
      </c>
      <c r="E3438" s="215">
        <f t="shared" si="27"/>
        <v>10230.000000000025</v>
      </c>
      <c r="F3438" s="126"/>
      <c r="G3438" s="126"/>
      <c r="H3438" s="126"/>
    </row>
    <row r="3439" spans="2:8">
      <c r="B3439" s="125">
        <v>35</v>
      </c>
      <c r="C3439" s="126"/>
      <c r="D3439" s="231">
        <v>281.07792207792198</v>
      </c>
      <c r="E3439" s="215">
        <f t="shared" si="27"/>
        <v>9837.7272727272702</v>
      </c>
      <c r="F3439" s="126"/>
      <c r="G3439" s="126"/>
      <c r="H3439" s="126"/>
    </row>
    <row r="3440" spans="2:8">
      <c r="B3440" s="125">
        <v>35</v>
      </c>
      <c r="C3440" s="126"/>
      <c r="D3440" s="231">
        <v>269.87012987012997</v>
      </c>
      <c r="E3440" s="215">
        <f t="shared" si="27"/>
        <v>9445.4545454545496</v>
      </c>
      <c r="F3440" s="126"/>
      <c r="G3440" s="126"/>
      <c r="H3440" s="126"/>
    </row>
    <row r="3441" spans="2:8">
      <c r="B3441" s="125">
        <v>35</v>
      </c>
      <c r="C3441" s="125"/>
      <c r="D3441" s="230">
        <v>258.66233766233802</v>
      </c>
      <c r="E3441" s="215">
        <f t="shared" si="27"/>
        <v>9053.1818181818307</v>
      </c>
      <c r="F3441" s="125"/>
      <c r="G3441" s="125"/>
      <c r="H3441" s="125"/>
    </row>
    <row r="3442" spans="2:8">
      <c r="B3442" s="125">
        <v>35</v>
      </c>
      <c r="C3442" s="126"/>
      <c r="D3442" s="231">
        <v>247.45454545454601</v>
      </c>
      <c r="E3442" s="215">
        <f t="shared" si="27"/>
        <v>8660.9090909091101</v>
      </c>
      <c r="F3442" s="126"/>
      <c r="G3442" s="126"/>
      <c r="H3442" s="126"/>
    </row>
    <row r="3443" spans="2:8">
      <c r="B3443" s="125">
        <v>35</v>
      </c>
      <c r="C3443" s="125"/>
      <c r="D3443" s="230">
        <v>236.246753246754</v>
      </c>
      <c r="E3443" s="215">
        <f t="shared" si="27"/>
        <v>8268.6363636363894</v>
      </c>
      <c r="F3443" s="125"/>
      <c r="G3443" s="125"/>
      <c r="H3443" s="125"/>
    </row>
    <row r="3444" spans="2:8">
      <c r="B3444" s="125">
        <v>35</v>
      </c>
      <c r="C3444" s="125"/>
      <c r="D3444" s="230">
        <v>225.03896103896099</v>
      </c>
      <c r="E3444" s="215">
        <f t="shared" si="27"/>
        <v>7876.3636363636351</v>
      </c>
      <c r="F3444" s="125"/>
      <c r="G3444" s="125"/>
      <c r="H3444" s="125"/>
    </row>
    <row r="3445" spans="2:8">
      <c r="B3445" s="125">
        <v>35</v>
      </c>
      <c r="C3445" s="126"/>
      <c r="D3445" s="231">
        <v>213.83116883116901</v>
      </c>
      <c r="E3445" s="215">
        <f t="shared" si="27"/>
        <v>7484.0909090909154</v>
      </c>
      <c r="F3445" s="126"/>
      <c r="G3445" s="126"/>
      <c r="H3445" s="126"/>
    </row>
    <row r="3446" spans="2:8">
      <c r="B3446" s="125">
        <v>35</v>
      </c>
      <c r="C3446" s="126"/>
      <c r="D3446" s="231">
        <v>202.623376623377</v>
      </c>
      <c r="E3446" s="215">
        <f t="shared" si="27"/>
        <v>7091.8181818181947</v>
      </c>
      <c r="F3446" s="126"/>
      <c r="G3446" s="126"/>
      <c r="H3446" s="126"/>
    </row>
    <row r="3447" spans="2:8">
      <c r="B3447" s="125">
        <v>35</v>
      </c>
      <c r="C3447" s="125"/>
      <c r="D3447" s="230">
        <v>191.41558441558499</v>
      </c>
      <c r="E3447" s="215">
        <f t="shared" si="27"/>
        <v>6699.545454545475</v>
      </c>
      <c r="F3447" s="125"/>
      <c r="G3447" s="125"/>
      <c r="H3447" s="125"/>
    </row>
    <row r="3448" spans="2:8">
      <c r="B3448" s="125">
        <v>35</v>
      </c>
      <c r="C3448" s="126"/>
      <c r="D3448" s="231">
        <v>180.20779220779301</v>
      </c>
      <c r="E3448" s="215">
        <f t="shared" si="27"/>
        <v>6307.2727272727552</v>
      </c>
      <c r="F3448" s="126"/>
      <c r="G3448" s="126"/>
      <c r="H3448" s="126"/>
    </row>
    <row r="3449" spans="2:8">
      <c r="B3449" s="125">
        <v>35</v>
      </c>
      <c r="C3449" s="126"/>
      <c r="D3449" s="231">
        <v>169</v>
      </c>
      <c r="E3449" s="215">
        <f t="shared" si="27"/>
        <v>5915</v>
      </c>
      <c r="F3449" s="126"/>
      <c r="G3449" s="126"/>
      <c r="H3449" s="126"/>
    </row>
    <row r="3450" spans="2:8">
      <c r="B3450" s="125">
        <v>35</v>
      </c>
      <c r="C3450" s="126"/>
      <c r="D3450" s="231">
        <v>157.79220779220799</v>
      </c>
      <c r="E3450" s="215">
        <f t="shared" si="27"/>
        <v>5522.7272727272793</v>
      </c>
      <c r="F3450" s="126"/>
      <c r="G3450" s="126"/>
      <c r="H3450" s="126"/>
    </row>
    <row r="3451" spans="2:8">
      <c r="B3451" s="127"/>
      <c r="C3451" s="127"/>
      <c r="D3451" s="232"/>
      <c r="E3451" s="216"/>
      <c r="F3451" s="127"/>
      <c r="G3451" s="127"/>
      <c r="H3451" s="127"/>
    </row>
    <row r="3452" spans="2:8">
      <c r="B3452" s="127">
        <f>SUM(B3429:B3450)</f>
        <v>770</v>
      </c>
      <c r="C3452" s="128"/>
      <c r="D3452" s="233">
        <f>SUM(D3429:D3450)</f>
        <v>6060.428571428577</v>
      </c>
      <c r="E3452" s="217">
        <f>SUM(E3429:E3450)</f>
        <v>212115.00000000023</v>
      </c>
      <c r="F3452" s="128"/>
      <c r="G3452" s="128"/>
      <c r="H3452" s="128"/>
    </row>
    <row r="3453" spans="2:8">
      <c r="B3453" s="130">
        <f>AVERAGE(B3429:B3450)</f>
        <v>35</v>
      </c>
      <c r="C3453" s="130"/>
      <c r="D3453" s="234">
        <f>AVERAGE(D3429:D3450)</f>
        <v>275.47402597402623</v>
      </c>
      <c r="E3453" s="218">
        <f>AVERAGE(E3429:E3450)</f>
        <v>9641.590909090919</v>
      </c>
      <c r="F3453" s="130"/>
      <c r="G3453" s="130"/>
      <c r="H3453" s="130"/>
    </row>
  </sheetData>
  <mergeCells count="5">
    <mergeCell ref="AY1:AZ1"/>
    <mergeCell ref="I1:O1"/>
    <mergeCell ref="P1:S1"/>
    <mergeCell ref="W1:AB1"/>
    <mergeCell ref="AD1:AG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9"/>
  <sheetViews>
    <sheetView workbookViewId="0">
      <pane xSplit="1" ySplit="3" topLeftCell="B22" activePane="bottomRight" state="frozenSplit"/>
      <selection pane="topRight" activeCell="B1" sqref="B1"/>
      <selection pane="bottomLeft" activeCell="A4" sqref="A4"/>
      <selection pane="bottomRight" activeCell="L31" sqref="L31"/>
    </sheetView>
  </sheetViews>
  <sheetFormatPr defaultRowHeight="12.5"/>
  <cols>
    <col min="1" max="1" width="26" customWidth="1"/>
    <col min="2" max="2" width="10.453125" customWidth="1"/>
    <col min="3" max="11" width="11" customWidth="1"/>
    <col min="12" max="12" width="11" style="247" customWidth="1"/>
    <col min="13" max="13" width="11" style="246" customWidth="1"/>
    <col min="14" max="14" width="9.54296875" bestFit="1" customWidth="1"/>
    <col min="15" max="15" width="9.26953125" bestFit="1" customWidth="1"/>
    <col min="16" max="17" width="9.26953125" customWidth="1"/>
    <col min="18" max="18" width="11" style="247" customWidth="1"/>
    <col min="19" max="19" width="11" customWidth="1"/>
    <col min="20" max="20" width="9.54296875" bestFit="1" customWidth="1"/>
    <col min="21" max="21" width="9.54296875" customWidth="1"/>
    <col min="23" max="23" width="9.54296875" bestFit="1" customWidth="1"/>
    <col min="24" max="24" width="9.26953125" bestFit="1" customWidth="1"/>
    <col min="25" max="25" width="9.54296875" bestFit="1" customWidth="1"/>
    <col min="26" max="26" width="9.26953125" bestFit="1" customWidth="1"/>
    <col min="27" max="28" width="9.26953125" customWidth="1"/>
    <col min="29" max="29" width="11" style="247" customWidth="1"/>
    <col min="30" max="30" width="11" customWidth="1"/>
    <col min="31" max="31" width="9.54296875" bestFit="1" customWidth="1"/>
    <col min="32" max="32" width="9.26953125" bestFit="1" customWidth="1"/>
    <col min="33" max="34" width="9.26953125" customWidth="1"/>
    <col min="35" max="35" width="11" style="247" customWidth="1"/>
    <col min="36" max="36" width="11" customWidth="1"/>
    <col min="37" max="37" width="11" style="247" customWidth="1"/>
    <col min="38" max="38" width="11" customWidth="1"/>
    <col min="42" max="42" width="9.1796875" style="247"/>
    <col min="44" max="44" width="9.1796875" style="247"/>
    <col min="57" max="57" width="10.453125" customWidth="1"/>
  </cols>
  <sheetData>
    <row r="1" spans="1:65">
      <c r="A1" t="s">
        <v>22</v>
      </c>
      <c r="B1" s="286" t="s">
        <v>134</v>
      </c>
      <c r="C1" s="285"/>
      <c r="D1" s="285"/>
      <c r="E1" s="285"/>
      <c r="F1" s="285"/>
      <c r="G1" s="285"/>
      <c r="H1" s="285" t="s">
        <v>83</v>
      </c>
      <c r="I1" s="285"/>
      <c r="J1" s="285"/>
      <c r="K1" s="285"/>
      <c r="L1" s="285"/>
      <c r="M1" s="285"/>
      <c r="N1" s="285" t="s">
        <v>88</v>
      </c>
      <c r="O1" s="285"/>
      <c r="P1" s="285"/>
      <c r="Q1" s="285"/>
      <c r="R1" s="285"/>
      <c r="S1" s="285"/>
      <c r="T1" s="285" t="s">
        <v>64</v>
      </c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 t="s">
        <v>120</v>
      </c>
      <c r="AF1" s="285"/>
      <c r="AG1" s="285"/>
      <c r="AH1" s="285"/>
      <c r="AI1" s="285"/>
      <c r="AJ1" s="285"/>
      <c r="AK1" s="285" t="s">
        <v>183</v>
      </c>
      <c r="AL1" s="285"/>
      <c r="AM1" s="37"/>
      <c r="AN1" s="285" t="s">
        <v>195</v>
      </c>
      <c r="AO1" s="285"/>
      <c r="AP1" s="285"/>
      <c r="AQ1" s="285"/>
      <c r="AR1" s="287" t="s">
        <v>197</v>
      </c>
      <c r="AS1" s="287"/>
      <c r="AT1" s="271" t="s">
        <v>201</v>
      </c>
      <c r="AU1" s="271"/>
      <c r="AV1" s="271"/>
      <c r="AW1" s="271"/>
      <c r="AX1" s="271"/>
      <c r="AY1" s="271"/>
      <c r="AZ1" s="241"/>
      <c r="BA1" s="285" t="s">
        <v>130</v>
      </c>
      <c r="BB1" s="285"/>
      <c r="BC1" s="285"/>
      <c r="BD1" s="285"/>
    </row>
    <row r="2" spans="1:65">
      <c r="B2" s="285"/>
      <c r="C2" s="285"/>
      <c r="D2" s="285"/>
      <c r="E2" s="285"/>
      <c r="F2" s="285"/>
      <c r="G2" s="285"/>
      <c r="H2" s="286" t="s">
        <v>135</v>
      </c>
      <c r="I2" s="285"/>
      <c r="J2" s="285">
        <v>2015</v>
      </c>
      <c r="K2" s="285"/>
      <c r="L2" s="287">
        <v>2016</v>
      </c>
      <c r="M2" s="287"/>
      <c r="N2" s="286" t="s">
        <v>136</v>
      </c>
      <c r="O2" s="285"/>
      <c r="P2" s="285">
        <v>2015</v>
      </c>
      <c r="Q2" s="285"/>
      <c r="R2" s="285">
        <v>2016</v>
      </c>
      <c r="S2" s="285"/>
      <c r="T2" s="286" t="s">
        <v>137</v>
      </c>
      <c r="U2" s="285"/>
      <c r="V2" s="285"/>
      <c r="W2" s="286" t="s">
        <v>138</v>
      </c>
      <c r="X2" s="285"/>
      <c r="Y2" s="286" t="s">
        <v>139</v>
      </c>
      <c r="Z2" s="285"/>
      <c r="AA2" s="285">
        <v>2015</v>
      </c>
      <c r="AB2" s="285"/>
      <c r="AC2" s="285">
        <v>2016</v>
      </c>
      <c r="AD2" s="285"/>
      <c r="AE2" s="286" t="s">
        <v>140</v>
      </c>
      <c r="AF2" s="285"/>
      <c r="AG2" s="285">
        <v>2015</v>
      </c>
      <c r="AH2" s="285"/>
      <c r="AI2" s="285">
        <v>2016</v>
      </c>
      <c r="AJ2" s="285"/>
      <c r="AK2" s="264"/>
      <c r="AL2" s="37"/>
      <c r="AN2" t="s">
        <v>196</v>
      </c>
      <c r="AP2" s="247">
        <v>2016</v>
      </c>
      <c r="AR2" s="247">
        <v>2016</v>
      </c>
      <c r="AT2">
        <v>2019</v>
      </c>
      <c r="BA2">
        <v>2001</v>
      </c>
      <c r="BB2">
        <v>2010</v>
      </c>
      <c r="BC2">
        <v>2012</v>
      </c>
      <c r="BD2">
        <v>2013</v>
      </c>
      <c r="BE2">
        <v>2014</v>
      </c>
      <c r="BF2">
        <v>2015</v>
      </c>
      <c r="BG2">
        <v>2016</v>
      </c>
    </row>
    <row r="3" spans="1:65" s="115" customFormat="1" ht="51">
      <c r="B3" s="115">
        <v>2001</v>
      </c>
      <c r="C3" s="115">
        <v>2008</v>
      </c>
      <c r="D3" s="115">
        <v>2010</v>
      </c>
      <c r="E3" s="115">
        <v>2012</v>
      </c>
      <c r="F3" s="115">
        <v>2013</v>
      </c>
      <c r="G3" s="115">
        <v>2014</v>
      </c>
      <c r="H3" s="114" t="s">
        <v>132</v>
      </c>
      <c r="I3" s="114" t="s">
        <v>129</v>
      </c>
      <c r="J3" s="114" t="s">
        <v>132</v>
      </c>
      <c r="K3" s="114" t="s">
        <v>129</v>
      </c>
      <c r="L3" s="263" t="s">
        <v>181</v>
      </c>
      <c r="M3" s="244"/>
      <c r="N3" s="114" t="s">
        <v>132</v>
      </c>
      <c r="O3" s="115" t="s">
        <v>129</v>
      </c>
      <c r="P3" s="114" t="s">
        <v>132</v>
      </c>
      <c r="Q3" s="115" t="s">
        <v>129</v>
      </c>
      <c r="R3" s="263" t="s">
        <v>181</v>
      </c>
      <c r="S3" s="115" t="s">
        <v>129</v>
      </c>
      <c r="T3" s="114" t="s">
        <v>131</v>
      </c>
      <c r="U3" s="114" t="s">
        <v>133</v>
      </c>
      <c r="V3" s="115" t="s">
        <v>129</v>
      </c>
      <c r="W3" s="114" t="s">
        <v>133</v>
      </c>
      <c r="X3" s="115" t="s">
        <v>129</v>
      </c>
      <c r="Y3" s="114" t="s">
        <v>133</v>
      </c>
      <c r="Z3" s="115" t="s">
        <v>129</v>
      </c>
      <c r="AA3" s="114" t="s">
        <v>133</v>
      </c>
      <c r="AB3" s="115" t="s">
        <v>129</v>
      </c>
      <c r="AC3" s="263" t="s">
        <v>181</v>
      </c>
      <c r="AD3" s="115" t="s">
        <v>129</v>
      </c>
      <c r="AE3" s="114" t="s">
        <v>133</v>
      </c>
      <c r="AF3" s="115" t="s">
        <v>129</v>
      </c>
      <c r="AG3" s="114" t="s">
        <v>133</v>
      </c>
      <c r="AH3" s="115" t="s">
        <v>129</v>
      </c>
      <c r="AI3" s="263" t="s">
        <v>181</v>
      </c>
      <c r="AJ3" s="115" t="s">
        <v>129</v>
      </c>
      <c r="AK3" s="265" t="s">
        <v>185</v>
      </c>
      <c r="AL3" s="115" t="s">
        <v>186</v>
      </c>
      <c r="AM3" s="115" t="s">
        <v>184</v>
      </c>
      <c r="AN3" s="114" t="s">
        <v>133</v>
      </c>
      <c r="AO3" s="115" t="s">
        <v>129</v>
      </c>
      <c r="AP3" s="263" t="s">
        <v>133</v>
      </c>
      <c r="AQ3" s="115" t="s">
        <v>129</v>
      </c>
      <c r="AR3" s="263" t="s">
        <v>133</v>
      </c>
      <c r="AS3" s="115" t="s">
        <v>129</v>
      </c>
      <c r="AT3" s="115" t="s">
        <v>202</v>
      </c>
      <c r="BA3" s="115">
        <v>40.4</v>
      </c>
      <c r="BB3" s="115">
        <v>57.2</v>
      </c>
      <c r="BC3" s="115">
        <v>70</v>
      </c>
      <c r="BD3" s="116">
        <v>72.5</v>
      </c>
      <c r="BE3" s="116">
        <v>84.7</v>
      </c>
      <c r="BF3" s="116">
        <v>66.22</v>
      </c>
      <c r="BG3" s="116">
        <v>74.180000000000007</v>
      </c>
      <c r="BH3" s="117"/>
      <c r="BI3" s="116"/>
      <c r="BJ3" s="116"/>
      <c r="BK3" s="116"/>
      <c r="BL3" s="118"/>
      <c r="BM3" s="119"/>
    </row>
    <row r="4" spans="1:65" ht="14">
      <c r="A4" s="108" t="s">
        <v>121</v>
      </c>
      <c r="B4" s="111">
        <v>75.602746444335466</v>
      </c>
      <c r="C4" s="112">
        <v>82.363478029999996</v>
      </c>
      <c r="D4" s="112">
        <f>C4*(1.0141^2)</f>
        <v>84.702502793513148</v>
      </c>
      <c r="E4" s="112">
        <f>C4*(1.0141^4)</f>
        <v>87.107953076870615</v>
      </c>
      <c r="F4" s="112">
        <f>C4*(1.0141^5)</f>
        <v>88.336175215254485</v>
      </c>
      <c r="G4" s="112">
        <f>C4*(1.0141^6)</f>
        <v>89.581715285789585</v>
      </c>
      <c r="H4" s="112"/>
      <c r="I4" s="112"/>
      <c r="J4" s="112">
        <f>('Mar 2015'!H3/'Price per MHz per pop'!G4)*10</f>
        <v>67.645947397496172</v>
      </c>
      <c r="K4" s="112">
        <f>J4/$BF$3</f>
        <v>1.0215334853140468</v>
      </c>
      <c r="L4" s="247">
        <v>33.82386674</v>
      </c>
      <c r="M4" s="245"/>
      <c r="N4" s="88"/>
      <c r="O4" s="88"/>
      <c r="P4" s="88">
        <f>('Mar 2015'!O3/'Price per MHz per pop'!G4)*10</f>
        <v>75.992070237573131</v>
      </c>
      <c r="Q4" s="112">
        <f>P4/$BF$3</f>
        <v>1.1475697710294945</v>
      </c>
      <c r="R4" s="247">
        <v>0</v>
      </c>
      <c r="S4" s="112"/>
      <c r="T4" s="88">
        <v>102.98</v>
      </c>
      <c r="U4" s="88">
        <f>(T4/4.4/B4)*10</f>
        <v>3.0957268823266455</v>
      </c>
      <c r="V4" s="88">
        <f>U4/$BA$3</f>
        <v>7.6626903027887272E-2</v>
      </c>
      <c r="W4" s="88">
        <f>('1800 MHz - Nov 2012'!I3/E4)*10</f>
        <v>26.349832810035984</v>
      </c>
      <c r="X4" s="88">
        <f>W4/$BC$3</f>
        <v>0.37642618300051406</v>
      </c>
      <c r="Y4" s="88">
        <f>('1800 MHz - Feb 2014'!H3/G4)*10</f>
        <v>18.195677486190846</v>
      </c>
      <c r="Z4" s="88">
        <f t="shared" ref="Z4:Z25" si="0">Y4/$BE$3</f>
        <v>0.21482499983696393</v>
      </c>
      <c r="AA4" s="88">
        <f>('Mar 2015'!V3/'Price per MHz per pop'!G4)*10</f>
        <v>27.103745359798388</v>
      </c>
      <c r="AB4" s="112">
        <f>AA4/$BF$3</f>
        <v>0.4092984802144124</v>
      </c>
      <c r="AC4" s="247">
        <v>13.56303567</v>
      </c>
      <c r="AD4" s="112">
        <f>AC4/$BG$3</f>
        <v>0.18283952102992718</v>
      </c>
      <c r="AE4" s="88">
        <f>('3G BWA Auction Results'!G3/D4)*10</f>
        <v>32.422654696459823</v>
      </c>
      <c r="AF4" s="88">
        <f>AE4/$BB$3</f>
        <v>0.56682962756048638</v>
      </c>
      <c r="AG4" s="88"/>
      <c r="AH4" s="112"/>
      <c r="AI4" s="247">
        <v>15.18166956</v>
      </c>
      <c r="AJ4" s="112">
        <f>AI4/$BG$3</f>
        <v>0.20465987543812345</v>
      </c>
      <c r="AK4" s="245">
        <v>971</v>
      </c>
      <c r="AL4">
        <v>54.19632773</v>
      </c>
      <c r="AM4">
        <f>AL4/$BG$3</f>
        <v>0.73060565826368284</v>
      </c>
      <c r="AP4" s="247">
        <v>7.5908347799999998</v>
      </c>
      <c r="AQ4">
        <f>AP4/$BG$3</f>
        <v>0.10232993771906172</v>
      </c>
      <c r="AR4" s="247">
        <v>7.5908347799999998</v>
      </c>
      <c r="AS4">
        <f>AR4/$BG$3</f>
        <v>0.10232993771906172</v>
      </c>
      <c r="BD4" s="108"/>
      <c r="BE4" s="108"/>
      <c r="BF4" s="108"/>
      <c r="BG4" s="108"/>
      <c r="BH4" s="109"/>
      <c r="BI4" s="108"/>
      <c r="BJ4" s="108"/>
      <c r="BK4" s="108"/>
      <c r="BL4" s="110"/>
      <c r="BM4" s="111"/>
    </row>
    <row r="5" spans="1:65" ht="14">
      <c r="A5" s="108" t="s">
        <v>18</v>
      </c>
      <c r="B5" s="111">
        <v>26.368837287565199</v>
      </c>
      <c r="C5" s="112">
        <v>29.302622319999998</v>
      </c>
      <c r="D5" s="112">
        <f t="shared" ref="D5:D25" si="1">C5*(1.0141^2)</f>
        <v>30.134781923767441</v>
      </c>
      <c r="E5" s="112">
        <f t="shared" ref="E5:E25" si="2">C5*(1.0141^4)</f>
        <v>30.990573870011954</v>
      </c>
      <c r="F5" s="112">
        <f t="shared" ref="F5:F25" si="3">C5*(1.0141^5)</f>
        <v>31.427540961579123</v>
      </c>
      <c r="G5" s="112">
        <f t="shared" ref="G5:G25" si="4">C5*(1.0141^6)</f>
        <v>31.870669289137389</v>
      </c>
      <c r="H5" s="112"/>
      <c r="I5" s="112"/>
      <c r="J5" s="112">
        <f>('Mar 2015'!H4/'Price per MHz per pop'!G5)*10</f>
        <v>25.796759790049975</v>
      </c>
      <c r="K5" s="112">
        <f t="shared" ref="K5:K25" si="5">J5/$BF$3</f>
        <v>0.38956145862352726</v>
      </c>
      <c r="L5" s="247">
        <v>0</v>
      </c>
      <c r="M5" s="245"/>
      <c r="N5" s="88"/>
      <c r="O5" s="88"/>
      <c r="P5" s="88">
        <f>('Mar 2015'!O4/'Price per MHz per pop'!G5)*10</f>
        <v>58.031413875276627</v>
      </c>
      <c r="Q5" s="112">
        <f t="shared" ref="Q5:Q25" si="6">P5/$BF$3</f>
        <v>0.87634270424760841</v>
      </c>
      <c r="R5" s="247">
        <v>0</v>
      </c>
      <c r="S5" s="112"/>
      <c r="T5" s="88">
        <v>5.0199999999999996</v>
      </c>
      <c r="U5" s="88">
        <f t="shared" ref="U5:U25" si="7">(T5/4.4/B5)*10</f>
        <v>0.43267326445489929</v>
      </c>
      <c r="V5" s="88">
        <f t="shared" ref="V5:V25" si="8">U5/$BA$3</f>
        <v>1.0709734268685626E-2</v>
      </c>
      <c r="W5" s="88">
        <f>('1800 MHz - Nov 2012'!I4/E5)*10</f>
        <v>2.2380998909838272</v>
      </c>
      <c r="X5" s="88">
        <f>W5/$BC$3</f>
        <v>3.1972855585483247E-2</v>
      </c>
      <c r="Y5" s="88">
        <f>('1800 MHz - Feb 2014'!H4/G5)*10</f>
        <v>11.327029147864211</v>
      </c>
      <c r="Z5" s="88">
        <f t="shared" si="0"/>
        <v>0.13373115877053376</v>
      </c>
      <c r="AA5" s="88"/>
      <c r="AB5" s="112"/>
      <c r="AC5" s="247">
        <v>6.2753624090000004</v>
      </c>
      <c r="AD5" s="112">
        <f t="shared" ref="AD5:AD25" si="9">AC5/$BG$3</f>
        <v>8.4596419641412776E-2</v>
      </c>
      <c r="AE5" s="88">
        <f>('3G BWA Auction Results'!G4/D5)*10</f>
        <v>2.7529650026957411</v>
      </c>
      <c r="AF5" s="88">
        <f t="shared" ref="AF5:AF25" si="10">AE5/$BB$3</f>
        <v>4.8128758788387078E-2</v>
      </c>
      <c r="AG5" s="88">
        <f>('Mar 2015'!AC4/'Price per MHz per pop'!G5)*10</f>
        <v>12.122745101298662</v>
      </c>
      <c r="AH5" s="112">
        <f t="shared" ref="AH5:AH24" si="11">AG5/$BF$3</f>
        <v>0.18306773031257417</v>
      </c>
      <c r="AI5" s="247">
        <v>7.2166667699999998</v>
      </c>
      <c r="AJ5" s="112">
        <f t="shared" ref="AJ5:AJ25" si="12">AI5/$BG$3</f>
        <v>9.7285882582906436E-2</v>
      </c>
      <c r="AK5" s="245">
        <v>158</v>
      </c>
      <c r="AL5">
        <v>24.787681509999999</v>
      </c>
      <c r="AM5">
        <f t="shared" ref="AM5:AM17" si="13">AL5/$BG$3</f>
        <v>0.33415585750876242</v>
      </c>
      <c r="AP5" s="247">
        <v>0.62753624100000005</v>
      </c>
      <c r="AQ5">
        <f t="shared" ref="AQ5:AQ25" si="14">AP5/$BG$3</f>
        <v>8.4596419654893503E-3</v>
      </c>
      <c r="AR5" s="247">
        <v>0.62753624100000005</v>
      </c>
      <c r="AS5">
        <f t="shared" ref="AS5:AS25" si="15">AR5/$BG$3</f>
        <v>8.4596419654893503E-3</v>
      </c>
      <c r="BD5" s="108"/>
      <c r="BE5" s="108"/>
      <c r="BF5" s="108"/>
      <c r="BG5" s="108"/>
      <c r="BH5" s="109"/>
      <c r="BI5" s="108"/>
      <c r="BJ5" s="108"/>
      <c r="BK5" s="108"/>
      <c r="BL5" s="110"/>
      <c r="BM5" s="111"/>
    </row>
    <row r="6" spans="1:65" ht="14">
      <c r="A6" s="108" t="s">
        <v>16</v>
      </c>
      <c r="B6" s="111">
        <v>108.56062003453276</v>
      </c>
      <c r="C6" s="112">
        <v>122.90892000000001</v>
      </c>
      <c r="D6" s="112">
        <f t="shared" si="1"/>
        <v>126.39938706638522</v>
      </c>
      <c r="E6" s="112">
        <f t="shared" si="2"/>
        <v>129.98897924379997</v>
      </c>
      <c r="F6" s="112">
        <f t="shared" si="3"/>
        <v>131.82182385113757</v>
      </c>
      <c r="G6" s="112">
        <f t="shared" si="4"/>
        <v>133.6805115674386</v>
      </c>
      <c r="H6" s="112"/>
      <c r="I6" s="112"/>
      <c r="J6" s="112">
        <f>('Mar 2015'!H5/'Price per MHz per pop'!G6)*10</f>
        <v>6.4218784767809449</v>
      </c>
      <c r="K6" s="112">
        <f t="shared" si="5"/>
        <v>9.6977929277875949E-2</v>
      </c>
      <c r="L6" s="247">
        <v>5.0867549209999998</v>
      </c>
      <c r="M6" s="245"/>
      <c r="N6" s="88"/>
      <c r="O6" s="88"/>
      <c r="P6" s="88">
        <f>('Mar 2015'!O5/'Price per MHz per pop'!G6)*10</f>
        <v>33.273361598082232</v>
      </c>
      <c r="Q6" s="112">
        <f t="shared" si="6"/>
        <v>0.50246695255334084</v>
      </c>
      <c r="R6" s="247">
        <v>16.606758710000001</v>
      </c>
      <c r="S6" s="112"/>
      <c r="T6" s="88">
        <v>9.98</v>
      </c>
      <c r="U6" s="88">
        <f t="shared" si="7"/>
        <v>0.20893228294572352</v>
      </c>
      <c r="V6" s="88">
        <f t="shared" si="8"/>
        <v>5.1715911620228601E-3</v>
      </c>
      <c r="W6" s="88">
        <f>('1800 MHz - Nov 2012'!I5/E6)*10</f>
        <v>2.8574730116416109</v>
      </c>
      <c r="X6" s="88">
        <f>W6/$BC$3</f>
        <v>4.0821043023451582E-2</v>
      </c>
      <c r="Y6" s="88">
        <f>('1800 MHz - Feb 2014'!H5/G6)*10</f>
        <v>3.2241049570084179</v>
      </c>
      <c r="Z6" s="88">
        <f t="shared" si="0"/>
        <v>3.8064993589237518E-2</v>
      </c>
      <c r="AA6" s="88"/>
      <c r="AB6" s="112"/>
      <c r="AC6" s="247">
        <v>2.318961802</v>
      </c>
      <c r="AD6" s="112">
        <f t="shared" si="9"/>
        <v>3.1261280695605284E-2</v>
      </c>
      <c r="AE6" s="88">
        <f>('3G BWA Auction Results'!G5/D6)*10</f>
        <v>3.2193194084579284</v>
      </c>
      <c r="AF6" s="88">
        <f t="shared" si="10"/>
        <v>5.6281807840173573E-2</v>
      </c>
      <c r="AG6" s="88"/>
      <c r="AH6" s="112"/>
      <c r="AI6" s="247">
        <v>3.2166244349999999</v>
      </c>
      <c r="AJ6" s="112">
        <f t="shared" si="12"/>
        <v>4.3362421609598273E-2</v>
      </c>
      <c r="AK6" s="245">
        <v>248</v>
      </c>
      <c r="AL6">
        <v>9.2758472080000001</v>
      </c>
      <c r="AM6">
        <f t="shared" si="13"/>
        <v>0.12504512278242114</v>
      </c>
      <c r="AP6" s="247">
        <v>0.44883131700000001</v>
      </c>
      <c r="AQ6">
        <f t="shared" si="14"/>
        <v>6.0505704637368561E-3</v>
      </c>
      <c r="AR6" s="247">
        <v>0.44883131700000001</v>
      </c>
      <c r="AS6">
        <f t="shared" si="15"/>
        <v>6.0505704637368561E-3</v>
      </c>
      <c r="BD6" s="108"/>
      <c r="BE6" s="108"/>
      <c r="BF6" s="108"/>
      <c r="BG6" s="108"/>
      <c r="BH6" s="109"/>
      <c r="BI6" s="108"/>
      <c r="BJ6" s="108"/>
      <c r="BK6" s="108"/>
      <c r="BL6" s="110"/>
      <c r="BM6" s="111"/>
    </row>
    <row r="7" spans="1:65" ht="14">
      <c r="A7" s="108" t="s">
        <v>0</v>
      </c>
      <c r="B7" s="111">
        <v>13.584179341057478</v>
      </c>
      <c r="C7" s="112">
        <v>16.731295162400002</v>
      </c>
      <c r="D7" s="112">
        <f t="shared" si="1"/>
        <v>17.206444034770922</v>
      </c>
      <c r="E7" s="112">
        <f t="shared" si="2"/>
        <v>17.695086569690016</v>
      </c>
      <c r="F7" s="112">
        <f t="shared" si="3"/>
        <v>17.944587290322648</v>
      </c>
      <c r="G7" s="112">
        <f t="shared" si="4"/>
        <v>18.197605971116197</v>
      </c>
      <c r="H7" s="112">
        <f>('800 MHz - Mar 2013'!I6/F7)*10</f>
        <v>200.83604831321819</v>
      </c>
      <c r="I7" s="112">
        <f>H7/$BD$3</f>
        <v>2.7701523905271475</v>
      </c>
      <c r="J7" s="112">
        <f>('Mar 2015'!H6/'Price per MHz per pop'!G7)*10</f>
        <v>465.82830804529408</v>
      </c>
      <c r="K7" s="112">
        <f t="shared" si="5"/>
        <v>7.0345561468633964</v>
      </c>
      <c r="L7" s="247">
        <v>232.9976815</v>
      </c>
      <c r="M7" s="245"/>
      <c r="N7" s="88">
        <f>('1800 MHz - Feb 2014'!R3/G7)*10</f>
        <v>407.17443886634032</v>
      </c>
      <c r="O7" s="88">
        <f>N7/$BE$3</f>
        <v>4.8072542959426245</v>
      </c>
      <c r="P7" s="88"/>
      <c r="Q7" s="112"/>
      <c r="S7" s="112"/>
      <c r="T7" s="88">
        <v>170.69</v>
      </c>
      <c r="U7" s="88">
        <f t="shared" si="7"/>
        <v>28.557619009733944</v>
      </c>
      <c r="V7" s="88">
        <f t="shared" si="8"/>
        <v>0.70687175766668187</v>
      </c>
      <c r="W7" s="88"/>
      <c r="X7" s="88"/>
      <c r="Y7" s="88">
        <f>('1800 MHz - Feb 2014'!H6/G7)*10</f>
        <v>200.02631147072424</v>
      </c>
      <c r="Z7" s="88">
        <f t="shared" si="0"/>
        <v>2.3615857316496367</v>
      </c>
      <c r="AA7" s="88"/>
      <c r="AB7" s="112"/>
      <c r="AC7" s="247">
        <v>109.6298053</v>
      </c>
      <c r="AD7" s="112">
        <f t="shared" si="9"/>
        <v>1.4778889902938797</v>
      </c>
      <c r="AE7" s="88">
        <f>('3G BWA Auction Results'!G6/D7)*10</f>
        <v>385.5450891883437</v>
      </c>
      <c r="AF7" s="88">
        <f t="shared" si="10"/>
        <v>6.74029876203398</v>
      </c>
      <c r="AG7" s="88"/>
      <c r="AH7" s="112"/>
      <c r="AI7" s="247">
        <v>152.21782490000001</v>
      </c>
      <c r="AJ7" s="112">
        <f t="shared" si="12"/>
        <v>2.0520062671879211</v>
      </c>
      <c r="AK7" s="245">
        <v>1594</v>
      </c>
      <c r="AL7">
        <v>438.24445989999998</v>
      </c>
      <c r="AM7">
        <f t="shared" si="13"/>
        <v>5.907851980318144</v>
      </c>
      <c r="AP7" s="247">
        <v>78.581765219999994</v>
      </c>
      <c r="AQ7">
        <f t="shared" si="14"/>
        <v>1.0593389757346992</v>
      </c>
      <c r="AR7" s="247">
        <v>78.581765219999994</v>
      </c>
      <c r="AS7">
        <f t="shared" si="15"/>
        <v>1.0593389757346992</v>
      </c>
      <c r="AT7">
        <v>69</v>
      </c>
      <c r="BD7" s="108"/>
      <c r="BE7" s="108"/>
      <c r="BF7" s="108"/>
      <c r="BG7" s="108"/>
      <c r="BH7" s="109"/>
      <c r="BI7" s="108"/>
      <c r="BJ7" s="108"/>
      <c r="BK7" s="108"/>
      <c r="BL7" s="110"/>
      <c r="BM7" s="111"/>
    </row>
    <row r="8" spans="1:65" ht="14">
      <c r="A8" s="108" t="s">
        <v>4</v>
      </c>
      <c r="B8" s="111">
        <v>50.104091600608534</v>
      </c>
      <c r="C8" s="112">
        <v>57.628844821599998</v>
      </c>
      <c r="D8" s="112">
        <f t="shared" si="1"/>
        <v>59.265435436208108</v>
      </c>
      <c r="E8" s="112">
        <f t="shared" si="2"/>
        <v>60.94850327672826</v>
      </c>
      <c r="F8" s="112">
        <f t="shared" si="3"/>
        <v>61.807877172930127</v>
      </c>
      <c r="G8" s="112">
        <f t="shared" si="4"/>
        <v>62.679368241068453</v>
      </c>
      <c r="H8" s="112">
        <f>('800 MHz - Mar 2013'!I7/F8)*10</f>
        <v>18.961984355503777</v>
      </c>
      <c r="I8" s="112">
        <f>H8/$BD$3</f>
        <v>0.26154461180005212</v>
      </c>
      <c r="J8" s="112">
        <f>('Mar 2015'!H7/'Price per MHz per pop'!G8)*10</f>
        <v>44.311869725900976</v>
      </c>
      <c r="K8" s="112">
        <f t="shared" si="5"/>
        <v>0.669161427452446</v>
      </c>
      <c r="L8" s="247">
        <v>22.73475372</v>
      </c>
      <c r="M8" s="245"/>
      <c r="N8" s="88"/>
      <c r="O8" s="88"/>
      <c r="P8" s="88">
        <f>('Mar 2015'!O7/'Price per MHz per pop'!G8)*10</f>
        <v>107.37185438940662</v>
      </c>
      <c r="Q8" s="112">
        <f t="shared" si="6"/>
        <v>1.6214414737149898</v>
      </c>
      <c r="R8" s="247">
        <v>53.685927190000001</v>
      </c>
      <c r="S8" s="112"/>
      <c r="T8" s="88">
        <v>109</v>
      </c>
      <c r="U8" s="88">
        <f t="shared" si="7"/>
        <v>4.9442523517233861</v>
      </c>
      <c r="V8" s="88">
        <f t="shared" si="8"/>
        <v>0.12238248395354917</v>
      </c>
      <c r="W8" s="88">
        <f>('1800 MHz - Nov 2012'!I7/E8)*10</f>
        <v>29.512127505956304</v>
      </c>
      <c r="X8" s="88">
        <f>W8/$BC$3</f>
        <v>0.42160182151366149</v>
      </c>
      <c r="Y8" s="88">
        <f>('1800 MHz - Feb 2014'!H7/G8)*10</f>
        <v>37.939118831799256</v>
      </c>
      <c r="Z8" s="88">
        <f t="shared" si="0"/>
        <v>0.44792348089491446</v>
      </c>
      <c r="AA8" s="88">
        <f>('Mar 2015'!V7/'Price per MHz per pop'!G8)*10</f>
        <v>37.971027258066535</v>
      </c>
      <c r="AB8" s="112">
        <f>AA8/$BF$3</f>
        <v>0.57340723736131882</v>
      </c>
      <c r="AC8" s="247">
        <v>18.98551363</v>
      </c>
      <c r="AD8" s="112">
        <f t="shared" si="9"/>
        <v>0.25593844203289295</v>
      </c>
      <c r="AE8" s="88">
        <f>('3G BWA Auction Results'!G7/D8)*10</f>
        <v>36.313240325661489</v>
      </c>
      <c r="AF8" s="88">
        <f t="shared" si="10"/>
        <v>0.63484685884023584</v>
      </c>
      <c r="AG8" s="88">
        <f>('Mar 2015'!AC7/'Price per MHz per pop'!G8)*10</f>
        <v>41.161869884794811</v>
      </c>
      <c r="AH8" s="112">
        <f t="shared" si="11"/>
        <v>0.62159271949252204</v>
      </c>
      <c r="AI8" s="247">
        <v>20.580934939999999</v>
      </c>
      <c r="AJ8" s="112">
        <f t="shared" si="12"/>
        <v>0.27744587409005117</v>
      </c>
      <c r="AK8" s="245">
        <v>952</v>
      </c>
      <c r="AL8">
        <v>75.942054519999999</v>
      </c>
      <c r="AM8">
        <f t="shared" si="13"/>
        <v>1.0237537681315718</v>
      </c>
      <c r="AP8" s="247">
        <v>6.2221431220000003</v>
      </c>
      <c r="AQ8">
        <f t="shared" si="14"/>
        <v>8.3878985198166611E-2</v>
      </c>
      <c r="AR8" s="247">
        <v>6.2221431220000003</v>
      </c>
      <c r="AS8">
        <f t="shared" si="15"/>
        <v>8.3878985198166611E-2</v>
      </c>
      <c r="BD8" s="108"/>
      <c r="BE8" s="108"/>
      <c r="BF8" s="108"/>
      <c r="BG8" s="108"/>
      <c r="BH8" s="109"/>
      <c r="BI8" s="108"/>
      <c r="BJ8" s="108"/>
      <c r="BK8" s="108"/>
      <c r="BL8" s="110"/>
      <c r="BM8" s="111"/>
    </row>
    <row r="9" spans="1:65" ht="14">
      <c r="A9" s="108" t="s">
        <v>10</v>
      </c>
      <c r="B9" s="111">
        <v>20.858607741190063</v>
      </c>
      <c r="C9" s="112">
        <v>23.901221490000001</v>
      </c>
      <c r="D9" s="112">
        <f t="shared" si="1"/>
        <v>24.579987737862432</v>
      </c>
      <c r="E9" s="112">
        <f t="shared" si="2"/>
        <v>25.278030139432321</v>
      </c>
      <c r="F9" s="112">
        <f t="shared" si="3"/>
        <v>25.634450364398315</v>
      </c>
      <c r="G9" s="112">
        <f t="shared" si="4"/>
        <v>25.995896114536336</v>
      </c>
      <c r="H9" s="112"/>
      <c r="I9" s="112"/>
      <c r="J9" s="112">
        <f>('Mar 2015'!H8/'Price per MHz per pop'!G9)*10</f>
        <v>21.760357769843679</v>
      </c>
      <c r="K9" s="112">
        <f t="shared" si="5"/>
        <v>0.3286070336732661</v>
      </c>
      <c r="L9" s="247">
        <v>10.963268920000001</v>
      </c>
      <c r="M9" s="245"/>
      <c r="N9" s="88"/>
      <c r="O9" s="88"/>
      <c r="P9" s="88">
        <f>('Mar 2015'!O8/'Price per MHz per pop'!G9)*10</f>
        <v>58.163026707685702</v>
      </c>
      <c r="Q9" s="112">
        <f t="shared" si="6"/>
        <v>0.87833021304267145</v>
      </c>
      <c r="R9" s="247">
        <v>0</v>
      </c>
      <c r="S9" s="112"/>
      <c r="T9" s="88">
        <v>21.45</v>
      </c>
      <c r="U9" s="88">
        <f t="shared" si="7"/>
        <v>2.3371646183140036</v>
      </c>
      <c r="V9" s="88">
        <f t="shared" si="8"/>
        <v>5.7850609364208008E-2</v>
      </c>
      <c r="W9" s="88">
        <f>('1800 MHz - Nov 2012'!I8/E9)*10</f>
        <v>14.72266620251596</v>
      </c>
      <c r="X9" s="88">
        <f>W9/$BC$3</f>
        <v>0.21032380289308514</v>
      </c>
      <c r="Y9" s="88">
        <f>('1800 MHz - Feb 2014'!H8/G9)*10</f>
        <v>10.386254769229591</v>
      </c>
      <c r="Z9" s="88">
        <f t="shared" si="0"/>
        <v>0.12262402324946388</v>
      </c>
      <c r="AA9" s="88">
        <f>('Mar 2015'!V8/'Price per MHz per pop'!G9)*10</f>
        <v>17.925906379485145</v>
      </c>
      <c r="AB9" s="112">
        <f>AA9/$BF$3</f>
        <v>0.27070230110971227</v>
      </c>
      <c r="AC9" s="247">
        <v>9.0398884099999997</v>
      </c>
      <c r="AD9" s="112">
        <f t="shared" si="9"/>
        <v>0.12186422768940414</v>
      </c>
      <c r="AE9" s="88">
        <f>('3G BWA Auction Results'!G8/D9)*10</f>
        <v>18.110668107221475</v>
      </c>
      <c r="AF9" s="88">
        <f t="shared" si="10"/>
        <v>0.31662007180457125</v>
      </c>
      <c r="AG9" s="88">
        <f>('Mar 2015'!AC8/'Price per MHz per pop'!G9)*10</f>
        <v>17.695100717946708</v>
      </c>
      <c r="AH9" s="112">
        <f t="shared" si="11"/>
        <v>0.26721686375636827</v>
      </c>
      <c r="AI9" s="247">
        <v>10.578592820000001</v>
      </c>
      <c r="AJ9" s="112">
        <f t="shared" si="12"/>
        <v>0.14260707495281746</v>
      </c>
      <c r="AK9" s="245">
        <v>186</v>
      </c>
      <c r="AL9">
        <v>35.774877539999999</v>
      </c>
      <c r="AM9">
        <f t="shared" si="13"/>
        <v>0.482271198975465</v>
      </c>
      <c r="AR9" s="247">
        <v>3.0774088210000001</v>
      </c>
      <c r="AS9">
        <f t="shared" si="15"/>
        <v>4.1485694540307358E-2</v>
      </c>
      <c r="BC9" s="108"/>
      <c r="BD9" s="110"/>
      <c r="BE9" s="108"/>
      <c r="BF9" s="108"/>
      <c r="BG9" s="108"/>
      <c r="BH9" s="109"/>
      <c r="BI9" s="108"/>
      <c r="BJ9" s="108"/>
      <c r="BK9" s="108"/>
      <c r="BL9" s="110"/>
      <c r="BM9" s="111"/>
    </row>
    <row r="10" spans="1:65" ht="14">
      <c r="A10" s="108" t="s">
        <v>122</v>
      </c>
      <c r="B10" s="111">
        <v>6.0775823184483535</v>
      </c>
      <c r="C10" s="112">
        <v>6.83696079</v>
      </c>
      <c r="D10" s="112">
        <f t="shared" si="1"/>
        <v>7.0311223404526606</v>
      </c>
      <c r="E10" s="112">
        <f t="shared" si="2"/>
        <v>7.2307978478859329</v>
      </c>
      <c r="F10" s="112">
        <f t="shared" si="3"/>
        <v>7.3327520975411247</v>
      </c>
      <c r="G10" s="112">
        <f t="shared" si="4"/>
        <v>7.4361439021164548</v>
      </c>
      <c r="H10" s="112"/>
      <c r="I10" s="112"/>
      <c r="J10" s="112">
        <f>('Mar 2015'!H9/'Price per MHz per pop'!G10)*10</f>
        <v>26.314713993674346</v>
      </c>
      <c r="K10" s="112">
        <f t="shared" si="5"/>
        <v>0.39738317719230365</v>
      </c>
      <c r="L10" s="247">
        <v>16.137396150000001</v>
      </c>
      <c r="M10" s="245"/>
      <c r="N10" s="88"/>
      <c r="O10" s="88"/>
      <c r="P10" s="88">
        <f>('Mar 2015'!O9/'Price per MHz per pop'!G10)*10</f>
        <v>77.257784083022841</v>
      </c>
      <c r="Q10" s="112">
        <f t="shared" si="6"/>
        <v>1.1666835409698406</v>
      </c>
      <c r="R10" s="247">
        <v>0</v>
      </c>
      <c r="S10" s="112"/>
      <c r="T10" s="88">
        <v>1.1200000000000001</v>
      </c>
      <c r="U10" s="88">
        <f t="shared" si="7"/>
        <v>0.4188268314734101</v>
      </c>
      <c r="V10" s="88">
        <f t="shared" si="8"/>
        <v>1.0367000779044806E-2</v>
      </c>
      <c r="W10" s="88">
        <f>('1800 MHz - Nov 2012'!I9/E10)*10</f>
        <v>8.6076255081860857</v>
      </c>
      <c r="X10" s="88">
        <f>W10/$BC$3</f>
        <v>0.12296607868837266</v>
      </c>
      <c r="Y10" s="88">
        <f>('1800 MHz - Feb 2014'!H9/G10)*10</f>
        <v>8.0686980765559095</v>
      </c>
      <c r="Z10" s="88">
        <f t="shared" si="0"/>
        <v>9.5262078825925731E-2</v>
      </c>
      <c r="AA10" s="88">
        <f>('Mar 2015'!V9/'Price per MHz per pop'!G10)*10</f>
        <v>21.382049902873163</v>
      </c>
      <c r="AB10" s="112">
        <f>AA10/$BF$3</f>
        <v>0.32289413927624833</v>
      </c>
      <c r="AC10" s="247">
        <v>10.7582641</v>
      </c>
      <c r="AD10" s="112">
        <f t="shared" si="9"/>
        <v>0.14502917363170664</v>
      </c>
      <c r="AE10" s="88">
        <f>('3G BWA Auction Results'!G9/D10)*10</f>
        <v>10.590058940036348</v>
      </c>
      <c r="AF10" s="88">
        <f t="shared" si="10"/>
        <v>0.18514089056007602</v>
      </c>
      <c r="AG10" s="88"/>
      <c r="AH10" s="112"/>
      <c r="AI10" s="247">
        <v>13.44783013</v>
      </c>
      <c r="AJ10" s="112">
        <f t="shared" si="12"/>
        <v>0.18128646710703691</v>
      </c>
      <c r="AK10" s="245">
        <v>64</v>
      </c>
      <c r="AL10">
        <v>43.03305641</v>
      </c>
      <c r="AM10">
        <f t="shared" si="13"/>
        <v>0.58011669466163385</v>
      </c>
      <c r="AP10" s="247">
        <v>1.344783013</v>
      </c>
      <c r="AQ10">
        <f t="shared" si="14"/>
        <v>1.8128646710703692E-2</v>
      </c>
      <c r="AR10" s="247">
        <v>1.344783013</v>
      </c>
      <c r="AS10">
        <f t="shared" si="15"/>
        <v>1.8128646710703692E-2</v>
      </c>
      <c r="BC10" s="108"/>
      <c r="BD10" s="110"/>
      <c r="BE10" s="108"/>
      <c r="BF10" s="108"/>
      <c r="BG10" s="108"/>
      <c r="BH10" s="109"/>
      <c r="BI10" s="108"/>
      <c r="BJ10" s="108"/>
      <c r="BK10" s="108"/>
      <c r="BL10" s="110"/>
      <c r="BM10" s="111"/>
    </row>
    <row r="11" spans="1:65" ht="14">
      <c r="A11" s="108" t="s">
        <v>123</v>
      </c>
      <c r="B11" s="111">
        <v>10.018957345971565</v>
      </c>
      <c r="C11" s="112">
        <v>12.201780359004974</v>
      </c>
      <c r="D11" s="112">
        <f t="shared" si="1"/>
        <v>12.548296401082089</v>
      </c>
      <c r="E11" s="112">
        <f t="shared" si="2"/>
        <v>12.904653086400106</v>
      </c>
      <c r="F11" s="112">
        <f t="shared" si="3"/>
        <v>13.086608694918349</v>
      </c>
      <c r="G11" s="112">
        <f t="shared" si="4"/>
        <v>13.271129877516698</v>
      </c>
      <c r="H11" s="112"/>
      <c r="I11" s="112"/>
      <c r="J11" s="112">
        <f>('Mar 2015'!H10/'Price per MHz per pop'!G11)*10</f>
        <v>21.309413939133094</v>
      </c>
      <c r="K11" s="112">
        <f t="shared" si="5"/>
        <v>0.3217972506664617</v>
      </c>
      <c r="L11" s="247">
        <v>0</v>
      </c>
      <c r="M11" s="245"/>
      <c r="N11" s="88"/>
      <c r="O11" s="88"/>
      <c r="P11" s="88">
        <f>('Mar 2015'!O10/'Price per MHz per pop'!G11)*10</f>
        <v>0</v>
      </c>
      <c r="Q11" s="112">
        <f t="shared" si="6"/>
        <v>0</v>
      </c>
      <c r="R11" s="247">
        <v>0</v>
      </c>
      <c r="S11" s="112"/>
      <c r="T11" s="88">
        <v>1.98</v>
      </c>
      <c r="U11" s="88">
        <f t="shared" si="7"/>
        <v>0.44914853358561962</v>
      </c>
      <c r="V11" s="88">
        <f t="shared" si="8"/>
        <v>1.1117537960040089E-2</v>
      </c>
      <c r="W11" s="88">
        <f>('1800 MHz - Nov 2012'!I10/E11)*10</f>
        <v>3.9241659315404802</v>
      </c>
      <c r="X11" s="88">
        <f>W11/$BC$3</f>
        <v>5.6059513307721145E-2</v>
      </c>
      <c r="Y11" s="88">
        <f>('1800 MHz - Feb 2014'!H10/G11)*10</f>
        <v>4.5964436007323854</v>
      </c>
      <c r="Z11" s="88">
        <f t="shared" si="0"/>
        <v>5.4267338851622021E-2</v>
      </c>
      <c r="AA11" s="88"/>
      <c r="AB11" s="112"/>
      <c r="AC11" s="247">
        <v>4.8978497379999997</v>
      </c>
      <c r="AD11" s="112">
        <f t="shared" si="9"/>
        <v>6.6026553491507128E-2</v>
      </c>
      <c r="AE11" s="88">
        <f>('3G BWA Auction Results'!G10/D11)*10</f>
        <v>4.8293408175132226</v>
      </c>
      <c r="AF11" s="88">
        <f t="shared" si="10"/>
        <v>8.4429035271210179E-2</v>
      </c>
      <c r="AG11" s="88"/>
      <c r="AH11" s="112"/>
      <c r="AI11" s="247">
        <v>4.1443343940000004</v>
      </c>
      <c r="AJ11" s="112">
        <f t="shared" si="12"/>
        <v>5.5868622189269343E-2</v>
      </c>
      <c r="AK11" s="245">
        <v>52</v>
      </c>
      <c r="AL11">
        <v>19.591398949999999</v>
      </c>
      <c r="AM11">
        <f t="shared" si="13"/>
        <v>0.26410621393906708</v>
      </c>
      <c r="AR11" s="247">
        <v>0.75351534399999998</v>
      </c>
      <c r="AS11">
        <f t="shared" si="15"/>
        <v>1.0157931302237799E-2</v>
      </c>
      <c r="BC11" s="108"/>
      <c r="BD11" s="110"/>
      <c r="BE11" s="111"/>
      <c r="BF11" s="108"/>
      <c r="BG11" s="108"/>
      <c r="BH11" s="109"/>
      <c r="BI11" s="108"/>
      <c r="BJ11" s="108"/>
      <c r="BK11" s="108"/>
      <c r="BL11" s="110"/>
      <c r="BM11" s="111"/>
    </row>
    <row r="12" spans="1:65" ht="14">
      <c r="A12" s="108" t="s">
        <v>6</v>
      </c>
      <c r="B12" s="111">
        <v>52.417287880056953</v>
      </c>
      <c r="C12" s="112">
        <v>59.052746687999999</v>
      </c>
      <c r="D12" s="112">
        <f t="shared" si="1"/>
        <v>60.729774421170646</v>
      </c>
      <c r="E12" s="112">
        <f t="shared" si="2"/>
        <v>62.454427746300347</v>
      </c>
      <c r="F12" s="112">
        <f t="shared" si="3"/>
        <v>63.335035177523181</v>
      </c>
      <c r="G12" s="112">
        <f t="shared" si="4"/>
        <v>64.228059173526262</v>
      </c>
      <c r="H12" s="112"/>
      <c r="I12" s="112"/>
      <c r="J12" s="112">
        <f>('Mar 2015'!H11/'Price per MHz per pop'!G12)*10</f>
        <v>0</v>
      </c>
      <c r="K12" s="112">
        <f t="shared" si="5"/>
        <v>0</v>
      </c>
      <c r="L12" s="247">
        <v>23.58782158</v>
      </c>
      <c r="M12" s="245"/>
      <c r="N12" s="88"/>
      <c r="O12" s="88"/>
      <c r="P12" s="88">
        <f>('Mar 2015'!O11/'Price per MHz per pop'!G12)*10</f>
        <v>86.800069498253237</v>
      </c>
      <c r="Q12" s="112">
        <f t="shared" si="6"/>
        <v>1.3107832905202845</v>
      </c>
      <c r="R12" s="247">
        <v>0</v>
      </c>
      <c r="S12" s="112"/>
      <c r="T12" s="88">
        <v>206.83</v>
      </c>
      <c r="U12" s="88">
        <f t="shared" si="7"/>
        <v>8.9678081569921755</v>
      </c>
      <c r="V12" s="88">
        <f t="shared" si="8"/>
        <v>0.22197544943049941</v>
      </c>
      <c r="W12" s="88"/>
      <c r="X12" s="88"/>
      <c r="Y12" s="88">
        <f>('1800 MHz - Feb 2014'!H11/G12)*10</f>
        <v>24.132754748393275</v>
      </c>
      <c r="Z12" s="88">
        <f t="shared" si="0"/>
        <v>0.28492036302707524</v>
      </c>
      <c r="AA12" s="88">
        <f>('Mar 2015'!V11/'Price per MHz per pop'!G12)*10</f>
        <v>28.803610506146811</v>
      </c>
      <c r="AB12" s="112">
        <f>AA12/$BF$3</f>
        <v>0.43496844618161901</v>
      </c>
      <c r="AC12" s="247">
        <v>14.401805250000001</v>
      </c>
      <c r="AD12" s="112">
        <f t="shared" si="9"/>
        <v>0.19414674103531948</v>
      </c>
      <c r="AE12" s="88">
        <f>('3G BWA Auction Results'!G11/D12)*10</f>
        <v>52.03082063315675</v>
      </c>
      <c r="AF12" s="88">
        <f t="shared" si="10"/>
        <v>0.90962973134889424</v>
      </c>
      <c r="AG12" s="88">
        <f>('Mar 2015'!AC11/'Price per MHz per pop'!G12)*10</f>
        <v>51.141511082027321</v>
      </c>
      <c r="AH12" s="112">
        <f t="shared" si="11"/>
        <v>0.77229705650902025</v>
      </c>
      <c r="AI12" s="247">
        <v>25.53401148</v>
      </c>
      <c r="AJ12" s="112">
        <f t="shared" si="12"/>
        <v>0.34421692477756805</v>
      </c>
      <c r="AK12" s="245">
        <v>740</v>
      </c>
      <c r="AL12">
        <v>57.607221010000004</v>
      </c>
      <c r="AM12">
        <f t="shared" si="13"/>
        <v>0.7765869642760852</v>
      </c>
      <c r="AP12" s="247">
        <v>15.258128810000001</v>
      </c>
      <c r="AQ12">
        <f t="shared" si="14"/>
        <v>0.2056906013750337</v>
      </c>
      <c r="AR12" s="247">
        <v>15.258128810000001</v>
      </c>
      <c r="AS12">
        <f t="shared" si="15"/>
        <v>0.2056906013750337</v>
      </c>
      <c r="BC12" s="108"/>
      <c r="BD12" s="108"/>
      <c r="BE12" s="111"/>
      <c r="BF12" s="108"/>
      <c r="BG12" s="108"/>
      <c r="BH12" s="109"/>
      <c r="BI12" s="108"/>
      <c r="BJ12" s="108"/>
      <c r="BK12" s="108"/>
      <c r="BL12" s="110"/>
      <c r="BM12" s="111"/>
    </row>
    <row r="13" spans="1:65" ht="14">
      <c r="A13" s="108" t="s">
        <v>8</v>
      </c>
      <c r="B13" s="111">
        <v>31.699645323875302</v>
      </c>
      <c r="C13" s="112">
        <v>34.23946394</v>
      </c>
      <c r="D13" s="112">
        <f t="shared" si="1"/>
        <v>35.211823970933914</v>
      </c>
      <c r="E13" s="112">
        <f t="shared" si="2"/>
        <v>36.21179786963792</v>
      </c>
      <c r="F13" s="112">
        <f t="shared" si="3"/>
        <v>36.722384219599817</v>
      </c>
      <c r="G13" s="112">
        <f t="shared" si="4"/>
        <v>37.240169837096175</v>
      </c>
      <c r="H13" s="112">
        <f>('800 MHz - Mar 2013'!I12/F13)*10</f>
        <v>9.2477655581727038</v>
      </c>
      <c r="I13" s="112">
        <f>H13/$BD$3</f>
        <v>0.12755538700927868</v>
      </c>
      <c r="J13" s="112">
        <f>('Mar 2015'!H12/'Price per MHz per pop'!G13)*10</f>
        <v>0</v>
      </c>
      <c r="K13" s="112">
        <f t="shared" si="5"/>
        <v>0</v>
      </c>
      <c r="L13" s="247">
        <v>32.626059580000003</v>
      </c>
      <c r="M13" s="245"/>
      <c r="N13" s="88"/>
      <c r="O13" s="88"/>
      <c r="P13" s="88">
        <f>('Mar 2015'!O12/'Price per MHz per pop'!G13)*10</f>
        <v>99.193962223026247</v>
      </c>
      <c r="Q13" s="112">
        <f t="shared" si="6"/>
        <v>1.497945669329904</v>
      </c>
      <c r="R13" s="247">
        <v>0</v>
      </c>
      <c r="S13" s="112"/>
      <c r="T13" s="88">
        <v>40.549999999999997</v>
      </c>
      <c r="U13" s="88">
        <f t="shared" si="7"/>
        <v>2.9072593704914169</v>
      </c>
      <c r="V13" s="88">
        <f t="shared" si="8"/>
        <v>7.1961865606223197E-2</v>
      </c>
      <c r="W13" s="88">
        <f>('1800 MHz - Nov 2012'!I12/E13)*10</f>
        <v>14.426237600260398</v>
      </c>
      <c r="X13" s="88">
        <f>W13/$BC$3</f>
        <v>0.20608910857514853</v>
      </c>
      <c r="Y13" s="88">
        <f>('1800 MHz - Feb 2014'!H12/G13)*10</f>
        <v>13.963416447204562</v>
      </c>
      <c r="Z13" s="88">
        <f t="shared" si="0"/>
        <v>0.1648573370390149</v>
      </c>
      <c r="AA13" s="88"/>
      <c r="AB13" s="112"/>
      <c r="AC13" s="247">
        <v>11.143880429999999</v>
      </c>
      <c r="AD13" s="112">
        <f t="shared" si="9"/>
        <v>0.15022756039363708</v>
      </c>
      <c r="AE13" s="88">
        <f>('3G BWA Auction Results'!G12/D13)*10</f>
        <v>17.748583558633086</v>
      </c>
      <c r="AF13" s="88">
        <f t="shared" si="10"/>
        <v>0.31028992235372527</v>
      </c>
      <c r="AG13" s="88">
        <f>('Mar 2015'!AC12/'Price per MHz per pop'!G13)*10</f>
        <v>31.609415455119962</v>
      </c>
      <c r="AH13" s="112">
        <f t="shared" si="11"/>
        <v>0.4773394058459674</v>
      </c>
      <c r="AI13" s="247">
        <v>23.764660679999999</v>
      </c>
      <c r="AJ13" s="112">
        <f t="shared" si="12"/>
        <v>0.320364797519547</v>
      </c>
      <c r="AK13" s="245">
        <v>334</v>
      </c>
      <c r="AL13">
        <v>44.844048970000003</v>
      </c>
      <c r="AM13">
        <f t="shared" si="13"/>
        <v>0.60453018293340521</v>
      </c>
      <c r="AP13" s="247">
        <v>4.2964358300000001</v>
      </c>
      <c r="AQ13">
        <f t="shared" si="14"/>
        <v>5.7919059449986515E-2</v>
      </c>
      <c r="AR13" s="247">
        <v>4.2964358300000001</v>
      </c>
      <c r="AS13">
        <f t="shared" si="15"/>
        <v>5.7919059449986515E-2</v>
      </c>
      <c r="BC13" s="108"/>
      <c r="BD13" s="108"/>
      <c r="BE13" s="111"/>
      <c r="BF13" s="108"/>
      <c r="BG13" s="108"/>
      <c r="BH13" s="109"/>
      <c r="BI13" s="108"/>
      <c r="BJ13" s="108"/>
      <c r="BK13" s="108"/>
      <c r="BL13" s="110"/>
      <c r="BM13" s="111"/>
    </row>
    <row r="14" spans="1:65" ht="14">
      <c r="A14" s="108" t="s">
        <v>2</v>
      </c>
      <c r="B14" s="111">
        <v>13.205697000000001</v>
      </c>
      <c r="C14" s="112">
        <v>15.245003438579142</v>
      </c>
      <c r="D14" s="112">
        <f t="shared" si="1"/>
        <v>15.6779433946807</v>
      </c>
      <c r="E14" s="112">
        <f t="shared" si="2"/>
        <v>16.123178330336994</v>
      </c>
      <c r="F14" s="112">
        <f t="shared" si="3"/>
        <v>16.350515144794745</v>
      </c>
      <c r="G14" s="112">
        <f t="shared" si="4"/>
        <v>16.581057408336353</v>
      </c>
      <c r="H14" s="112">
        <f>('800 MHz - Mar 2013'!I13/F14)*10</f>
        <v>36.167667792917328</v>
      </c>
      <c r="I14" s="112">
        <f>H14/$BD$3</f>
        <v>0.49886438335058386</v>
      </c>
      <c r="J14" s="112">
        <f>('Mar 2015'!H13/'Price per MHz per pop'!G14)*10</f>
        <v>88.655383296661014</v>
      </c>
      <c r="K14" s="112">
        <f t="shared" si="5"/>
        <v>1.3388007142352918</v>
      </c>
      <c r="L14" s="247">
        <v>48.247827639999997</v>
      </c>
      <c r="M14" s="245"/>
      <c r="N14" s="88">
        <f>('1800 MHz - Feb 2014'!R4/G14)*10</f>
        <v>117.38093368047026</v>
      </c>
      <c r="O14" s="88">
        <f>N14/$BE$3</f>
        <v>1.3858433728508885</v>
      </c>
      <c r="P14" s="88"/>
      <c r="Q14" s="112"/>
      <c r="R14" s="247">
        <v>0</v>
      </c>
      <c r="S14" s="112"/>
      <c r="T14" s="88">
        <v>78</v>
      </c>
      <c r="U14" s="88">
        <f t="shared" si="7"/>
        <v>13.423958407702923</v>
      </c>
      <c r="V14" s="88">
        <f t="shared" si="8"/>
        <v>0.33227619821046839</v>
      </c>
      <c r="W14" s="88">
        <f>('1800 MHz - Nov 2012'!I13/E14)*10</f>
        <v>56.425599305579652</v>
      </c>
      <c r="X14" s="88">
        <f>W14/$BC$3</f>
        <v>0.80607999007970932</v>
      </c>
      <c r="Y14" s="88">
        <f>('1800 MHz - Feb 2014'!H13/G14)*10</f>
        <v>44.026142725552752</v>
      </c>
      <c r="Z14" s="88">
        <f t="shared" si="0"/>
        <v>0.5197891703134917</v>
      </c>
      <c r="AA14" s="88">
        <f>('Mar 2015'!V13/'Price per MHz per pop'!G14)*10</f>
        <v>89.921888772327605</v>
      </c>
      <c r="AB14" s="112">
        <f>AA14/$BF$3</f>
        <v>1.3579264387243675</v>
      </c>
      <c r="AC14" s="247">
        <v>44.930789490000002</v>
      </c>
      <c r="AD14" s="112">
        <f t="shared" si="9"/>
        <v>0.60569950781881909</v>
      </c>
      <c r="AE14" s="88">
        <f>('3G BWA Auction Results'!G13/D14)*10</f>
        <v>69.430024882556921</v>
      </c>
      <c r="AF14" s="88">
        <f t="shared" si="10"/>
        <v>1.2138116238209251</v>
      </c>
      <c r="AG14" s="88">
        <f>('Mar 2015'!AC13/'Price per MHz per pop'!G14)*10</f>
        <v>69.714492359144458</v>
      </c>
      <c r="AH14" s="112">
        <f t="shared" si="11"/>
        <v>1.0527709507572405</v>
      </c>
      <c r="AI14" s="247">
        <v>34.979675039999996</v>
      </c>
      <c r="AJ14" s="112">
        <f t="shared" si="12"/>
        <v>0.47155129468859519</v>
      </c>
      <c r="AK14" s="245">
        <v>596</v>
      </c>
      <c r="AL14">
        <v>179.72315800000001</v>
      </c>
      <c r="AM14">
        <f t="shared" si="13"/>
        <v>2.422798031814505</v>
      </c>
      <c r="AP14" s="247">
        <v>19.902228900000001</v>
      </c>
      <c r="AQ14">
        <f t="shared" si="14"/>
        <v>0.26829642626044753</v>
      </c>
      <c r="AR14" s="247">
        <v>19.902228900000001</v>
      </c>
      <c r="AS14">
        <f t="shared" si="15"/>
        <v>0.26829642626044753</v>
      </c>
      <c r="AT14">
        <v>26</v>
      </c>
      <c r="BC14" s="108"/>
      <c r="BD14" s="108"/>
      <c r="BE14" s="111"/>
      <c r="BF14" s="108"/>
      <c r="BG14" s="108"/>
      <c r="BH14" s="109"/>
      <c r="BI14" s="108"/>
      <c r="BJ14" s="108"/>
      <c r="BK14" s="108"/>
      <c r="BL14" s="110"/>
      <c r="BM14" s="111"/>
    </row>
    <row r="15" spans="1:65" ht="14">
      <c r="A15" s="108" t="s">
        <v>3</v>
      </c>
      <c r="B15" s="111">
        <v>80.955968763732997</v>
      </c>
      <c r="C15" s="112">
        <v>91.703034800000012</v>
      </c>
      <c r="D15" s="112">
        <f t="shared" si="1"/>
        <v>94.307291861708606</v>
      </c>
      <c r="E15" s="112">
        <f t="shared" si="2"/>
        <v>96.985506724903843</v>
      </c>
      <c r="F15" s="112">
        <f t="shared" si="3"/>
        <v>98.35300236972499</v>
      </c>
      <c r="G15" s="112">
        <f t="shared" si="4"/>
        <v>99.739779703138112</v>
      </c>
      <c r="H15" s="112"/>
      <c r="I15" s="112"/>
      <c r="J15" s="112">
        <f>('Mar 2015'!H14/'Price per MHz per pop'!G15)*10</f>
        <v>40.945749149990426</v>
      </c>
      <c r="K15" s="112">
        <f t="shared" si="5"/>
        <v>0.61832904183011816</v>
      </c>
      <c r="L15" s="247">
        <v>20.453223439999999</v>
      </c>
      <c r="M15" s="245"/>
      <c r="N15" s="88"/>
      <c r="O15" s="88"/>
      <c r="P15" s="88">
        <f>('Mar 2015'!O14/'Price per MHz per pop'!G15)*10</f>
        <v>31.030748305358671</v>
      </c>
      <c r="Q15" s="112">
        <f t="shared" si="6"/>
        <v>0.46860085027723758</v>
      </c>
      <c r="R15" s="247">
        <v>0</v>
      </c>
      <c r="S15" s="112"/>
      <c r="T15" s="88">
        <v>188.98</v>
      </c>
      <c r="U15" s="88">
        <f t="shared" si="7"/>
        <v>5.3053531019248235</v>
      </c>
      <c r="V15" s="88">
        <f t="shared" si="8"/>
        <v>0.13132062133477287</v>
      </c>
      <c r="W15" s="88">
        <f>('1800 MHz - Nov 2012'!I14/E15)*10</f>
        <v>4.4534489181473962</v>
      </c>
      <c r="X15" s="88">
        <f>W15/$BC$3</f>
        <v>6.3620698830677086E-2</v>
      </c>
      <c r="Y15" s="88">
        <f>('1800 MHz - Feb 2014'!H14/G15)*10</f>
        <v>5.0531493201617987</v>
      </c>
      <c r="Z15" s="88">
        <f t="shared" si="0"/>
        <v>5.965937804205193E-2</v>
      </c>
      <c r="AA15" s="88"/>
      <c r="AB15" s="112"/>
      <c r="AC15" s="247">
        <v>4.1608273169999999</v>
      </c>
      <c r="AD15" s="112">
        <f t="shared" si="9"/>
        <v>5.6090958708546773E-2</v>
      </c>
      <c r="AE15" s="88">
        <f>('3G BWA Auction Results'!G14/D15)*10</f>
        <v>5.4791097252343306</v>
      </c>
      <c r="AF15" s="88">
        <f t="shared" si="10"/>
        <v>9.5788631560040735E-2</v>
      </c>
      <c r="AG15" s="88">
        <f>('Mar 2015'!AC14/'Price per MHz per pop'!G15)*10</f>
        <v>9.1588331427932612</v>
      </c>
      <c r="AH15" s="112">
        <f t="shared" si="11"/>
        <v>0.1383091685713268</v>
      </c>
      <c r="AI15" s="247">
        <v>6.1660453009999996</v>
      </c>
      <c r="AJ15" s="112">
        <f t="shared" si="12"/>
        <v>8.3122746036667555E-2</v>
      </c>
      <c r="AK15" s="245">
        <v>1272</v>
      </c>
      <c r="AL15">
        <v>16.593178819999999</v>
      </c>
      <c r="AM15">
        <f t="shared" si="13"/>
        <v>0.2236880401725532</v>
      </c>
      <c r="AP15" s="247">
        <v>0.80208719399999995</v>
      </c>
      <c r="AQ15">
        <f t="shared" si="14"/>
        <v>1.0812714936640603E-2</v>
      </c>
      <c r="AR15" s="247">
        <v>0.80208719399999995</v>
      </c>
      <c r="AS15">
        <f t="shared" si="15"/>
        <v>1.0812714936640603E-2</v>
      </c>
      <c r="BC15" s="108"/>
      <c r="BD15" s="108"/>
      <c r="BE15" s="111"/>
      <c r="BF15" s="108"/>
      <c r="BG15" s="108"/>
      <c r="BH15" s="109"/>
      <c r="BI15" s="108"/>
      <c r="BJ15" s="108"/>
      <c r="BK15" s="108"/>
      <c r="BL15" s="110"/>
      <c r="BM15" s="111"/>
    </row>
    <row r="16" spans="1:65" ht="14">
      <c r="A16" s="108" t="s">
        <v>124</v>
      </c>
      <c r="B16" s="111">
        <v>80.601927554262573</v>
      </c>
      <c r="C16" s="112">
        <v>68.035969000000009</v>
      </c>
      <c r="D16" s="112">
        <f t="shared" si="1"/>
        <v>69.968109556796904</v>
      </c>
      <c r="E16" s="112">
        <f t="shared" si="2"/>
        <v>71.955120606159582</v>
      </c>
      <c r="F16" s="112">
        <f t="shared" si="3"/>
        <v>72.969687806706432</v>
      </c>
      <c r="G16" s="112">
        <f t="shared" si="4"/>
        <v>73.998560404781003</v>
      </c>
      <c r="H16" s="112"/>
      <c r="I16" s="112"/>
      <c r="J16" s="112">
        <f>('Mar 2015'!H15/'Price per MHz per pop'!G16)*10</f>
        <v>108.0312908287808</v>
      </c>
      <c r="K16" s="112">
        <f t="shared" si="5"/>
        <v>1.6313997406943643</v>
      </c>
      <c r="L16" s="247">
        <v>53.987536759999998</v>
      </c>
      <c r="M16" s="245"/>
      <c r="N16" s="88"/>
      <c r="O16" s="88"/>
      <c r="P16" s="88">
        <f>('Mar 2015'!O15/'Price per MHz per pop'!G16)*10</f>
        <v>104.46149165221556</v>
      </c>
      <c r="Q16" s="112">
        <f t="shared" si="6"/>
        <v>1.5774915682907815</v>
      </c>
      <c r="R16" s="247">
        <v>0</v>
      </c>
      <c r="S16" s="112"/>
      <c r="T16" s="88">
        <v>17.420000000000002</v>
      </c>
      <c r="U16" s="88">
        <f t="shared" si="7"/>
        <v>0.4911905991858051</v>
      </c>
      <c r="V16" s="88">
        <f t="shared" si="8"/>
        <v>1.2158183148163493E-2</v>
      </c>
      <c r="W16" s="88">
        <f>('1800 MHz - Nov 2012'!I15/E16)*10</f>
        <v>29.219324243895734</v>
      </c>
      <c r="X16" s="88">
        <f>W16/$BC$3</f>
        <v>0.41741891776993906</v>
      </c>
      <c r="Y16" s="88">
        <f>('1800 MHz - Feb 2014'!H15/G16)*10</f>
        <v>39.237249807530134</v>
      </c>
      <c r="Z16" s="88">
        <f t="shared" si="0"/>
        <v>0.46324970256824244</v>
      </c>
      <c r="AA16" s="88"/>
      <c r="AB16" s="112"/>
      <c r="AC16" s="247">
        <v>21.486904490000001</v>
      </c>
      <c r="AD16" s="112">
        <f t="shared" si="9"/>
        <v>0.28965899824750607</v>
      </c>
      <c r="AE16" s="88">
        <f>('3G BWA Auction Results'!G15/D16)*10</f>
        <v>35.954094171401309</v>
      </c>
      <c r="AF16" s="88">
        <f t="shared" si="10"/>
        <v>0.62856807991960328</v>
      </c>
      <c r="AG16" s="88">
        <f>('Mar 2015'!AC15/'Price per MHz per pop'!G16)*10</f>
        <v>40.676466995235295</v>
      </c>
      <c r="AH16" s="112">
        <f t="shared" si="11"/>
        <v>0.61426256410805335</v>
      </c>
      <c r="AI16" s="247">
        <v>23.040988779999999</v>
      </c>
      <c r="AJ16" s="112">
        <f t="shared" si="12"/>
        <v>0.31060917740630895</v>
      </c>
      <c r="AK16" s="245">
        <v>331</v>
      </c>
      <c r="AL16">
        <v>85.947617969999996</v>
      </c>
      <c r="AM16">
        <f t="shared" si="13"/>
        <v>1.1586359931248313</v>
      </c>
      <c r="AP16" s="247">
        <v>7.8379903180000001</v>
      </c>
      <c r="AQ16">
        <f t="shared" si="14"/>
        <v>0.10566177295767053</v>
      </c>
      <c r="AR16" s="247">
        <v>7.8379903180000001</v>
      </c>
      <c r="AS16">
        <f t="shared" si="15"/>
        <v>0.10566177295767053</v>
      </c>
      <c r="BC16" s="108"/>
      <c r="BD16" s="108"/>
      <c r="BE16" s="111"/>
      <c r="BF16" s="108"/>
      <c r="BG16" s="108"/>
      <c r="BH16" s="109"/>
      <c r="BI16" s="108"/>
      <c r="BJ16" s="108"/>
      <c r="BK16" s="108"/>
      <c r="BL16" s="110"/>
      <c r="BM16" s="111"/>
    </row>
    <row r="17" spans="1:65" ht="14">
      <c r="A17" s="108" t="s">
        <v>1</v>
      </c>
      <c r="B17" s="111">
        <v>16.434386</v>
      </c>
      <c r="C17" s="112">
        <v>19.79811450269705</v>
      </c>
      <c r="D17" s="112">
        <f t="shared" si="1"/>
        <v>20.360357394817392</v>
      </c>
      <c r="E17" s="112">
        <f t="shared" si="2"/>
        <v>20.93856731600491</v>
      </c>
      <c r="F17" s="112">
        <f t="shared" si="3"/>
        <v>21.233801115160578</v>
      </c>
      <c r="G17" s="112">
        <f t="shared" si="4"/>
        <v>21.533197710884345</v>
      </c>
      <c r="H17" s="112"/>
      <c r="I17" s="112"/>
      <c r="J17" s="112">
        <f>('Mar 2015'!H16/'Price per MHz per pop'!G17)*10</f>
        <v>337.84856748529921</v>
      </c>
      <c r="K17" s="112">
        <f t="shared" si="5"/>
        <v>5.1019113181108304</v>
      </c>
      <c r="L17" s="247">
        <v>168.80911269999999</v>
      </c>
      <c r="M17" s="245"/>
      <c r="N17" s="88">
        <f>('1800 MHz - Feb 2014'!R5/G17)*10</f>
        <v>261.49855100962361</v>
      </c>
      <c r="O17" s="88">
        <f>N17/$BE$3</f>
        <v>3.0873500709518726</v>
      </c>
      <c r="P17" s="88"/>
      <c r="Q17" s="112"/>
      <c r="R17" s="247">
        <v>0</v>
      </c>
      <c r="S17" s="112"/>
      <c r="T17" s="88">
        <v>203.67</v>
      </c>
      <c r="U17" s="88">
        <f t="shared" si="7"/>
        <v>28.165722993019852</v>
      </c>
      <c r="V17" s="88">
        <f t="shared" si="8"/>
        <v>0.69717136121336265</v>
      </c>
      <c r="W17" s="88"/>
      <c r="X17" s="88"/>
      <c r="Y17" s="88">
        <f>('1800 MHz - Feb 2014'!H16/G17)*10</f>
        <v>126.3165850478922</v>
      </c>
      <c r="Z17" s="88">
        <f t="shared" si="0"/>
        <v>1.4913410277200969</v>
      </c>
      <c r="AA17" s="88"/>
      <c r="AB17" s="112"/>
      <c r="AC17" s="247">
        <v>69.195482249999998</v>
      </c>
      <c r="AD17" s="112">
        <f t="shared" si="9"/>
        <v>0.93280509908331077</v>
      </c>
      <c r="AE17" s="88">
        <f>('3G BWA Auction Results'!G16/D17)*10</f>
        <v>318.96001990873918</v>
      </c>
      <c r="AF17" s="88">
        <f t="shared" si="10"/>
        <v>5.5762241242786565</v>
      </c>
      <c r="AG17" s="88"/>
      <c r="AH17" s="112"/>
      <c r="AI17" s="247">
        <v>107.04401780000001</v>
      </c>
      <c r="AJ17" s="112">
        <f t="shared" si="12"/>
        <v>1.4430307063898624</v>
      </c>
      <c r="AK17" s="245">
        <v>1192</v>
      </c>
      <c r="AL17">
        <v>276.78192899999999</v>
      </c>
      <c r="AM17">
        <f t="shared" si="13"/>
        <v>3.7312203963332431</v>
      </c>
      <c r="AP17" s="247">
        <v>67.802284619999995</v>
      </c>
      <c r="AQ17">
        <f t="shared" si="14"/>
        <v>0.91402378835265552</v>
      </c>
      <c r="AR17" s="247">
        <v>67.802284619999995</v>
      </c>
      <c r="AS17">
        <f t="shared" si="15"/>
        <v>0.91402378835265552</v>
      </c>
      <c r="AT17">
        <v>84</v>
      </c>
      <c r="BC17" s="108"/>
      <c r="BD17" s="108"/>
      <c r="BE17" s="111"/>
      <c r="BF17" s="108"/>
      <c r="BG17" s="108"/>
      <c r="BH17" s="109"/>
      <c r="BI17" s="108"/>
      <c r="BJ17" s="108"/>
      <c r="BK17" s="108"/>
      <c r="BL17" s="110"/>
      <c r="BM17" s="111"/>
    </row>
    <row r="18" spans="1:65" ht="14">
      <c r="A18" s="108" t="s">
        <v>125</v>
      </c>
      <c r="B18" s="111">
        <v>10.779156438061985</v>
      </c>
      <c r="C18" s="112">
        <v>13.058630089367639</v>
      </c>
      <c r="D18" s="112">
        <f t="shared" si="1"/>
        <v>13.429479644135876</v>
      </c>
      <c r="E18" s="112">
        <f t="shared" si="2"/>
        <v>13.810860884948561</v>
      </c>
      <c r="F18" s="112">
        <f t="shared" si="3"/>
        <v>14.005594023426335</v>
      </c>
      <c r="G18" s="112">
        <f t="shared" si="4"/>
        <v>14.203072899156648</v>
      </c>
      <c r="H18" s="112"/>
      <c r="I18" s="112"/>
      <c r="J18" s="112">
        <f>('Mar 2015'!H17/'Price per MHz per pop'!G18)*10</f>
        <v>17.866556188349058</v>
      </c>
      <c r="K18" s="112">
        <f t="shared" si="5"/>
        <v>0.26980604331544938</v>
      </c>
      <c r="L18" s="247">
        <v>0</v>
      </c>
      <c r="M18" s="245"/>
      <c r="N18" s="88"/>
      <c r="O18" s="88"/>
      <c r="P18" s="88">
        <f>('Mar 2015'!O17/'Price per MHz per pop'!G18)*10</f>
        <v>36.541388168951613</v>
      </c>
      <c r="Q18" s="112">
        <f t="shared" si="6"/>
        <v>0.55181800315541552</v>
      </c>
      <c r="R18" s="247">
        <v>0</v>
      </c>
      <c r="S18" s="112"/>
      <c r="T18" s="88">
        <v>1.98</v>
      </c>
      <c r="U18" s="88">
        <f t="shared" si="7"/>
        <v>0.41747237141026844</v>
      </c>
      <c r="V18" s="88">
        <f t="shared" si="8"/>
        <v>1.0333474539858131E-2</v>
      </c>
      <c r="W18" s="88">
        <f>('1800 MHz - Nov 2012'!I17/E18)*10</f>
        <v>5.120607657200611</v>
      </c>
      <c r="X18" s="88">
        <f>W18/$BC$3</f>
        <v>7.3151537960008728E-2</v>
      </c>
      <c r="Y18" s="88">
        <f>('1800 MHz - Feb 2014'!H17/G18)*10</f>
        <v>4.9285109283749753</v>
      </c>
      <c r="Z18" s="88">
        <f t="shared" si="0"/>
        <v>5.8187850394037489E-2</v>
      </c>
      <c r="AA18" s="88">
        <f>('Mar 2015'!V17/'Price per MHz per pop'!G18)*10</f>
        <v>7.7448028874463919</v>
      </c>
      <c r="AB18" s="112">
        <f t="shared" ref="AB18:AB24" si="16">AA18/$BF$3</f>
        <v>0.1169556461408395</v>
      </c>
      <c r="AC18" s="247">
        <v>3.8724014439999999</v>
      </c>
      <c r="AD18" s="112">
        <f t="shared" si="9"/>
        <v>5.2202769533566992E-2</v>
      </c>
      <c r="AE18" s="88">
        <f>('3G BWA Auction Results'!G17/D18)*10</f>
        <v>6.299573940449843</v>
      </c>
      <c r="AF18" s="88">
        <f t="shared" si="10"/>
        <v>0.11013241154632591</v>
      </c>
      <c r="AG18" s="88">
        <f>('Mar 2015'!AC17/'Price per MHz per pop'!G18)*10</f>
        <v>7.7940879967301413</v>
      </c>
      <c r="AH18" s="112">
        <f t="shared" si="11"/>
        <v>0.11769990934355393</v>
      </c>
      <c r="AI18" s="247">
        <v>4.2244379390000004</v>
      </c>
      <c r="AJ18" s="112">
        <f t="shared" si="12"/>
        <v>5.6948475856025881E-2</v>
      </c>
      <c r="AK18" s="245"/>
      <c r="AL18">
        <v>15.489605770000001</v>
      </c>
      <c r="AP18" s="247">
        <v>0.70407299000000001</v>
      </c>
      <c r="AQ18">
        <f t="shared" si="14"/>
        <v>9.4914126449177662E-3</v>
      </c>
      <c r="AR18" s="247">
        <v>0.70407299000000001</v>
      </c>
      <c r="AS18">
        <f t="shared" si="15"/>
        <v>9.4914126449177662E-3</v>
      </c>
      <c r="BC18" s="108"/>
      <c r="BD18" s="108"/>
      <c r="BE18" s="111"/>
      <c r="BF18" s="108"/>
      <c r="BG18" s="108"/>
      <c r="BH18" s="109"/>
      <c r="BI18" s="108"/>
      <c r="BJ18" s="108"/>
      <c r="BK18" s="108"/>
      <c r="BL18" s="110"/>
      <c r="BM18" s="111"/>
    </row>
    <row r="19" spans="1:65" ht="14">
      <c r="A19" s="108" t="s">
        <v>17</v>
      </c>
      <c r="B19" s="111">
        <v>36.531823085221141</v>
      </c>
      <c r="C19" s="112">
        <v>39.796224889999998</v>
      </c>
      <c r="D19" s="112">
        <f t="shared" si="1"/>
        <v>40.92639031936838</v>
      </c>
      <c r="E19" s="112">
        <f t="shared" si="2"/>
        <v>42.088651102033971</v>
      </c>
      <c r="F19" s="112">
        <f t="shared" si="3"/>
        <v>42.68210108257265</v>
      </c>
      <c r="G19" s="112">
        <f t="shared" si="4"/>
        <v>43.283918707836932</v>
      </c>
      <c r="H19" s="112"/>
      <c r="I19" s="112"/>
      <c r="J19" s="112">
        <f>('Mar 2015'!H18/'Price per MHz per pop'!G19)*10</f>
        <v>9.4815814337460509</v>
      </c>
      <c r="K19" s="112">
        <f t="shared" si="5"/>
        <v>0.14318304792730371</v>
      </c>
      <c r="L19" s="247">
        <v>6.5844315509999998</v>
      </c>
      <c r="M19" s="245"/>
      <c r="N19" s="88"/>
      <c r="O19" s="88"/>
      <c r="P19" s="88">
        <f>('Mar 2015'!O18/'Price per MHz per pop'!G19)*10</f>
        <v>32.113543355036576</v>
      </c>
      <c r="Q19" s="112">
        <f t="shared" si="6"/>
        <v>0.48495233094286583</v>
      </c>
      <c r="R19" s="247">
        <v>0</v>
      </c>
      <c r="S19" s="112"/>
      <c r="T19" s="88">
        <v>5.0199999999999996</v>
      </c>
      <c r="U19" s="88">
        <f t="shared" si="7"/>
        <v>0.31230554474316463</v>
      </c>
      <c r="V19" s="88">
        <f t="shared" si="8"/>
        <v>7.7303352659199168E-3</v>
      </c>
      <c r="W19" s="88">
        <f>('1800 MHz - Nov 2012'!I18/E19)*10</f>
        <v>3.852820077480779</v>
      </c>
      <c r="X19" s="88">
        <f>W19/$BC$3</f>
        <v>5.5040286821153986E-2</v>
      </c>
      <c r="Y19" s="88">
        <f>('1800 MHz - Feb 2014'!H18/G19)*10</f>
        <v>3.6965229761193181</v>
      </c>
      <c r="Z19" s="88">
        <f t="shared" si="0"/>
        <v>4.3642538088775891E-2</v>
      </c>
      <c r="AA19" s="88">
        <f>('Mar 2015'!V18/'Price per MHz per pop'!G19)*10</f>
        <v>7.6471819068468392</v>
      </c>
      <c r="AB19" s="112">
        <f t="shared" si="16"/>
        <v>0.11548145434682633</v>
      </c>
      <c r="AC19" s="247">
        <v>4.3896210340000001</v>
      </c>
      <c r="AD19" s="112">
        <f t="shared" si="9"/>
        <v>5.9175263332434613E-2</v>
      </c>
      <c r="AE19" s="88">
        <f>('3G BWA Auction Results'!G18/D19)*10</f>
        <v>4.7392403406808299</v>
      </c>
      <c r="AF19" s="88">
        <f t="shared" si="10"/>
        <v>8.2853852109804713E-2</v>
      </c>
      <c r="AG19" s="88">
        <f>('Mar 2015'!AC18/'Price per MHz per pop'!G19)*10</f>
        <v>8.3291903959408522</v>
      </c>
      <c r="AH19" s="112">
        <f t="shared" si="11"/>
        <v>0.1257805858644043</v>
      </c>
      <c r="AI19" s="247">
        <v>4.3896210340000001</v>
      </c>
      <c r="AJ19" s="112">
        <f t="shared" si="12"/>
        <v>5.9175263332434613E-2</v>
      </c>
      <c r="AK19" s="245"/>
      <c r="AL19">
        <v>17.558484140000001</v>
      </c>
      <c r="AP19" s="247">
        <v>0.92413074399999995</v>
      </c>
      <c r="AQ19">
        <f t="shared" si="14"/>
        <v>1.2457950175249392E-2</v>
      </c>
      <c r="AR19" s="247">
        <v>0.92413074399999995</v>
      </c>
      <c r="AS19">
        <f t="shared" si="15"/>
        <v>1.2457950175249392E-2</v>
      </c>
      <c r="BC19" s="108"/>
      <c r="BD19" s="108"/>
      <c r="BE19" s="111"/>
      <c r="BF19" s="108"/>
      <c r="BG19" s="108"/>
      <c r="BH19" s="109"/>
      <c r="BI19" s="108"/>
      <c r="BJ19" s="108"/>
      <c r="BK19" s="108"/>
      <c r="BL19" s="110"/>
      <c r="BM19" s="111"/>
    </row>
    <row r="20" spans="1:65" ht="14">
      <c r="A20" s="108" t="s">
        <v>9</v>
      </c>
      <c r="B20" s="111">
        <v>25.196903000295645</v>
      </c>
      <c r="C20" s="112">
        <v>27.360417999999999</v>
      </c>
      <c r="D20" s="112">
        <f t="shared" si="1"/>
        <v>28.137421312302582</v>
      </c>
      <c r="E20" s="112">
        <f t="shared" si="2"/>
        <v>28.93649059404062</v>
      </c>
      <c r="F20" s="112">
        <f t="shared" si="3"/>
        <v>29.344495111416592</v>
      </c>
      <c r="G20" s="112">
        <f t="shared" si="4"/>
        <v>29.758252492487571</v>
      </c>
      <c r="H20" s="112"/>
      <c r="I20" s="112"/>
      <c r="J20" s="112">
        <f>('Mar 2015'!H19/'Price per MHz per pop'!G20)*10</f>
        <v>28.848468175902532</v>
      </c>
      <c r="K20" s="112">
        <f t="shared" si="5"/>
        <v>0.43564584983241517</v>
      </c>
      <c r="L20" s="247">
        <v>19.99445364</v>
      </c>
      <c r="M20" s="245"/>
      <c r="N20" s="88"/>
      <c r="O20" s="88"/>
      <c r="P20" s="88">
        <f>('Mar 2015'!O19/'Price per MHz per pop'!G20)*10</f>
        <v>121.22687650797735</v>
      </c>
      <c r="Q20" s="112">
        <f t="shared" si="6"/>
        <v>1.830668627423397</v>
      </c>
      <c r="R20" s="247">
        <v>0</v>
      </c>
      <c r="S20" s="112"/>
      <c r="T20" s="88">
        <v>151.78</v>
      </c>
      <c r="U20" s="88">
        <f t="shared" si="7"/>
        <v>13.690354939672464</v>
      </c>
      <c r="V20" s="88">
        <f t="shared" si="8"/>
        <v>0.33887017177407092</v>
      </c>
      <c r="W20" s="88">
        <f>('1800 MHz - Nov 2012'!I19/E20)*10</f>
        <v>18.600735229131374</v>
      </c>
      <c r="X20" s="88">
        <f>W20/$BC$3</f>
        <v>0.26572478898759105</v>
      </c>
      <c r="Y20" s="88">
        <f>('1800 MHz - Feb 2014'!H19/G20)*10</f>
        <v>18.146226836952948</v>
      </c>
      <c r="Z20" s="88">
        <f t="shared" si="0"/>
        <v>0.21424116690617412</v>
      </c>
      <c r="AA20" s="88">
        <f>('Mar 2015'!V19/'Price per MHz per pop'!G20)*10</f>
        <v>23.858927878215916</v>
      </c>
      <c r="AB20" s="112">
        <f t="shared" si="16"/>
        <v>0.36029791419836782</v>
      </c>
      <c r="AC20" s="247">
        <v>12.937587649999999</v>
      </c>
      <c r="AD20" s="112">
        <f t="shared" si="9"/>
        <v>0.17440802979239683</v>
      </c>
      <c r="AE20" s="88">
        <f>('3G BWA Auction Results'!G19/D20)*10</f>
        <v>22.888380312179276</v>
      </c>
      <c r="AF20" s="88">
        <f t="shared" si="10"/>
        <v>0.40014650895418313</v>
      </c>
      <c r="AG20" s="88"/>
      <c r="AH20" s="112"/>
      <c r="AI20" s="247">
        <v>15.289876319999999</v>
      </c>
      <c r="AJ20" s="112">
        <f t="shared" si="12"/>
        <v>0.20611858074952816</v>
      </c>
      <c r="AK20" s="245">
        <v>308</v>
      </c>
      <c r="AL20">
        <v>51.750350609999998</v>
      </c>
      <c r="AM20">
        <f t="shared" ref="AM20:AM25" si="17">AL20/$BG$3</f>
        <v>0.69763211930439462</v>
      </c>
      <c r="AP20" s="247">
        <v>0</v>
      </c>
      <c r="AR20" s="247">
        <v>7.0568659919999996</v>
      </c>
      <c r="AS20">
        <f t="shared" si="15"/>
        <v>9.513165262874089E-2</v>
      </c>
      <c r="BC20" s="108"/>
      <c r="BD20" s="108"/>
      <c r="BE20" s="111"/>
      <c r="BF20" s="108"/>
      <c r="BG20" s="108"/>
      <c r="BH20" s="109"/>
      <c r="BI20" s="108"/>
      <c r="BJ20" s="108"/>
      <c r="BK20" s="108"/>
      <c r="BL20" s="110"/>
      <c r="BM20" s="111"/>
    </row>
    <row r="21" spans="1:65" ht="14">
      <c r="A21" s="108" t="s">
        <v>13</v>
      </c>
      <c r="B21" s="111">
        <v>55.858103975535165</v>
      </c>
      <c r="C21" s="112">
        <v>63.84033307</v>
      </c>
      <c r="D21" s="112">
        <f t="shared" si="1"/>
        <v>65.65332255919165</v>
      </c>
      <c r="E21" s="112">
        <f t="shared" si="2"/>
        <v>67.517798792418859</v>
      </c>
      <c r="F21" s="112">
        <f t="shared" si="3"/>
        <v>68.469799755391975</v>
      </c>
      <c r="G21" s="112">
        <f t="shared" si="4"/>
        <v>69.435223931943</v>
      </c>
      <c r="H21" s="112"/>
      <c r="I21" s="112"/>
      <c r="J21" s="112">
        <f>('Mar 2015'!H20/'Price per MHz per pop'!G21)*10</f>
        <v>0</v>
      </c>
      <c r="K21" s="112">
        <f t="shared" si="5"/>
        <v>0</v>
      </c>
      <c r="L21" s="247">
        <v>14.68995046</v>
      </c>
      <c r="M21" s="245"/>
      <c r="N21" s="88"/>
      <c r="O21" s="88"/>
      <c r="P21" s="88">
        <f>('Mar 2015'!O20/'Price per MHz per pop'!G21)*10</f>
        <v>102.05915094255099</v>
      </c>
      <c r="Q21" s="112">
        <f t="shared" si="6"/>
        <v>1.5412133938772423</v>
      </c>
      <c r="R21" s="247">
        <v>0</v>
      </c>
      <c r="S21" s="112"/>
      <c r="T21" s="88">
        <v>32.24</v>
      </c>
      <c r="U21" s="88">
        <f t="shared" si="7"/>
        <v>1.3117653851054343</v>
      </c>
      <c r="V21" s="88">
        <f t="shared" si="8"/>
        <v>3.2469440225382035E-2</v>
      </c>
      <c r="W21" s="88"/>
      <c r="X21" s="88"/>
      <c r="Y21" s="88">
        <f>('1800 MHz - Feb 2014'!H20/G21)*10</f>
        <v>3.744497177035667</v>
      </c>
      <c r="Z21" s="88">
        <f t="shared" si="0"/>
        <v>4.4208939516359701E-2</v>
      </c>
      <c r="AA21" s="88">
        <f>('Mar 2015'!V20/'Price per MHz per pop'!G21)*10</f>
        <v>10.477391139590186</v>
      </c>
      <c r="AB21" s="112">
        <f t="shared" si="16"/>
        <v>0.15822094744171225</v>
      </c>
      <c r="AC21" s="247">
        <v>6.5528700600000001</v>
      </c>
      <c r="AD21" s="112">
        <f t="shared" si="9"/>
        <v>8.8337423294688591E-2</v>
      </c>
      <c r="AE21" s="88">
        <f>('3G BWA Auction Results'!G20/D21)*10</f>
        <v>9.7795507519232121</v>
      </c>
      <c r="AF21" s="88">
        <f t="shared" si="10"/>
        <v>0.17097116699166454</v>
      </c>
      <c r="AG21" s="88">
        <f>('Mar 2015'!AC20/'Price per MHz per pop'!G21)*10</f>
        <v>20.137329741609051</v>
      </c>
      <c r="AH21" s="112">
        <f t="shared" si="11"/>
        <v>0.30409739869539493</v>
      </c>
      <c r="AI21" s="247">
        <v>10.08133855</v>
      </c>
      <c r="AJ21" s="112">
        <f t="shared" si="12"/>
        <v>0.13590372809382581</v>
      </c>
      <c r="AK21" s="245">
        <v>364</v>
      </c>
      <c r="AL21">
        <v>26.21148024</v>
      </c>
      <c r="AM21">
        <f t="shared" si="17"/>
        <v>0.35334969317875436</v>
      </c>
      <c r="AP21" s="247">
        <v>0</v>
      </c>
      <c r="AR21" s="247">
        <v>0.86411473299999997</v>
      </c>
      <c r="AS21">
        <f t="shared" si="15"/>
        <v>1.1648890981396601E-2</v>
      </c>
      <c r="BC21" s="108"/>
      <c r="BD21" s="108"/>
      <c r="BE21" s="111"/>
      <c r="BF21" s="108"/>
      <c r="BG21" s="108"/>
      <c r="BH21" s="109"/>
      <c r="BI21" s="108"/>
      <c r="BJ21" s="108"/>
      <c r="BK21" s="108"/>
      <c r="BL21" s="110"/>
      <c r="BM21" s="111"/>
    </row>
    <row r="22" spans="1:65" ht="14">
      <c r="A22" s="108" t="s">
        <v>7</v>
      </c>
      <c r="B22" s="111">
        <f>62.881704746208+6.5602</f>
        <v>69.441904746207996</v>
      </c>
      <c r="C22" s="112">
        <v>67.457932</v>
      </c>
      <c r="D22" s="112">
        <f t="shared" si="1"/>
        <v>69.373656993860934</v>
      </c>
      <c r="E22" s="112">
        <f t="shared" si="2"/>
        <v>71.343786297834768</v>
      </c>
      <c r="F22" s="112">
        <f t="shared" si="3"/>
        <v>72.349733684634245</v>
      </c>
      <c r="G22" s="112">
        <f t="shared" si="4"/>
        <v>73.369864929587592</v>
      </c>
      <c r="H22" s="112">
        <f>('800 MHz - Mar 2013'!I21/F22)*10</f>
        <v>21.99980454576357</v>
      </c>
      <c r="I22" s="112">
        <f>H22/$BD$3</f>
        <v>0.30344557994156651</v>
      </c>
      <c r="J22" s="112">
        <f>('Mar 2015'!H21/'Price per MHz per pop'!G22)*10</f>
        <v>0</v>
      </c>
      <c r="K22" s="112">
        <f t="shared" si="5"/>
        <v>0</v>
      </c>
      <c r="L22" s="247">
        <v>24.533233119999998</v>
      </c>
      <c r="M22" s="245"/>
      <c r="N22" s="88"/>
      <c r="O22" s="88"/>
      <c r="P22" s="88"/>
      <c r="Q22" s="112"/>
      <c r="R22" s="247">
        <v>0</v>
      </c>
      <c r="S22" s="112"/>
      <c r="T22" s="88">
        <v>233</v>
      </c>
      <c r="U22" s="88">
        <f t="shared" si="7"/>
        <v>7.6257334311436971</v>
      </c>
      <c r="V22" s="88">
        <f t="shared" si="8"/>
        <v>0.18875577799860638</v>
      </c>
      <c r="W22" s="88">
        <f>('1800 MHz - Nov 2012'!I21/E22)*10</f>
        <v>34.32282090801111</v>
      </c>
      <c r="X22" s="88">
        <f>W22/$BC$3</f>
        <v>0.49032601297158729</v>
      </c>
      <c r="Y22" s="88">
        <f>('1800 MHz - Feb 2014'!H21/G22)*10</f>
        <v>28.349513822823003</v>
      </c>
      <c r="Z22" s="88">
        <f t="shared" si="0"/>
        <v>0.33470500381136958</v>
      </c>
      <c r="AA22" s="88">
        <f>('Mar 2015'!V21/'Price per MHz per pop'!G22)*10</f>
        <v>30.66654139488065</v>
      </c>
      <c r="AB22" s="112">
        <f t="shared" si="16"/>
        <v>0.46310089693265855</v>
      </c>
      <c r="AC22" s="247">
        <v>0</v>
      </c>
      <c r="AD22" s="112">
        <f t="shared" si="9"/>
        <v>0</v>
      </c>
      <c r="AE22" s="88">
        <f>('3G BWA Auction Results'!G21/D22)*10</f>
        <v>42.233322084480477</v>
      </c>
      <c r="AF22" s="88">
        <f t="shared" si="10"/>
        <v>0.73834479168672162</v>
      </c>
      <c r="AG22" s="88">
        <f>('Mar 2015'!AC21/'Price per MHz per pop'!G22)*10</f>
        <v>46.885734399284196</v>
      </c>
      <c r="AH22" s="112">
        <f t="shared" si="11"/>
        <v>0.70802981575482027</v>
      </c>
      <c r="AI22" s="247">
        <v>23.442867199999998</v>
      </c>
      <c r="AJ22" s="112">
        <f t="shared" si="12"/>
        <v>0.31602678889188457</v>
      </c>
      <c r="AK22" s="245">
        <v>900</v>
      </c>
      <c r="AL22">
        <v>61.333082789999999</v>
      </c>
      <c r="AM22">
        <f t="shared" si="17"/>
        <v>0.82681427325424639</v>
      </c>
      <c r="AP22" s="247">
        <v>17.99103762</v>
      </c>
      <c r="AQ22">
        <f t="shared" si="14"/>
        <v>0.24253218684281475</v>
      </c>
      <c r="AR22" s="247">
        <v>17.99103762</v>
      </c>
      <c r="AS22">
        <f t="shared" si="15"/>
        <v>0.24253218684281475</v>
      </c>
      <c r="BC22" s="108"/>
      <c r="BD22" s="108"/>
      <c r="BE22" s="111"/>
      <c r="BF22" s="108"/>
      <c r="BG22" s="108"/>
      <c r="BH22" s="109"/>
      <c r="BI22" s="108"/>
      <c r="BJ22" s="108"/>
      <c r="BK22" s="108"/>
      <c r="BL22" s="110"/>
      <c r="BM22" s="111"/>
    </row>
    <row r="23" spans="1:65" ht="14">
      <c r="A23" s="108" t="s">
        <v>126</v>
      </c>
      <c r="B23" s="111">
        <v>82.233183856502237</v>
      </c>
      <c r="C23" s="112">
        <v>93.976647</v>
      </c>
      <c r="D23" s="112">
        <f t="shared" si="1"/>
        <v>96.645471942590078</v>
      </c>
      <c r="E23" s="112">
        <f t="shared" si="2"/>
        <v>99.390088337648052</v>
      </c>
      <c r="F23" s="112">
        <f t="shared" si="3"/>
        <v>100.79148858320889</v>
      </c>
      <c r="G23" s="112">
        <f t="shared" si="4"/>
        <v>102.21264857223214</v>
      </c>
      <c r="H23" s="112"/>
      <c r="I23" s="112"/>
      <c r="J23" s="112">
        <f>('Mar 2015'!H22/'Price per MHz per pop'!G23)*10</f>
        <v>13.109923465617292</v>
      </c>
      <c r="K23" s="112">
        <f t="shared" si="5"/>
        <v>0.19797528640316056</v>
      </c>
      <c r="L23" s="247">
        <v>10.712959850000001</v>
      </c>
      <c r="M23" s="245"/>
      <c r="N23" s="88"/>
      <c r="O23" s="88"/>
      <c r="P23" s="88">
        <f>('Mar 2015'!O22/'Price per MHz per pop'!G23)*10</f>
        <v>75.881019700990834</v>
      </c>
      <c r="Q23" s="112">
        <f t="shared" si="6"/>
        <v>1.145892777121577</v>
      </c>
      <c r="R23" s="247">
        <v>37.960076899999997</v>
      </c>
      <c r="S23" s="112"/>
      <c r="T23" s="88">
        <v>45.26</v>
      </c>
      <c r="U23" s="88">
        <f t="shared" si="7"/>
        <v>1.2508774625962977</v>
      </c>
      <c r="V23" s="88">
        <f t="shared" si="8"/>
        <v>3.0962313430601431E-2</v>
      </c>
      <c r="W23" s="88">
        <f>('1800 MHz - Nov 2012'!I22/E23)*10</f>
        <v>6.1309936452605012</v>
      </c>
      <c r="X23" s="88">
        <f>W23/$BC$3</f>
        <v>8.7585623503721441E-2</v>
      </c>
      <c r="Y23" s="88">
        <f>('1800 MHz - Feb 2014'!H22/G23)*10</f>
        <v>6.2614559835784078</v>
      </c>
      <c r="Z23" s="88">
        <f t="shared" si="0"/>
        <v>7.3925100160311771E-2</v>
      </c>
      <c r="AA23" s="88">
        <f>('Mar 2015'!V22/'Price per MHz per pop'!G23)*10</f>
        <v>10.463479960057981</v>
      </c>
      <c r="AB23" s="112">
        <f t="shared" si="16"/>
        <v>0.15801087224491062</v>
      </c>
      <c r="AC23" s="247">
        <v>5.6255268599999999</v>
      </c>
      <c r="AD23" s="112">
        <f t="shared" si="9"/>
        <v>7.5836166891345369E-2</v>
      </c>
      <c r="AE23" s="88">
        <f>('3G BWA Auction Results'!G22/D23)*10</f>
        <v>7.5444817573360101</v>
      </c>
      <c r="AF23" s="88">
        <f t="shared" si="10"/>
        <v>0.131896534219161</v>
      </c>
      <c r="AG23" s="88">
        <f>('Mar 2015'!AC22/'Price per MHz per pop'!G23)*10</f>
        <v>8.8345230518301605</v>
      </c>
      <c r="AH23" s="112">
        <f t="shared" si="11"/>
        <v>0.13341170419556267</v>
      </c>
      <c r="AI23" s="247">
        <v>5.3809387360000001</v>
      </c>
      <c r="AJ23" s="112">
        <f t="shared" si="12"/>
        <v>7.2538942248584523E-2</v>
      </c>
      <c r="AK23" s="245">
        <v>459</v>
      </c>
      <c r="AL23">
        <v>22.453189819999999</v>
      </c>
      <c r="AM23">
        <f t="shared" si="17"/>
        <v>0.30268522270153675</v>
      </c>
      <c r="AR23" s="247">
        <v>0.88051724799999997</v>
      </c>
      <c r="AS23">
        <f t="shared" si="15"/>
        <v>1.1870008735508222E-2</v>
      </c>
      <c r="BC23" s="108"/>
      <c r="BD23" s="108"/>
      <c r="BE23" s="111"/>
      <c r="BF23" s="108"/>
      <c r="BG23" s="108"/>
      <c r="BH23" s="109"/>
      <c r="BI23" s="108"/>
      <c r="BJ23" s="108"/>
      <c r="BK23" s="108"/>
      <c r="BL23" s="110"/>
      <c r="BM23" s="111"/>
    </row>
    <row r="24" spans="1:65" ht="14">
      <c r="A24" s="108" t="s">
        <v>127</v>
      </c>
      <c r="B24" s="111">
        <v>90.651298787366116</v>
      </c>
      <c r="C24" s="112">
        <v>103.407777</v>
      </c>
      <c r="D24" s="112">
        <f t="shared" si="1"/>
        <v>106.34443481154538</v>
      </c>
      <c r="E24" s="112">
        <f t="shared" si="2"/>
        <v>109.36449021031586</v>
      </c>
      <c r="F24" s="112">
        <f t="shared" si="3"/>
        <v>110.90652952228132</v>
      </c>
      <c r="G24" s="112">
        <f t="shared" si="4"/>
        <v>112.4703115885455</v>
      </c>
      <c r="H24" s="112">
        <f>('800 MHz - Mar 2013'!I23/F24)*10</f>
        <v>5.0363130322979242</v>
      </c>
      <c r="I24" s="112">
        <f>H24/$BD$3</f>
        <v>6.9466386652385165E-2</v>
      </c>
      <c r="J24" s="112">
        <f>('Mar 2015'!H23/'Price per MHz per pop'!G24)*10</f>
        <v>8.4466734961615622</v>
      </c>
      <c r="K24" s="112">
        <f t="shared" si="5"/>
        <v>0.12755471906012628</v>
      </c>
      <c r="L24" s="247">
        <v>8.0910240859999991</v>
      </c>
      <c r="M24" s="245"/>
      <c r="N24" s="88"/>
      <c r="O24" s="88"/>
      <c r="P24" s="88">
        <f>('Mar 2015'!O23/'Price per MHz per pop'!G24)*10</f>
        <v>65.666218006211821</v>
      </c>
      <c r="Q24" s="112">
        <f t="shared" si="6"/>
        <v>0.99163723959848715</v>
      </c>
      <c r="R24" s="247">
        <v>32.85311428</v>
      </c>
      <c r="S24" s="112"/>
      <c r="T24" s="88">
        <v>30.57</v>
      </c>
      <c r="U24" s="88">
        <f t="shared" si="7"/>
        <v>0.76642335693656527</v>
      </c>
      <c r="V24" s="88">
        <f t="shared" si="8"/>
        <v>1.8970875171697162E-2</v>
      </c>
      <c r="W24" s="88">
        <f>('1800 MHz - Nov 2012'!I23/E24)*10</f>
        <v>7.8570292637723824</v>
      </c>
      <c r="X24" s="88">
        <f>W24/$BC$3</f>
        <v>0.11224327519674832</v>
      </c>
      <c r="Y24" s="88">
        <f>('1800 MHz - Feb 2014'!H23/G24)*10</f>
        <v>8.4422278785320035</v>
      </c>
      <c r="Z24" s="88">
        <f t="shared" si="0"/>
        <v>9.967211190710748E-2</v>
      </c>
      <c r="AA24" s="88">
        <f>('Mar 2015'!V23/'Price per MHz per pop'!G24)*10</f>
        <v>8.5311402311231781</v>
      </c>
      <c r="AB24" s="112">
        <f t="shared" si="16"/>
        <v>0.12883026625072755</v>
      </c>
      <c r="AC24" s="247">
        <v>4.2677929240000001</v>
      </c>
      <c r="AD24" s="112">
        <f t="shared" si="9"/>
        <v>5.7532932380695602E-2</v>
      </c>
      <c r="AE24" s="88">
        <f>('3G BWA Auction Results'!G23/D24)*10</f>
        <v>9.6674546422845395</v>
      </c>
      <c r="AF24" s="88">
        <f t="shared" si="10"/>
        <v>0.16901144479518426</v>
      </c>
      <c r="AG24" s="88">
        <f>('Mar 2015'!AC23/'Price per MHz per pop'!G24)*10</f>
        <v>9.342020886754689</v>
      </c>
      <c r="AH24" s="112">
        <f t="shared" si="11"/>
        <v>0.14107551928049969</v>
      </c>
      <c r="AI24" s="247">
        <v>4.9346355690000001</v>
      </c>
      <c r="AJ24" s="112">
        <f t="shared" si="12"/>
        <v>6.6522453073604743E-2</v>
      </c>
      <c r="AK24" s="245">
        <v>384</v>
      </c>
      <c r="AL24">
        <v>17.071171700000001</v>
      </c>
      <c r="AM24">
        <f t="shared" si="17"/>
        <v>0.2301317295767053</v>
      </c>
      <c r="AR24" s="247">
        <v>1.066948231</v>
      </c>
      <c r="AS24">
        <f t="shared" si="15"/>
        <v>1.43832330951739E-2</v>
      </c>
      <c r="BC24" s="108"/>
      <c r="BD24" s="108"/>
      <c r="BE24" s="111"/>
      <c r="BF24" s="108"/>
      <c r="BG24" s="108"/>
      <c r="BH24" s="109"/>
      <c r="BI24" s="108"/>
      <c r="BJ24" s="108"/>
      <c r="BK24" s="108"/>
      <c r="BL24" s="110"/>
      <c r="BM24" s="111"/>
    </row>
    <row r="25" spans="1:65" ht="13.5">
      <c r="A25" s="108" t="s">
        <v>128</v>
      </c>
      <c r="B25" s="111">
        <v>80.770279622115567</v>
      </c>
      <c r="C25" s="112">
        <v>90.089398880000005</v>
      </c>
      <c r="D25" s="112">
        <f t="shared" si="1"/>
        <v>92.647830601807343</v>
      </c>
      <c r="E25" s="112">
        <f t="shared" si="2"/>
        <v>95.278918739980284</v>
      </c>
      <c r="F25" s="112">
        <f t="shared" si="3"/>
        <v>96.622351494214001</v>
      </c>
      <c r="G25" s="112">
        <f t="shared" si="4"/>
        <v>97.984726650282425</v>
      </c>
      <c r="H25" s="112"/>
      <c r="I25" s="112"/>
      <c r="J25" s="112">
        <f>('Mar 2015'!H24/'Price per MHz per pop'!G25)*10</f>
        <v>5.8172331493497822</v>
      </c>
      <c r="K25" s="112">
        <f t="shared" si="5"/>
        <v>8.7847072626846601E-2</v>
      </c>
      <c r="L25" s="247">
        <v>4.1843255990000001</v>
      </c>
      <c r="M25" s="245"/>
      <c r="N25" s="88"/>
      <c r="O25" s="88"/>
      <c r="P25" s="88">
        <f>('Mar 2015'!O24/'Price per MHz per pop'!G25)*10</f>
        <v>21.176769798071575</v>
      </c>
      <c r="Q25" s="112">
        <f t="shared" si="6"/>
        <v>0.3197941678959767</v>
      </c>
      <c r="R25" s="247">
        <v>0</v>
      </c>
      <c r="S25" s="112"/>
      <c r="T25" s="88">
        <v>0.99</v>
      </c>
      <c r="U25" s="88">
        <f t="shared" si="7"/>
        <v>2.7856781114620921E-2</v>
      </c>
      <c r="V25" s="88">
        <f t="shared" si="8"/>
        <v>6.8952428501536933E-4</v>
      </c>
      <c r="W25" s="88">
        <f>('1800 MHz - Nov 2012'!I24/E25)*10</f>
        <v>9.0185742172936205</v>
      </c>
      <c r="X25" s="88">
        <f>W25/$BC$3</f>
        <v>0.12883677453276601</v>
      </c>
      <c r="Y25" s="88">
        <f>('1800 MHz - Feb 2014'!H24/G25)*10</f>
        <v>2.5105953591930641</v>
      </c>
      <c r="Z25" s="88">
        <f t="shared" si="0"/>
        <v>2.9641031395431689E-2</v>
      </c>
      <c r="AA25" s="88"/>
      <c r="AB25" s="112"/>
      <c r="AC25" s="247">
        <v>2.3473046040000001</v>
      </c>
      <c r="AD25" s="112">
        <f t="shared" si="9"/>
        <v>3.1643362146131032E-2</v>
      </c>
      <c r="AE25" s="88">
        <f>('3G BWA Auction Results'!G24/D25)*10</f>
        <v>2.6688158631873731</v>
      </c>
      <c r="AF25" s="88">
        <f t="shared" si="10"/>
        <v>4.6657619985793236E-2</v>
      </c>
      <c r="AG25" s="88"/>
      <c r="AH25" s="112"/>
      <c r="AI25" s="247">
        <v>2.6534747699999999</v>
      </c>
      <c r="AJ25" s="112">
        <f t="shared" si="12"/>
        <v>3.5770757212186567E-2</v>
      </c>
      <c r="AK25" s="245">
        <v>183</v>
      </c>
      <c r="AL25">
        <v>9.3381900560000002</v>
      </c>
      <c r="AM25">
        <f t="shared" si="17"/>
        <v>0.12588554942032892</v>
      </c>
      <c r="AP25" s="247">
        <v>0.51028361</v>
      </c>
      <c r="AQ25">
        <f t="shared" si="14"/>
        <v>6.8789917767592334E-3</v>
      </c>
      <c r="AR25" s="247">
        <v>0.51028361</v>
      </c>
      <c r="AS25">
        <f t="shared" si="15"/>
        <v>6.8789917767592334E-3</v>
      </c>
      <c r="BC25" s="108"/>
      <c r="BD25" s="108"/>
      <c r="BE25" s="111"/>
    </row>
    <row r="26" spans="1:65" ht="13.5">
      <c r="A26" s="179" t="s">
        <v>26</v>
      </c>
      <c r="B26" s="88">
        <f t="shared" ref="B26:G26" si="18">SUM(B4:B25)</f>
        <v>1037.9531881469431</v>
      </c>
      <c r="C26" s="88">
        <f t="shared" si="18"/>
        <v>1138.9368162716489</v>
      </c>
      <c r="D26" s="88">
        <f t="shared" si="18"/>
        <v>1171.2812665189522</v>
      </c>
      <c r="E26" s="88">
        <f t="shared" si="18"/>
        <v>1204.5442606633835</v>
      </c>
      <c r="F26" s="88">
        <f t="shared" si="18"/>
        <v>1221.5283347387374</v>
      </c>
      <c r="G26" s="88">
        <f t="shared" si="18"/>
        <v>1238.7518842585537</v>
      </c>
      <c r="AI26" s="245"/>
      <c r="BC26" s="108"/>
      <c r="BD26" s="108"/>
      <c r="BE26" s="111"/>
    </row>
    <row r="27" spans="1:65" ht="13.5">
      <c r="A27" s="108" t="s">
        <v>141</v>
      </c>
      <c r="H27" s="88">
        <f t="shared" ref="H27:O27" si="19">AVERAGE(H7,H14,H17)</f>
        <v>118.50185805306776</v>
      </c>
      <c r="I27" s="88">
        <f t="shared" si="19"/>
        <v>1.6345083869388657</v>
      </c>
      <c r="J27" s="88">
        <f t="shared" si="19"/>
        <v>297.44408627575143</v>
      </c>
      <c r="K27" s="88">
        <f t="shared" si="19"/>
        <v>4.491756059736506</v>
      </c>
      <c r="L27" s="247">
        <f t="shared" ref="L27" si="20">AVERAGE(L7,L14,L17)</f>
        <v>150.01820727999998</v>
      </c>
      <c r="M27" s="247"/>
      <c r="N27" s="88">
        <f t="shared" si="19"/>
        <v>262.0179745188114</v>
      </c>
      <c r="O27" s="88">
        <f t="shared" si="19"/>
        <v>3.0934825799151286</v>
      </c>
      <c r="P27" s="88"/>
      <c r="Q27" s="88"/>
      <c r="S27" s="88"/>
      <c r="U27" s="88">
        <f t="shared" ref="U27:AF27" si="21">AVERAGE(U7,U14,U17)</f>
        <v>23.38243347015224</v>
      </c>
      <c r="V27" s="88">
        <f t="shared" si="21"/>
        <v>0.5787731056968376</v>
      </c>
      <c r="W27" s="88">
        <f t="shared" si="21"/>
        <v>56.425599305579652</v>
      </c>
      <c r="X27" s="88">
        <f t="shared" si="21"/>
        <v>0.80607999007970932</v>
      </c>
      <c r="Y27" s="88">
        <f t="shared" si="21"/>
        <v>123.45634641472306</v>
      </c>
      <c r="Z27" s="88">
        <f t="shared" si="21"/>
        <v>1.4575719765610751</v>
      </c>
      <c r="AA27" s="88">
        <f>AVERAGE(AA7,AA14,AA17)</f>
        <v>89.921888772327605</v>
      </c>
      <c r="AB27" s="88">
        <f>AVERAGE(AB7,AB14,AB17)</f>
        <v>1.3579264387243675</v>
      </c>
      <c r="AC27" s="247">
        <f>AVERAGE(AC7,AC14,AC17)</f>
        <v>74.585359013333331</v>
      </c>
      <c r="AD27" s="88">
        <f>AVERAGE(AD7,AD14,AD17)</f>
        <v>1.00546453239867</v>
      </c>
      <c r="AE27" s="88">
        <f t="shared" si="21"/>
        <v>257.97837799321331</v>
      </c>
      <c r="AF27" s="88">
        <f t="shared" si="21"/>
        <v>4.5101115033778543</v>
      </c>
      <c r="AG27" s="88">
        <f t="shared" ref="AG27:AM27" si="22">AVERAGE(AG7,AG14,AG17)</f>
        <v>69.714492359144458</v>
      </c>
      <c r="AH27" s="88">
        <f t="shared" si="22"/>
        <v>1.0527709507572405</v>
      </c>
      <c r="AI27" s="247">
        <f>AVERAGE(AI7,AI14,AI17)</f>
        <v>98.08050591333334</v>
      </c>
      <c r="AJ27" s="88">
        <f t="shared" si="22"/>
        <v>1.3221960894221263</v>
      </c>
      <c r="AK27" s="247">
        <f t="shared" si="22"/>
        <v>1127.3333333333333</v>
      </c>
      <c r="AL27" s="88">
        <f t="shared" si="22"/>
        <v>298.24984896666666</v>
      </c>
      <c r="AM27" s="88">
        <f t="shared" si="22"/>
        <v>4.0206234694886307</v>
      </c>
      <c r="AN27" s="88"/>
      <c r="AO27" s="88"/>
      <c r="AP27" s="247">
        <f>AVERAGE(AP7,AP14,AP17)</f>
        <v>55.428759579999998</v>
      </c>
      <c r="AQ27" s="88">
        <f t="shared" ref="AQ27" si="23">AVERAGE(AQ7,AQ14,AQ17)</f>
        <v>0.74721973011593412</v>
      </c>
      <c r="AR27" s="247">
        <f>AVERAGE(AR7,AR14,AR17)</f>
        <v>55.428759579999998</v>
      </c>
      <c r="AS27" s="247">
        <f>AVERAGE(AS7,AS14,AS17)</f>
        <v>0.74721973011593412</v>
      </c>
      <c r="AT27" s="247"/>
      <c r="AU27" s="247"/>
      <c r="AV27" s="247"/>
      <c r="AW27" s="247"/>
      <c r="AX27" s="247"/>
      <c r="AY27" s="247"/>
      <c r="AZ27" s="88"/>
      <c r="BC27" s="108"/>
      <c r="BD27" s="108"/>
      <c r="BE27" s="111"/>
    </row>
    <row r="28" spans="1:65" ht="13.5">
      <c r="A28" s="108" t="s">
        <v>142</v>
      </c>
      <c r="H28" s="88">
        <f>AVERAGE(H4,H8,H12,H15,H22)</f>
        <v>20.480894450633674</v>
      </c>
      <c r="I28" s="88">
        <f>AVERAGE(I4,I8,I12,I15,I22)</f>
        <v>0.28249509587080934</v>
      </c>
      <c r="J28" s="88">
        <f>AVERAGE(J4,J8,J12,J15,J22)</f>
        <v>30.580713254677516</v>
      </c>
      <c r="K28" s="88">
        <f>AVERAGE(K4,K8,K12,K15,K22)</f>
        <v>0.46180479091932219</v>
      </c>
      <c r="L28" s="247">
        <f>AVERAGE(L4,L8,L12,L15,L22)</f>
        <v>25.026579720000001</v>
      </c>
      <c r="M28" s="247"/>
      <c r="N28" s="88"/>
      <c r="O28" s="88"/>
      <c r="P28" s="88">
        <f>AVERAGE(P4,P8,P12,P15,P22)</f>
        <v>75.298685607647911</v>
      </c>
      <c r="Q28" s="88">
        <f>AVERAGE(Q4,Q8,Q12,Q15,Q22)</f>
        <v>1.1370988463855016</v>
      </c>
      <c r="R28" s="247">
        <f>AVERAGE(R4,R8,R12,R15,R22)</f>
        <v>10.737185438000001</v>
      </c>
      <c r="S28" s="88"/>
      <c r="U28" s="88">
        <f t="shared" ref="U28:AF28" si="24">AVERAGE(U4,U8,U12,U15,U22)</f>
        <v>5.987774784822145</v>
      </c>
      <c r="V28" s="88">
        <f t="shared" si="24"/>
        <v>0.148212247149063</v>
      </c>
      <c r="W28" s="88">
        <f t="shared" si="24"/>
        <v>23.659557535537701</v>
      </c>
      <c r="X28" s="88">
        <f t="shared" si="24"/>
        <v>0.33799367907910999</v>
      </c>
      <c r="Y28" s="88">
        <f t="shared" si="24"/>
        <v>22.734042841873634</v>
      </c>
      <c r="Z28" s="88">
        <f t="shared" si="24"/>
        <v>0.26840664512247503</v>
      </c>
      <c r="AA28" s="88">
        <f>AVERAGE(AA4,AA8,AA12,AA15,AA22)</f>
        <v>31.136231129723097</v>
      </c>
      <c r="AB28" s="88">
        <f>AVERAGE(AB4,AB8,AB12,AB15,AB22)</f>
        <v>0.47019376517250222</v>
      </c>
      <c r="AC28" s="247">
        <f>AVERAGE(AC4,AC8,AC12,AC15,AC22)</f>
        <v>10.222236373399999</v>
      </c>
      <c r="AD28" s="88">
        <f>AVERAGE(AD4,AD8,AD12,AD15,AD22)</f>
        <v>0.13780313256133728</v>
      </c>
      <c r="AE28" s="88">
        <f t="shared" si="24"/>
        <v>33.695829492998577</v>
      </c>
      <c r="AF28" s="88">
        <f t="shared" si="24"/>
        <v>0.5890879281992758</v>
      </c>
      <c r="AG28" s="88">
        <f t="shared" ref="AG28:AM28" si="25">AVERAGE(AG4,AG8,AG12,AG15,AG22)</f>
        <v>37.086987127224894</v>
      </c>
      <c r="AH28" s="88">
        <f t="shared" si="25"/>
        <v>0.56005719008192234</v>
      </c>
      <c r="AI28" s="247">
        <f>AVERAGE(AI4,AI8,AI12,AI15,AI22)</f>
        <v>18.181105696199999</v>
      </c>
      <c r="AJ28" s="88">
        <f t="shared" si="25"/>
        <v>0.24509444184685897</v>
      </c>
      <c r="AK28" s="247">
        <f t="shared" si="25"/>
        <v>967</v>
      </c>
      <c r="AL28" s="88">
        <f t="shared" si="25"/>
        <v>53.134372973999994</v>
      </c>
      <c r="AM28" s="88">
        <f t="shared" si="25"/>
        <v>0.71628974081962793</v>
      </c>
      <c r="AN28" s="88"/>
      <c r="AO28" s="88"/>
      <c r="AP28" s="247">
        <f>AVERAGE(AP4,AP8,AP12,AP15,AP22)</f>
        <v>9.5728463051999988</v>
      </c>
      <c r="AQ28" s="88">
        <f t="shared" ref="AQ28" si="26">AVERAGE(AQ4,AQ8,AQ12,AQ15,AQ22)</f>
        <v>0.12904888521434349</v>
      </c>
      <c r="AR28" s="247">
        <f>AVERAGE(AR4,AR8,AR12,AR15,AR22)</f>
        <v>9.5728463051999988</v>
      </c>
      <c r="AS28" s="247">
        <f>AVERAGE(AS4,AS8,AS12,AS15,AS22)</f>
        <v>0.12904888521434349</v>
      </c>
      <c r="AT28" s="247"/>
      <c r="AU28" s="247"/>
      <c r="AV28" s="247"/>
      <c r="AW28" s="247"/>
      <c r="AX28" s="247"/>
      <c r="AY28" s="247"/>
      <c r="AZ28" s="88"/>
      <c r="BC28" s="108"/>
      <c r="BD28" s="108"/>
      <c r="BE28" s="111"/>
    </row>
    <row r="29" spans="1:65" ht="13.5">
      <c r="A29" s="108" t="s">
        <v>143</v>
      </c>
      <c r="H29" s="88">
        <f>AVERAGE(H9,H13,H16,H20,H21,H23,H24,H25)</f>
        <v>7.142039295235314</v>
      </c>
      <c r="I29" s="88">
        <f>AVERAGE(I9,I13,I16,I20,I21,I23,I24,I25)</f>
        <v>9.8510886830831923E-2</v>
      </c>
      <c r="J29" s="88">
        <f>AVERAGE(J9,J13,J16,J20,J21,J23,J24,J25)</f>
        <v>23.251743360706957</v>
      </c>
      <c r="K29" s="88">
        <f>AVERAGE(K9,K13,K16,K20,K21,K23,K24,K25)</f>
        <v>0.35112871278627245</v>
      </c>
      <c r="L29" s="247">
        <f>AVERAGE(L9,L13,L16,L20,L21,L23,L24,L25)</f>
        <v>19.406197361875002</v>
      </c>
      <c r="M29" s="247"/>
      <c r="P29" s="88">
        <f>AVERAGE(P9,P13,P16,P20,P21,P23,P24,P25)</f>
        <v>80.978564442341252</v>
      </c>
      <c r="Q29" s="88">
        <f>AVERAGE(Q9,Q13,Q16,Q20,Q21,Q23,Q24,Q25)</f>
        <v>1.2228717070725048</v>
      </c>
      <c r="R29" s="247">
        <f>AVERAGE(R9,R13,R16,R20,R21,R23,R24,R25)</f>
        <v>8.8516488974999987</v>
      </c>
      <c r="S29" s="88"/>
      <c r="U29" s="88">
        <f t="shared" ref="U29:AF29" si="27">AVERAGE(U9,U13,U16,U20,U21,U23,U24,U25)</f>
        <v>2.8478615641770757</v>
      </c>
      <c r="V29" s="88">
        <f t="shared" si="27"/>
        <v>7.0491622875670193E-2</v>
      </c>
      <c r="W29" s="88">
        <f t="shared" si="27"/>
        <v>14.282222914589996</v>
      </c>
      <c r="X29" s="88">
        <f t="shared" si="27"/>
        <v>0.20403175592271425</v>
      </c>
      <c r="Y29" s="88">
        <f t="shared" si="27"/>
        <v>12.836490532407046</v>
      </c>
      <c r="Z29" s="88">
        <f t="shared" si="27"/>
        <v>0.15155242659276325</v>
      </c>
      <c r="AA29" s="88">
        <f>AVERAGE(AA9,AA13,AA16,AA20,AA21,AA23,AA24,AA25)</f>
        <v>14.25136911769448</v>
      </c>
      <c r="AB29" s="88">
        <f>AVERAGE(AB9,AB13,AB16,AB20,AB21,AB23,AB24,AB25)</f>
        <v>0.21521246024908608</v>
      </c>
      <c r="AC29" s="247">
        <f>AVERAGE(AC9,AC13,AC16,AC20,AC21,AC23,AC24,AC25)</f>
        <v>9.1752194285000002</v>
      </c>
      <c r="AD29" s="88">
        <f>AVERAGE(AD9,AD13,AD16,AD20,AD21,AD23,AD24,AD25)</f>
        <v>0.1236885876044756</v>
      </c>
      <c r="AE29" s="88">
        <f t="shared" si="27"/>
        <v>15.545253645520786</v>
      </c>
      <c r="AF29" s="88">
        <f t="shared" si="27"/>
        <v>0.27177016862798575</v>
      </c>
      <c r="AG29" s="88">
        <f t="shared" ref="AG29:AM29" si="28">AVERAGE(AG9,AG13,AG16,AG20,AG21,AG23,AG24,AG25)</f>
        <v>21.382476141415978</v>
      </c>
      <c r="AH29" s="88">
        <f t="shared" si="28"/>
        <v>0.32290057598030775</v>
      </c>
      <c r="AI29" s="247">
        <f>AVERAGE(AI9,AI13,AI16,AI20,AI21,AI23,AI24,AI25)</f>
        <v>11.965563278125</v>
      </c>
      <c r="AJ29" s="88">
        <f t="shared" si="28"/>
        <v>0.16130443890705043</v>
      </c>
      <c r="AK29" s="247">
        <f t="shared" si="28"/>
        <v>318.625</v>
      </c>
      <c r="AL29" s="88">
        <f t="shared" si="28"/>
        <v>36.673865863249993</v>
      </c>
      <c r="AM29" s="88">
        <f t="shared" si="28"/>
        <v>0.49439021115192772</v>
      </c>
      <c r="AN29" s="88"/>
      <c r="AO29" s="88"/>
      <c r="AP29" s="247">
        <f>AVERAGE(AP9,AP13,AP16,AP20,AP21,AP23,AP24,AP25)</f>
        <v>2.5289419515999998</v>
      </c>
      <c r="AQ29" s="88">
        <f t="shared" ref="AQ29" si="29">AVERAGE(AQ9,AQ13,AQ16,AQ20,AQ21,AQ23,AQ24,AQ25)</f>
        <v>5.6819941394805423E-2</v>
      </c>
      <c r="AR29" s="247">
        <f>AVERAGE(AR9,AR13,AR16,AR20,AR21,AR23,AR24,AR25)</f>
        <v>3.1988205978750002</v>
      </c>
      <c r="AS29" s="247">
        <f>AVERAGE(AS9,AS13,AS16,AS20,AS21,AS23,AS24,AS25)</f>
        <v>4.3122413020692904E-2</v>
      </c>
      <c r="AT29" s="247"/>
      <c r="AU29" s="247"/>
      <c r="AV29" s="247"/>
      <c r="AW29" s="247"/>
      <c r="AX29" s="247"/>
      <c r="AY29" s="247"/>
      <c r="AZ29" s="88"/>
      <c r="BC29" s="108"/>
      <c r="BD29" s="108"/>
      <c r="BE29" s="111"/>
    </row>
    <row r="30" spans="1:65" ht="13.5">
      <c r="A30" s="108" t="s">
        <v>144</v>
      </c>
      <c r="H30" s="88">
        <f>AVERAGE(H6,H10,H11,H18,,H19,)</f>
        <v>0</v>
      </c>
      <c r="I30" s="88">
        <f>AVERAGE(I6,I10,I11,I18,,I19,)</f>
        <v>0</v>
      </c>
      <c r="J30" s="88">
        <f>AVERAGE(J6,J10,J11,J18,,J19,)</f>
        <v>11.627734861669069</v>
      </c>
      <c r="K30" s="88">
        <f>AVERAGE(K6,K10,K11,K18,,K19,)</f>
        <v>0.17559249262562779</v>
      </c>
      <c r="L30" s="247">
        <f>AVERAGE(L6,L10,L11,L18,,L19,)</f>
        <v>3.9726546602857149</v>
      </c>
      <c r="M30" s="247"/>
      <c r="P30" s="88">
        <f>AVERAGE(P6,P10,P11,P18,,P19,)</f>
        <v>25.598011029299037</v>
      </c>
      <c r="Q30" s="88">
        <f>AVERAGE(Q6,Q10,Q11,Q18,,Q19,)</f>
        <v>0.38656011823163755</v>
      </c>
      <c r="R30" s="247">
        <f>AVERAGE(R6,R10,R11,R18,,R19,)</f>
        <v>2.3723941014285717</v>
      </c>
      <c r="S30" s="88"/>
      <c r="U30" s="88">
        <f t="shared" ref="U30:AF30" si="30">AVERAGE(U5,U6,U10,U11,U18,U19)</f>
        <v>0.37322647143551424</v>
      </c>
      <c r="V30" s="88">
        <f t="shared" si="30"/>
        <v>9.2382789959285713E-3</v>
      </c>
      <c r="W30" s="88">
        <f t="shared" si="30"/>
        <v>4.4334653461722322</v>
      </c>
      <c r="X30" s="88">
        <f t="shared" si="30"/>
        <v>6.3335219231031886E-2</v>
      </c>
      <c r="Y30" s="88">
        <f t="shared" si="30"/>
        <v>5.9735516144425356</v>
      </c>
      <c r="Z30" s="88">
        <f t="shared" si="30"/>
        <v>7.0525993086688735E-2</v>
      </c>
      <c r="AA30" s="88">
        <f>AVERAGE(AA5,AA6,AA10,AA11,AA18,AA19)</f>
        <v>12.25801156572213</v>
      </c>
      <c r="AB30" s="88">
        <f>AVERAGE(AB5,AB6,AB10,AB11,AB18,AB19)</f>
        <v>0.18511041325463806</v>
      </c>
      <c r="AC30" s="247">
        <f>AVERAGE(AC5,AC6,AC10,AC11,AC18,AC19)</f>
        <v>5.4187434211666661</v>
      </c>
      <c r="AD30" s="88">
        <f>AVERAGE(AD5,AD6,AD10,AD11,AD18,AD19)</f>
        <v>7.3048576721038899E-2</v>
      </c>
      <c r="AE30" s="88">
        <f t="shared" si="30"/>
        <v>5.4050830749723184</v>
      </c>
      <c r="AF30" s="88">
        <f t="shared" si="30"/>
        <v>9.4494459352662916E-2</v>
      </c>
      <c r="AG30" s="88">
        <f t="shared" ref="AG30:AM30" si="31">AVERAGE(AG5,AG6,AG10,AG11,AG18,AG19)</f>
        <v>9.4153411646565512</v>
      </c>
      <c r="AH30" s="88">
        <f t="shared" si="31"/>
        <v>0.14218274184017746</v>
      </c>
      <c r="AI30" s="247">
        <f t="shared" si="31"/>
        <v>6.1065857836666666</v>
      </c>
      <c r="AJ30" s="88">
        <f t="shared" si="31"/>
        <v>8.2321188779545237E-2</v>
      </c>
      <c r="AK30" s="247">
        <f>AVERAGE(AK5,AK6,AK10,AK11,AK18,AK19)</f>
        <v>130.5</v>
      </c>
      <c r="AL30" s="88">
        <f t="shared" si="31"/>
        <v>21.622678997999998</v>
      </c>
      <c r="AM30" s="88">
        <f t="shared" si="31"/>
        <v>0.32585597222297114</v>
      </c>
      <c r="AN30" s="88"/>
      <c r="AO30" s="88"/>
      <c r="AP30" s="247">
        <f>AVERAGE(AP5,AP6,AP10,AP11,AP18,AP19)</f>
        <v>0.80987086100000005</v>
      </c>
      <c r="AQ30" s="88">
        <f t="shared" ref="AQ30" si="32">AVERAGE(AQ5,AQ6,AQ10,AQ11,AQ18,AQ19)</f>
        <v>1.0917644392019412E-2</v>
      </c>
      <c r="AR30" s="247">
        <f>AVERAGE(AR5,AR6,AR10,AR11,AR18,AR19)</f>
        <v>0.80047827483333345</v>
      </c>
      <c r="AS30" s="247">
        <f>AVERAGE(AS5,AS6,AS10,AS11,AS18,AS19)</f>
        <v>1.0791025543722478E-2</v>
      </c>
      <c r="AT30" s="247"/>
      <c r="AU30" s="247"/>
      <c r="AV30" s="247"/>
      <c r="AW30" s="247"/>
      <c r="AX30" s="247"/>
      <c r="AY30" s="247"/>
      <c r="AZ30" s="88"/>
      <c r="BC30" s="108"/>
      <c r="BD30" s="108"/>
      <c r="BE30" s="111"/>
    </row>
    <row r="31" spans="1:65" ht="13.5">
      <c r="A31" s="3" t="s">
        <v>179</v>
      </c>
      <c r="J31" s="88">
        <f>AVERAGE(J27:J30)</f>
        <v>90.726069438201236</v>
      </c>
      <c r="K31" s="88">
        <f>AVERAGE(K27:K30)</f>
        <v>1.370070514016932</v>
      </c>
      <c r="L31" s="247">
        <f>AVERAGE(L27:L30)</f>
        <v>49.605909755540175</v>
      </c>
      <c r="M31" s="247"/>
      <c r="P31" s="88">
        <f>AVERAGE(P27:P30)</f>
        <v>60.625087026429405</v>
      </c>
      <c r="Q31" s="88">
        <f>AVERAGE(Q27:Q30)</f>
        <v>0.9155102238965479</v>
      </c>
      <c r="R31" s="247">
        <f>AVERAGE(R27:R30)</f>
        <v>7.3204094789761909</v>
      </c>
      <c r="S31" s="88"/>
      <c r="AA31" s="88">
        <f>AVERAGE(AA27:AA30)</f>
        <v>36.891875146366829</v>
      </c>
      <c r="AB31" s="88">
        <f>AVERAGE(AB27:AB30)</f>
        <v>0.55711076935014847</v>
      </c>
      <c r="AC31" s="247">
        <f>AVERAGE(AC27:AC30)</f>
        <v>24.850389559099998</v>
      </c>
      <c r="AD31" s="88">
        <f>AVERAGE(AD27:AD30)</f>
        <v>0.33500120732138045</v>
      </c>
      <c r="AG31" s="88">
        <f t="shared" ref="AG31:AM31" si="33">AVERAGE(AG27:AG30)</f>
        <v>34.399824198110473</v>
      </c>
      <c r="AH31" s="88">
        <f t="shared" si="33"/>
        <v>0.51947786466491197</v>
      </c>
      <c r="AI31" s="247">
        <f>AVERAGE(AI27:AI30)</f>
        <v>33.583440167831249</v>
      </c>
      <c r="AJ31" s="88">
        <f t="shared" si="33"/>
        <v>0.45272903973889522</v>
      </c>
      <c r="AK31" s="247">
        <f t="shared" si="33"/>
        <v>635.86458333333326</v>
      </c>
      <c r="AL31" s="88">
        <f t="shared" si="33"/>
        <v>102.42019170047917</v>
      </c>
      <c r="AM31" s="88">
        <f t="shared" si="33"/>
        <v>1.3892898484207894</v>
      </c>
      <c r="AN31" s="88"/>
      <c r="AO31" s="88"/>
      <c r="AP31" s="247">
        <f>AVERAGE(AP27:AP30)</f>
        <v>17.085104674449997</v>
      </c>
      <c r="AQ31" s="88">
        <f t="shared" ref="AQ31" si="34">AVERAGE(AQ27:AQ30)</f>
        <v>0.23600155027927561</v>
      </c>
      <c r="AR31" s="247">
        <f>AVERAGE(AR27:AR30)</f>
        <v>17.250226189477083</v>
      </c>
      <c r="AS31" s="247">
        <f>AVERAGE(AS27:AS30)</f>
        <v>0.23254551347367325</v>
      </c>
      <c r="AT31" s="247"/>
      <c r="AU31" s="247"/>
      <c r="AV31" s="247"/>
      <c r="AW31" s="247"/>
      <c r="AX31" s="247"/>
      <c r="AY31" s="247"/>
      <c r="AZ31" s="88"/>
      <c r="BC31" s="108"/>
      <c r="BD31" s="108"/>
      <c r="BE31" s="111"/>
    </row>
    <row r="32" spans="1:65" ht="13.5">
      <c r="A32" s="108" t="s">
        <v>145</v>
      </c>
      <c r="N32" s="115"/>
      <c r="O32" s="115">
        <v>1.54</v>
      </c>
      <c r="P32" s="115"/>
      <c r="Q32" s="115"/>
      <c r="T32" s="115"/>
      <c r="U32" s="115"/>
      <c r="BD32" s="108"/>
      <c r="BE32" s="111"/>
    </row>
    <row r="33" spans="1:57" ht="13.5">
      <c r="A33" s="108" t="s">
        <v>146</v>
      </c>
      <c r="N33" s="120"/>
      <c r="O33" s="120">
        <v>1.35</v>
      </c>
      <c r="P33" s="120"/>
      <c r="Q33" s="120"/>
      <c r="T33" s="120"/>
      <c r="U33" s="120"/>
      <c r="BD33" s="108"/>
      <c r="BE33" s="111"/>
    </row>
    <row r="34" spans="1:57" ht="14.5">
      <c r="A34" s="108" t="s">
        <v>147</v>
      </c>
      <c r="N34" s="120"/>
      <c r="O34" s="121">
        <v>0.68</v>
      </c>
      <c r="P34" s="121"/>
      <c r="Q34" s="121"/>
      <c r="T34" s="113"/>
      <c r="U34" s="113"/>
    </row>
    <row r="35" spans="1:57" ht="14.5">
      <c r="A35" s="108" t="s">
        <v>157</v>
      </c>
      <c r="N35" s="120"/>
      <c r="O35" s="121">
        <v>1.32</v>
      </c>
      <c r="P35" s="121"/>
      <c r="Q35" s="121"/>
      <c r="T35" s="113"/>
      <c r="U35" s="113"/>
    </row>
    <row r="36" spans="1:57" ht="14.5">
      <c r="A36" s="108" t="s">
        <v>148</v>
      </c>
      <c r="N36" s="120"/>
      <c r="O36" s="121"/>
      <c r="P36" s="121"/>
      <c r="Q36" s="121"/>
      <c r="T36" s="113"/>
      <c r="U36" s="113"/>
      <c r="AF36">
        <v>0.3</v>
      </c>
    </row>
    <row r="37" spans="1:57" ht="14.5">
      <c r="A37" s="108" t="s">
        <v>149</v>
      </c>
      <c r="N37" s="120"/>
      <c r="O37" s="121"/>
      <c r="P37" s="121"/>
      <c r="Q37" s="121"/>
      <c r="T37" s="113"/>
      <c r="U37" s="113"/>
      <c r="AF37">
        <v>0.05</v>
      </c>
    </row>
    <row r="38" spans="1:57" ht="14.5">
      <c r="A38" s="108" t="s">
        <v>150</v>
      </c>
      <c r="N38" s="120"/>
      <c r="O38" s="121"/>
      <c r="P38" s="121"/>
      <c r="Q38" s="121"/>
      <c r="T38" s="113"/>
      <c r="U38" s="113"/>
      <c r="AF38">
        <v>0.01</v>
      </c>
    </row>
    <row r="39" spans="1:57" ht="14.5">
      <c r="A39" s="108" t="s">
        <v>153</v>
      </c>
      <c r="N39" s="120"/>
      <c r="O39" s="121"/>
      <c r="P39" s="121"/>
      <c r="Q39" s="121"/>
      <c r="T39" s="113"/>
      <c r="U39" s="113"/>
      <c r="Z39">
        <v>0.47</v>
      </c>
    </row>
    <row r="40" spans="1:57" ht="14.5">
      <c r="A40" s="108" t="s">
        <v>154</v>
      </c>
      <c r="N40" s="120"/>
      <c r="O40" s="121"/>
      <c r="P40" s="121"/>
      <c r="Q40" s="121"/>
      <c r="T40" s="113"/>
      <c r="U40" s="113"/>
      <c r="AF40">
        <v>0.74</v>
      </c>
    </row>
    <row r="41" spans="1:57" ht="14.5">
      <c r="A41" s="108" t="s">
        <v>155</v>
      </c>
      <c r="N41" s="120"/>
      <c r="O41" s="121"/>
      <c r="P41" s="121"/>
      <c r="Q41" s="121"/>
      <c r="T41" s="113"/>
      <c r="U41" s="113"/>
      <c r="AF41">
        <v>0.23</v>
      </c>
    </row>
    <row r="42" spans="1:57" ht="14.5">
      <c r="A42" s="108" t="s">
        <v>156</v>
      </c>
      <c r="N42" s="120"/>
      <c r="O42" s="121"/>
      <c r="P42" s="121"/>
      <c r="Q42" s="121"/>
      <c r="T42" s="113"/>
      <c r="U42" s="113"/>
      <c r="AF42">
        <v>0.22</v>
      </c>
    </row>
    <row r="43" spans="1:57" ht="14.5">
      <c r="A43" s="108" t="s">
        <v>151</v>
      </c>
      <c r="N43" s="120"/>
      <c r="O43" s="121"/>
      <c r="P43" s="121"/>
      <c r="Q43" s="121"/>
      <c r="T43" s="113"/>
      <c r="U43" s="113"/>
      <c r="AF43">
        <v>10.68</v>
      </c>
    </row>
    <row r="44" spans="1:57" ht="14.5">
      <c r="A44" s="108" t="s">
        <v>152</v>
      </c>
      <c r="N44" s="120"/>
      <c r="O44" s="121"/>
      <c r="P44" s="121"/>
      <c r="Q44" s="121"/>
      <c r="T44" s="113"/>
      <c r="U44" s="113"/>
      <c r="AF44">
        <v>7.63</v>
      </c>
    </row>
    <row r="47" spans="1:57" ht="14.5">
      <c r="N47" s="120"/>
      <c r="O47" s="121"/>
      <c r="P47" s="121"/>
      <c r="Q47" s="121"/>
      <c r="T47" s="113"/>
      <c r="U47" s="113"/>
    </row>
    <row r="48" spans="1:57" ht="14.5">
      <c r="N48" s="120"/>
      <c r="O48" s="121"/>
      <c r="P48" s="121"/>
      <c r="Q48" s="121"/>
      <c r="T48" s="113"/>
      <c r="U48" s="113"/>
    </row>
    <row r="49" spans="14:21" ht="14.5">
      <c r="N49" s="120"/>
      <c r="O49" s="121"/>
      <c r="P49" s="121"/>
      <c r="Q49" s="121"/>
      <c r="T49" s="113"/>
      <c r="U49" s="113"/>
    </row>
    <row r="50" spans="14:21" ht="14.5">
      <c r="N50" s="120"/>
      <c r="O50" s="121"/>
      <c r="P50" s="121"/>
      <c r="Q50" s="121"/>
      <c r="T50" s="113"/>
      <c r="U50" s="113"/>
    </row>
    <row r="51" spans="14:21" ht="14.5">
      <c r="N51" s="120"/>
      <c r="O51" s="121"/>
      <c r="P51" s="121"/>
      <c r="Q51" s="121"/>
      <c r="T51" s="113"/>
      <c r="U51" s="113"/>
    </row>
    <row r="52" spans="14:21" ht="14.5">
      <c r="N52" s="120"/>
      <c r="O52" s="121"/>
      <c r="P52" s="121"/>
      <c r="Q52" s="121"/>
      <c r="T52" s="113"/>
      <c r="U52" s="113"/>
    </row>
    <row r="53" spans="14:21" ht="14.5">
      <c r="N53" s="120"/>
      <c r="O53" s="121"/>
      <c r="P53" s="121"/>
      <c r="Q53" s="121"/>
      <c r="T53" s="113"/>
      <c r="U53" s="113"/>
    </row>
    <row r="54" spans="14:21" ht="14.5">
      <c r="N54" s="120"/>
      <c r="O54" s="121"/>
      <c r="P54" s="121"/>
      <c r="Q54" s="121"/>
      <c r="T54" s="113"/>
      <c r="U54" s="113"/>
    </row>
    <row r="55" spans="14:21" ht="14.5">
      <c r="N55" s="120"/>
      <c r="O55" s="121"/>
      <c r="P55" s="121"/>
      <c r="Q55" s="121"/>
      <c r="T55" s="113"/>
      <c r="U55" s="113"/>
    </row>
    <row r="56" spans="14:21" ht="14.5">
      <c r="N56" s="120"/>
      <c r="O56" s="121"/>
      <c r="P56" s="121"/>
      <c r="Q56" s="121"/>
      <c r="T56" s="113"/>
      <c r="U56" s="113"/>
    </row>
    <row r="57" spans="14:21" ht="14.5">
      <c r="N57" s="120"/>
      <c r="O57" s="121"/>
      <c r="P57" s="121"/>
      <c r="Q57" s="121"/>
      <c r="T57" s="113"/>
      <c r="U57" s="113"/>
    </row>
    <row r="58" spans="14:21" ht="14.5">
      <c r="N58" s="120"/>
      <c r="O58" s="120"/>
      <c r="P58" s="120"/>
      <c r="Q58" s="120"/>
      <c r="T58" s="113"/>
      <c r="U58" s="113"/>
    </row>
    <row r="59" spans="14:21">
      <c r="N59" s="120"/>
      <c r="O59" s="120"/>
      <c r="P59" s="120"/>
      <c r="Q59" s="120"/>
      <c r="T59" s="120"/>
      <c r="U59" s="120"/>
    </row>
  </sheetData>
  <mergeCells count="23">
    <mergeCell ref="AR1:AS1"/>
    <mergeCell ref="BA1:BD1"/>
    <mergeCell ref="AE2:AF2"/>
    <mergeCell ref="Y2:Z2"/>
    <mergeCell ref="N2:O2"/>
    <mergeCell ref="T2:V2"/>
    <mergeCell ref="AE1:AJ1"/>
    <mergeCell ref="AA2:AB2"/>
    <mergeCell ref="AG2:AH2"/>
    <mergeCell ref="T1:AD1"/>
    <mergeCell ref="AI2:AJ2"/>
    <mergeCell ref="AK1:AL1"/>
    <mergeCell ref="N1:S1"/>
    <mergeCell ref="R2:S2"/>
    <mergeCell ref="W2:X2"/>
    <mergeCell ref="AC2:AD2"/>
    <mergeCell ref="AN1:AQ1"/>
    <mergeCell ref="B1:G2"/>
    <mergeCell ref="J2:K2"/>
    <mergeCell ref="P2:Q2"/>
    <mergeCell ref="H1:M1"/>
    <mergeCell ref="L2:M2"/>
    <mergeCell ref="H2:I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3G BWA Auction Results</vt:lpstr>
      <vt:lpstr>HHI</vt:lpstr>
      <vt:lpstr>Sheet3</vt:lpstr>
      <vt:lpstr>1800 MHz - Nov 2012</vt:lpstr>
      <vt:lpstr>800 MHz - Mar 2013</vt:lpstr>
      <vt:lpstr>1800 MHz - Feb 2014</vt:lpstr>
      <vt:lpstr>Mar 2015</vt:lpstr>
      <vt:lpstr>Oct 2016</vt:lpstr>
      <vt:lpstr>Price per MHz per pop</vt:lpstr>
      <vt:lpstr>'3G BWA Auction Results'!Print_Titles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IIITB</cp:lastModifiedBy>
  <cp:lastPrinted>2010-06-25T10:21:34Z</cp:lastPrinted>
  <dcterms:created xsi:type="dcterms:W3CDTF">2010-06-12T05:31:51Z</dcterms:created>
  <dcterms:modified xsi:type="dcterms:W3CDTF">2020-12-21T13:42:03Z</dcterms:modified>
</cp:coreProperties>
</file>