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line list" sheetId="1" r:id="rId4"/>
    <sheet state="visible" name="Measured lines only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Index in the wavelength array of the line peak. Note that this is 0-based, add 1 to get the index in FITS convention</t>
      </text>
    </comment>
    <comment authorId="0" ref="B1">
      <text>
        <t xml:space="preserve">Which DS9 region  was used to identify this line. For most lines, this is currently the GLOB-E region, with two exceptions: 
High ionization lines should use the BS region.
Lines that do not show any diffuse emission should (maybe?) use the YSO region</t>
      </text>
    </comment>
    <comment authorId="0" ref="C1">
      <text>
        <t xml:space="preserve">Observed wavelength of center of peak pixel.  Values calculated automatically from the indices in column A
----
I have made the text dimmer for this column, since more often we are interested in the systemic frame wavelength in the next column
	-William Henney</t>
      </text>
    </comment>
    <comment authorId="0" ref="D1">
      <text>
        <t xml:space="preserve">Wavelength in system frame of midpoint between interpolated half-maximum points
This is the wavelength that is printed in the upper-left corner of each panel in the peak-images-*.pdf figures.
It may vary slightly between regions
----
Do not fill in this field for sky lines, since it makes no sense for them to have a wavelength in the systemic frame. Instead, just put the wavelength in the ID column
	-William Henney
Unless there is the possibility of blend with a real line from the source, such as #2173
	-William Henney</t>
      </text>
    </comment>
    <comment authorId="0" ref="E1">
      <text>
        <t xml:space="preserve">Broad class of line
One of:
Sky
High Neb: e.g., He II, [Ar IV]
Med Neb: e.g., H I, He I, [O III], [S III]
Low Neb, e.g., [N II], [S II], [O I]
Fe, Ni
Ionized permitted: Si II
Neutral, e.g., O I, N I permitted
Deep Neutral, [C I], [Fe I], unidentified
</t>
      </text>
    </comment>
    <comment authorId="0" ref="F1">
      <text>
        <t xml:space="preserve">Identification of line with rest wavelength in Å at STP. Uncertain identifications should be marked with ?
Use the cell note field to indicate any possible blends and to describe unresolved multiplets</t>
      </text>
    </comment>
    <comment authorId="0" ref="G1">
      <text>
        <t xml:space="preserve">Some approximate measure of the line intensity. 
At the moment I am using the "prominences" values calculated by the find_peaks() function, which is the 3rd column in the files n346-nostar-*-peaks-*.csv
Note that these will vary according to the region used
</t>
      </text>
    </comment>
    <comment authorId="0" ref="H1">
      <text>
        <t xml:space="preserve">Which type (or types) of continuum subtraction method shows this line best. Leave blank for lines which are well shown by all 3 methods.
Options: 
11 (median filter of 11 pixels),
101 (median filter of 101 pixels), 
101B (same as previous, but also subtracting local baseline)
</t>
      </text>
    </comment>
    <comment authorId="0" ref="F15">
      <text>
        <t xml:space="preserve">Blend with He I 4713.14</t>
      </text>
    </comment>
    <comment authorId="0" ref="F60">
      <text>
        <t xml:space="preserve">Doublet with components 5197.98, 5200.26</t>
      </text>
    </comment>
    <comment authorId="0" ref="F65">
      <text>
        <t xml:space="preserve">Blend with [Fe II] 5273.38</t>
      </text>
    </comment>
    <comment authorId="0" ref="F94">
      <text>
        <t xml:space="preserve">Severe sky contamination</t>
      </text>
    </comment>
    <comment authorId="0" ref="F159">
      <text>
        <t xml:space="preserve">Possible sky contamination</t>
      </text>
    </comment>
    <comment authorId="0" ref="F161">
      <text>
        <t xml:space="preserve">Plus self-sky</t>
      </text>
    </comment>
    <comment authorId="0" ref="F183">
      <text>
        <t xml:space="preserve">Distribution looks more similar to the low-ionization nebular lines. Perhaps it is [N II] 6527.24 but the wavelength is off by 2 Å
May also be affected by Sky OH 6533.044</t>
      </text>
    </comment>
    <comment authorId="0" ref="F194">
      <text>
        <t xml:space="preserve">Blend with Raman O I absorption feature</t>
      </text>
    </comment>
    <comment authorId="0" ref="F204">
      <text>
        <t xml:space="preserve">Could include  [Ni III] 6770.06 and/or He I 6769.548 in some places (e.g., YSO).  But there must be a deep neutral line as well, given its distribution in the filaments
</t>
      </text>
    </comment>
    <comment authorId="0" ref="F209">
      <text>
        <t xml:space="preserve">Blend of several components</t>
      </text>
    </comment>
    <comment authorId="0" ref="F254">
      <text>
        <t xml:space="preserve">Blend with [Ar IV] 7237.4
Also, several OH sky lines but they are weak and probably do not interfere
</t>
      </text>
    </comment>
    <comment authorId="0" ref="F255">
      <text>
        <t xml:space="preserve">Blend with 7254.45, 7254.53
----
Wavelength followed by + indicates blend. Secondary components should be listed in attached note
	-William Henney</t>
      </text>
    </comment>
    <comment authorId="0" ref="F256">
      <text>
        <t xml:space="preserve">Blend with [Cl IV] 7261.4</t>
      </text>
    </comment>
    <comment authorId="0" ref="F262">
      <text>
        <t xml:space="preserve">plus UIL?</t>
      </text>
    </comment>
    <comment authorId="0" ref="F263">
      <text>
        <t xml:space="preserve">plus 7318.39</t>
      </text>
    </comment>
    <comment authorId="0" ref="F264">
      <text>
        <t xml:space="preserve">plus 7329.66</t>
      </text>
    </comment>
    <comment authorId="0" ref="F282">
      <text>
        <t xml:space="preserve">Same multiplet as 7731.6885</t>
      </text>
    </comment>
    <comment authorId="0" ref="F284">
      <text>
        <t xml:space="preserve">Blend with [Cl IV] 7530.8</t>
      </text>
    </comment>
    <comment authorId="0" ref="F288">
      <text>
        <t xml:space="preserve">plus possible UIL</t>
      </text>
    </comment>
    <comment authorId="0" ref="F305">
      <text>
        <t xml:space="preserve">plus OH 7712 sky</t>
      </text>
    </comment>
    <comment authorId="0" ref="F306">
      <text>
        <t xml:space="preserve">plus possible neutral line
</t>
      </text>
    </comment>
    <comment authorId="0" ref="F307">
      <text>
        <t xml:space="preserve">plus OH 7726 sky</t>
      </text>
    </comment>
    <comment authorId="0" ref="F310">
      <text>
        <t xml:space="preserve">plus possible weak line</t>
      </text>
    </comment>
    <comment authorId="0" ref="F313">
      <text>
        <t xml:space="preserve">plus OH 7794 sky</t>
      </text>
    </comment>
    <comment authorId="0" ref="F315">
      <text>
        <t xml:space="preserve">plus OH 7822 sky</t>
      </text>
    </comment>
    <comment authorId="0" ref="F319">
      <text>
        <t xml:space="preserve">plus OH 7853 sky</t>
      </text>
    </comment>
    <comment authorId="0" ref="F321">
      <text>
        <t xml:space="preserve">plus OH 7868 sky</t>
      </text>
    </comment>
    <comment authorId="0" ref="F323">
      <text>
        <t xml:space="preserve">plus OH 7879 sky</t>
      </text>
    </comment>
    <comment authorId="0" ref="F326">
      <text>
        <t xml:space="preserve">plus OH 7921 sky</t>
      </text>
    </comment>
    <comment authorId="0" ref="F336">
      <text>
        <t xml:space="preserve">plus [Fe II] 7999.47 and maybe [Cr II] 8000.08</t>
      </text>
    </comment>
    <comment authorId="0" ref="F432">
      <text>
        <t xml:space="preserve">plus He I 8997.42</t>
      </text>
    </comment>
    <comment authorId="0" ref="F446">
      <text>
        <t xml:space="preserve">Eaten up on red side by an absorption line around same wavelength (9130 observed)
</t>
      </text>
    </comment>
    <comment authorId="0" ref="F455">
      <text>
        <t xml:space="preserve">Looks like maybe another Ca I?
	-William Henney
Esteban+ 2004 have Fe I] 9218.47, which is a possibility
	-William Henney</t>
      </text>
    </comment>
    <comment authorId="0" ref="A468">
      <text>
        <t xml:space="preserve">Where did these last two rows come from?
	-William Henney</t>
      </text>
    </comment>
    <comment authorId="0" ref="E420">
      <text>
        <t xml:space="preserve">@mabel.astro@gmail.com Favor de revisar bien las identificaciones. Las líneas de [Fe II] no tienen esta morfología. Y además la lambda no coincida
	-William Henney</t>
      </text>
    </comment>
    <comment authorId="0" ref="F404">
      <text>
        <t xml:space="preserve">This is the prototype of the deep neutral lines, and is the only one that has previously been observed in nebulae I think.
	-William Henney</t>
      </text>
    </comment>
    <comment authorId="0" ref="E249">
      <text>
        <t xml:space="preserve">The double question mark is to indicate that it is marginal whether or not this is really a line
	-William Henney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This sheet is generated automatically from the first sheet. It contains only those rows where the Strength field has a value greater than zero.
	-William Henney</t>
      </text>
    </comment>
  </commentList>
</comments>
</file>

<file path=xl/sharedStrings.xml><?xml version="1.0" encoding="utf-8"?>
<sst xmlns="http://schemas.openxmlformats.org/spreadsheetml/2006/main" count="1184" uniqueCount="249">
  <si>
    <t>Index</t>
  </si>
  <si>
    <t>Region</t>
  </si>
  <si>
    <t>λ(obs)</t>
  </si>
  <si>
    <t>λ(HM)</t>
  </si>
  <si>
    <t>Type</t>
  </si>
  <si>
    <t>ID</t>
  </si>
  <si>
    <t>Strength</t>
  </si>
  <si>
    <t>Cont method</t>
  </si>
  <si>
    <t>Comments</t>
  </si>
  <si>
    <t>GLOB-E</t>
  </si>
  <si>
    <t>Test of formatting of comments field. I have set it to wrap for now. If that gets annoying, we can switch to clip</t>
  </si>
  <si>
    <t>Fe, Ni</t>
  </si>
  <si>
    <t>[Fe III] 4658.10</t>
  </si>
  <si>
    <t>Shows diffuse emission, particularly in SE and NE</t>
  </si>
  <si>
    <t>BS</t>
  </si>
  <si>
    <t>High Neb</t>
  </si>
  <si>
    <t>He II  4685.68</t>
  </si>
  <si>
    <t>[Ar IV] 4711.37</t>
  </si>
  <si>
    <t>[Ar IV] 4740.17</t>
  </si>
  <si>
    <t>Med Neb</t>
  </si>
  <si>
    <t>H I 4861.32</t>
  </si>
  <si>
    <t>[Fe III] 4881.073</t>
  </si>
  <si>
    <t>No clear diffuse emission. Seen in YSO-c and GLOB-D</t>
  </si>
  <si>
    <t>He I 4921.93</t>
  </si>
  <si>
    <t>11, 101</t>
  </si>
  <si>
    <t>[O III] 4958.91</t>
  </si>
  <si>
    <t>[O III] 5006.84</t>
  </si>
  <si>
    <t>He I 5015.68</t>
  </si>
  <si>
    <t>101, 101B</t>
  </si>
  <si>
    <t>Med Perm</t>
  </si>
  <si>
    <t>Si II 5041.03</t>
  </si>
  <si>
    <t>11, 101B</t>
  </si>
  <si>
    <t>No clear diffuse, Seen in YSO-c and GLOB-F (blushifted and just outside region box)</t>
  </si>
  <si>
    <t>He I 5047.74</t>
  </si>
  <si>
    <t>Si II 5055.98</t>
  </si>
  <si>
    <t>[Fe II] 5158.81</t>
  </si>
  <si>
    <t>No clear diffuse</t>
  </si>
  <si>
    <t>[Ar  III] 5191.82</t>
  </si>
  <si>
    <t>Neutral</t>
  </si>
  <si>
    <t>[N I]  5199.00</t>
  </si>
  <si>
    <t xml:space="preserve">Si II 5219.31 </t>
  </si>
  <si>
    <t>Should be done in YSO region instead</t>
  </si>
  <si>
    <t>[Fe II] 5261.61</t>
  </si>
  <si>
    <t>[Fe III] 5270.40</t>
  </si>
  <si>
    <t>Same as previous.Wavelength not accurate in GLOB-E</t>
  </si>
  <si>
    <t>[Cl III] 5517.71</t>
  </si>
  <si>
    <t>Noise</t>
  </si>
  <si>
    <t>[Cl III]] 5537.88</t>
  </si>
  <si>
    <t>[O I] 5577.34</t>
  </si>
  <si>
    <t>High Perm</t>
  </si>
  <si>
    <t>Si III 5739.73</t>
  </si>
  <si>
    <t>Unique line! Is it recombination or fluorescence?</t>
  </si>
  <si>
    <t>Low Neb</t>
  </si>
  <si>
    <t>[N II] 5755.08</t>
  </si>
  <si>
    <t>He I 5875.62</t>
  </si>
  <si>
    <t>Si II 5957.56</t>
  </si>
  <si>
    <t>Faintly detected from neutral region</t>
  </si>
  <si>
    <t>Si II 5978.93</t>
  </si>
  <si>
    <t>Clearly detected from neutral region</t>
  </si>
  <si>
    <t>Low Perm</t>
  </si>
  <si>
    <t>O I 6046.23</t>
  </si>
  <si>
    <t>Diffuse emission very weak. Strong from YSO</t>
  </si>
  <si>
    <t>[K IV] 6101.79</t>
  </si>
  <si>
    <t>Deep Neutral</t>
  </si>
  <si>
    <t>UIL</t>
  </si>
  <si>
    <t>Very very weak. Marginal detection</t>
  </si>
  <si>
    <t>Sky</t>
  </si>
  <si>
    <t>101B</t>
  </si>
  <si>
    <t>This is the bluest UIL that is absolutely definite. Clear signal in all the GLOB anf FIL regions</t>
  </si>
  <si>
    <t>Deep Neutral?</t>
  </si>
  <si>
    <t>Marginal</t>
  </si>
  <si>
    <t>Very marginal</t>
  </si>
  <si>
    <t>These last 3 look vaguely like #1300 but weaker</t>
  </si>
  <si>
    <t>Clear detection but seems blended with sky line</t>
  </si>
  <si>
    <t>OH 6287.4</t>
  </si>
  <si>
    <t>[O I] 6300.30</t>
  </si>
  <si>
    <t>[S III] 6312.06</t>
  </si>
  <si>
    <t>Si II 6347.11</t>
  </si>
  <si>
    <t>Clear but faint diffuse from neutral region</t>
  </si>
  <si>
    <t xml:space="preserve">[O I] 6363.78 </t>
  </si>
  <si>
    <t xml:space="preserve">Si II 6371.36 </t>
  </si>
  <si>
    <t>Diffuse is not clear. Cont method 11 affected by [O I]</t>
  </si>
  <si>
    <t>Neutral?</t>
  </si>
  <si>
    <t>Filaments look spatially broader than in the deep neutral lines</t>
  </si>
  <si>
    <t>Similar to #1484</t>
  </si>
  <si>
    <t>special</t>
  </si>
  <si>
    <t>OH 6499</t>
  </si>
  <si>
    <t>I can see this in GLOB-E spectrum, with a strength of about 0.5 and very narrow, although it is not detected as a peak. This is one of the strongest sky lines in this part of the spectrum</t>
  </si>
  <si>
    <t>Low Neb?</t>
  </si>
  <si>
    <t>[N II] 6548.05</t>
  </si>
  <si>
    <t>H I 6562.79</t>
  </si>
  <si>
    <t>[N II] 6583.45</t>
  </si>
  <si>
    <t xml:space="preserve">Weak </t>
  </si>
  <si>
    <t>?</t>
  </si>
  <si>
    <t>Broad profile and very weak</t>
  </si>
  <si>
    <t>101B, 11</t>
  </si>
  <si>
    <t>Left-hand guardian of the Raman dip</t>
  </si>
  <si>
    <t>Right-hand guardian of the Raman dip</t>
  </si>
  <si>
    <t>[Ni II]  6666.80</t>
  </si>
  <si>
    <t>Diffuse emission is unclear (difffers between 11 and 101B)</t>
  </si>
  <si>
    <t>He I 6678.15</t>
  </si>
  <si>
    <t>Weak but clearly detected in most GLOB/FIL regions</t>
  </si>
  <si>
    <t>Possibly real, but too close to [S II] line to get a good cont</t>
  </si>
  <si>
    <t>[S II] 6716.44</t>
  </si>
  <si>
    <t>[S II] 6730.816</t>
  </si>
  <si>
    <t>[K IV] 6795.1</t>
  </si>
  <si>
    <t>Very weak and diffuse</t>
  </si>
  <si>
    <t>OH 6830</t>
  </si>
  <si>
    <t>See Osterbrock et al 1996PASP..108..277O Fig. 13</t>
  </si>
  <si>
    <t>OH 6833</t>
  </si>
  <si>
    <t>Broad, so probably a blend</t>
  </si>
  <si>
    <t>OH 6864</t>
  </si>
  <si>
    <t>Telluric</t>
  </si>
  <si>
    <t>Overcorrection of O2 band absorption?</t>
  </si>
  <si>
    <t>O I 7001.92</t>
  </si>
  <si>
    <t>Broad</t>
  </si>
  <si>
    <t>He I 7065.28</t>
  </si>
  <si>
    <t>Broad and weak</t>
  </si>
  <si>
    <t>[Ar III] 7135.78</t>
  </si>
  <si>
    <t>101B, 101</t>
  </si>
  <si>
    <t>[Fe II] 7155.14</t>
  </si>
  <si>
    <t>No clear diffuse. Seen in YSO, GLOB-F, GLOB-B. Maybe redo in YSO region?</t>
  </si>
  <si>
    <t>He I 7160.13</t>
  </si>
  <si>
    <t>Wavelength is strangely off: blend?</t>
  </si>
  <si>
    <t>[Ar IV] 7170.5</t>
  </si>
  <si>
    <t>Deep Neutral??</t>
  </si>
  <si>
    <t>Could be something, but too weak to see and is superimposed on stellar absorption line</t>
  </si>
  <si>
    <t>Definite detection in all GLOB/FIL regions, even though map does not look great. Broad with wing to blue, so possibly blended multiplet</t>
  </si>
  <si>
    <t>Very marginal detection</t>
  </si>
  <si>
    <t xml:space="preserve">Also seen in YSO. </t>
  </si>
  <si>
    <t>UIL+</t>
  </si>
  <si>
    <t>This is a high/low blend, where the neutral line is stronger</t>
  </si>
  <si>
    <t>O I 7254.15+</t>
  </si>
  <si>
    <t>101, 11</t>
  </si>
  <si>
    <t>[Ar IV] 7262.7+</t>
  </si>
  <si>
    <t>OH 7276.4</t>
  </si>
  <si>
    <t>See Osterbrock 1996, Fig 15</t>
  </si>
  <si>
    <t>He I 7281.35</t>
  </si>
  <si>
    <t>Only compact sources, but weak in YSO-c</t>
  </si>
  <si>
    <t>OH 7303.7</t>
  </si>
  <si>
    <t>Very weak. Not convinced this is real</t>
  </si>
  <si>
    <t>OH 7316.3+</t>
  </si>
  <si>
    <t>There may be a real line here too, but hard to see</t>
  </si>
  <si>
    <t>[O II] 7319.99+</t>
  </si>
  <si>
    <t>[O II] 7330.73+</t>
  </si>
  <si>
    <t>OH 7340.9</t>
  </si>
  <si>
    <t>OH 7358.7</t>
  </si>
  <si>
    <t>OH 7369.3</t>
  </si>
  <si>
    <t>[Ni II] 7377.83</t>
  </si>
  <si>
    <t>Compact sources only</t>
  </si>
  <si>
    <t>OH 7392.2</t>
  </si>
  <si>
    <t>OH 7401.9</t>
  </si>
  <si>
    <t xml:space="preserve">[Ni II] 7411.61 </t>
  </si>
  <si>
    <t>Fe, Ni?</t>
  </si>
  <si>
    <t>OH 7438.5</t>
  </si>
  <si>
    <t>N I 7442.30</t>
  </si>
  <si>
    <t>N I 7468.31</t>
  </si>
  <si>
    <t>OH 7483.5</t>
  </si>
  <si>
    <t>He I 7499.85</t>
  </si>
  <si>
    <t>Fe II 7513.1762</t>
  </si>
  <si>
    <t>OH 7524.1</t>
  </si>
  <si>
    <t>[Cl IV] 7530.8</t>
  </si>
  <si>
    <t>OH 7557.5</t>
  </si>
  <si>
    <t>OH 7571.7+</t>
  </si>
  <si>
    <t>Possible blend with weak Deep Neutral UIL</t>
  </si>
  <si>
    <t>OH 7598.4</t>
  </si>
  <si>
    <t>Telluric band starts here</t>
  </si>
  <si>
    <t>Strength overestimated in GLOB-E due to  telluric oversubtraction</t>
  </si>
  <si>
    <t>Same as previous</t>
  </si>
  <si>
    <t>Telluric affect much less here</t>
  </si>
  <si>
    <t>Telluric band ends here</t>
  </si>
  <si>
    <t>Osterbrock has OH 7712 slightly weaker than 7717, so sky contamination is probably &lt; 50%</t>
  </si>
  <si>
    <t>OH 7717+</t>
  </si>
  <si>
    <t>Sky contamination is too strong to measure line</t>
  </si>
  <si>
    <t>OH 7726 should be about 1/4 of 7717, so around 50% sky contamination</t>
  </si>
  <si>
    <t>[Ar III] 7751.10</t>
  </si>
  <si>
    <t>OH 7760+</t>
  </si>
  <si>
    <t>Broad with wing to blue. Probably multiplet blend</t>
  </si>
  <si>
    <t>Slight contamination from sky line</t>
  </si>
  <si>
    <t>Broad with wing to red. Possibly multiplet blend</t>
  </si>
  <si>
    <t>He I 7816.13+</t>
  </si>
  <si>
    <t>Blend with sky line might explain wavelength discrepancy</t>
  </si>
  <si>
    <t>Weak sky line at 7841 has very little effect</t>
  </si>
  <si>
    <t>Strength in GLOB-E overestimated due to 7853 sky blend</t>
  </si>
  <si>
    <t>OH 7861</t>
  </si>
  <si>
    <t>Neutral??</t>
  </si>
  <si>
    <t>Sky 7868 blend. Better measured in YSO</t>
  </si>
  <si>
    <t>OH 7871</t>
  </si>
  <si>
    <t>Low Neb??</t>
  </si>
  <si>
    <t>[P II] 7875.99+</t>
  </si>
  <si>
    <t>Sky 7879 blend. Better measured in YSO</t>
  </si>
  <si>
    <t>OH 7890</t>
  </si>
  <si>
    <t>Sky 7921 blend</t>
  </si>
  <si>
    <t>OH 7949</t>
  </si>
  <si>
    <t>Very strong. Sky 7965 contamination is minor</t>
  </si>
  <si>
    <t>OH 7980</t>
  </si>
  <si>
    <t>OH 7993</t>
  </si>
  <si>
    <t>[Fe II] 7997.03+</t>
  </si>
  <si>
    <t>Some weak diffuse emission</t>
  </si>
  <si>
    <t>****</t>
  </si>
  <si>
    <t>*** aquí voy</t>
  </si>
  <si>
    <t>valor G de n346-nostar-glob-e-peaks-p0002-d0030.csv</t>
  </si>
  <si>
    <t>H I 8267.94</t>
  </si>
  <si>
    <t>valor G de n346-nostar-glob-peaks-p0030-d0030.csv</t>
  </si>
  <si>
    <t>H I 8271.93</t>
  </si>
  <si>
    <t>H I 8286.43</t>
  </si>
  <si>
    <t>H I 8292.31</t>
  </si>
  <si>
    <t>H I, Ni</t>
  </si>
  <si>
    <t>H I 8298.83, [Ni II] 8300.99</t>
  </si>
  <si>
    <t>H I 8306.11</t>
  </si>
  <si>
    <t>H I 8314.26</t>
  </si>
  <si>
    <t>H I 8323.42</t>
  </si>
  <si>
    <t>H I 8333.78</t>
  </si>
  <si>
    <t>H I 8359.00</t>
  </si>
  <si>
    <t>H I 8374.48</t>
  </si>
  <si>
    <t>H I 8392.40</t>
  </si>
  <si>
    <t>H I 8437.96</t>
  </si>
  <si>
    <t>O I 8446.48</t>
  </si>
  <si>
    <t>H I 8467.26</t>
  </si>
  <si>
    <t>H I 8502.49</t>
  </si>
  <si>
    <t>He I 8528.99</t>
  </si>
  <si>
    <t>H I 8665.02</t>
  </si>
  <si>
    <t>[C I] 8727.13</t>
  </si>
  <si>
    <t>He I 8739.04</t>
  </si>
  <si>
    <t>H I 8750.48</t>
  </si>
  <si>
    <t>C_2 8809.841</t>
  </si>
  <si>
    <t>He I 8848.05</t>
  </si>
  <si>
    <t>H I 8862.79</t>
  </si>
  <si>
    <t>Fe</t>
  </si>
  <si>
    <t>[Fe II] 8891.91</t>
  </si>
  <si>
    <t>OH 8988.4</t>
  </si>
  <si>
    <t>OH 9001.4+</t>
  </si>
  <si>
    <t>Impossible to measure the He I line because of sky OH</t>
  </si>
  <si>
    <t>H I 9014.91</t>
  </si>
  <si>
    <t>Sky?</t>
  </si>
  <si>
    <t>Telluric?</t>
  </si>
  <si>
    <t>He I 9063.29</t>
  </si>
  <si>
    <t>[S III] 9068.90</t>
  </si>
  <si>
    <t>[Cl II] 9123.60</t>
  </si>
  <si>
    <t>Bad telluric absorption around here</t>
  </si>
  <si>
    <t>Affected by absorption feature at lambda(obs) 9153</t>
  </si>
  <si>
    <t>Broad. Affected by same absorption</t>
  </si>
  <si>
    <t>YSO only</t>
  </si>
  <si>
    <t>Ca I] 9204.09</t>
  </si>
  <si>
    <t>He I 9210.28</t>
  </si>
  <si>
    <t>H I 9229.01</t>
  </si>
  <si>
    <t>Ca I] 9244.31</t>
  </si>
  <si>
    <t>Diffuse emission is marginal</t>
  </si>
  <si>
    <t>Looks like all these are oversubtraction of some telluric absorption band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</si>
</sst>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B7B7B7"/>
      <name val="Arial"/>
    </font>
    <font>
      <color theme="1"/>
      <name val="Arial"/>
      <scheme val="minor"/>
    </font>
    <font>
      <color rgb="FFB7B7B7"/>
      <name val="Arial"/>
    </font>
    <font>
      <color theme="1"/>
      <name val="Arial"/>
    </font>
    <font>
      <color rgb="FF000000"/>
      <name val="Arial"/>
    </font>
    <font>
      <color rgb="FFB7B7B7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4" xfId="0" applyAlignment="1" applyFill="1" applyFont="1" applyNumberFormat="1">
      <alignment horizontal="left"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Fon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2" fontId="4" numFmtId="4" xfId="0" applyAlignment="1" applyFont="1" applyNumberFormat="1">
      <alignment readingOrder="0"/>
    </xf>
    <xf borderId="0" fillId="2" fontId="5" numFmtId="4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 shrinkToFit="0" vertical="top" wrapText="1"/>
    </xf>
    <xf borderId="0" fillId="0" fontId="3" numFmtId="4" xfId="0" applyFont="1" applyNumberFormat="1"/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2" fontId="6" numFmtId="4" xfId="0" applyAlignment="1" applyFont="1" applyNumberFormat="1">
      <alignment horizontal="right" readingOrder="0"/>
    </xf>
    <xf borderId="0" fillId="3" fontId="3" numFmtId="0" xfId="0" applyAlignment="1" applyFill="1" applyFont="1">
      <alignment readingOrder="0" shrinkToFit="0" vertical="top" wrapText="1"/>
    </xf>
    <xf borderId="0" fillId="3" fontId="3" numFmtId="0" xfId="0" applyAlignment="1" applyFont="1">
      <alignment shrinkToFit="0" vertical="top" wrapText="1"/>
    </xf>
    <xf borderId="0" fillId="2" fontId="4" numFmtId="0" xfId="0" applyAlignment="1" applyFont="1">
      <alignment horizontal="left" readingOrder="0"/>
    </xf>
    <xf borderId="0" fillId="0" fontId="7" numFmtId="4" xfId="0" applyFont="1" applyNumberFormat="1"/>
    <xf borderId="0" fillId="0" fontId="1" numFmtId="4" xfId="0" applyAlignment="1" applyFont="1" applyNumberFormat="1">
      <alignment horizontal="left" readingOrder="0"/>
    </xf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>
        <b/>
        <color rgb="FF000000"/>
      </font>
      <fill>
        <patternFill patternType="none"/>
      </fill>
      <border/>
    </dxf>
    <dxf>
      <font>
        <color rgb="FFB7B7B7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b/>
        <color rgb="FFDD7E6B"/>
      </font>
      <fill>
        <patternFill patternType="none"/>
      </fill>
      <border/>
    </dxf>
    <dxf>
      <font>
        <b/>
        <color theme="1"/>
      </font>
      <fill>
        <patternFill patternType="none"/>
      </fill>
      <border/>
    </dxf>
    <dxf>
      <font>
        <color rgb="FF999999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9.25"/>
    <col customWidth="1" min="3" max="3" width="8.25"/>
    <col customWidth="1" min="4" max="4" width="9.0"/>
    <col customWidth="1" min="5" max="5" width="12.13"/>
    <col customWidth="1" min="7" max="7" width="8.5"/>
    <col customWidth="1" min="9" max="9" width="44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4.0</v>
      </c>
      <c r="B2" s="9" t="s">
        <v>9</v>
      </c>
      <c r="C2" s="10">
        <f t="shared" ref="C2:C469" si="1">4599.94482421875 + 1.25*A2</f>
        <v>4604.944824</v>
      </c>
      <c r="D2" s="11">
        <v>4601.29</v>
      </c>
      <c r="E2" s="9"/>
      <c r="G2" s="12"/>
      <c r="H2" s="13"/>
      <c r="I2" s="14" t="s">
        <v>10</v>
      </c>
    </row>
    <row r="3">
      <c r="A3" s="8">
        <v>7.0</v>
      </c>
      <c r="B3" s="9" t="s">
        <v>9</v>
      </c>
      <c r="C3" s="10">
        <f t="shared" si="1"/>
        <v>4608.694824</v>
      </c>
      <c r="D3" s="12">
        <v>4607.25</v>
      </c>
      <c r="G3" s="15"/>
      <c r="H3" s="13"/>
      <c r="I3" s="16"/>
    </row>
    <row r="4">
      <c r="A4" s="8">
        <v>11.0</v>
      </c>
      <c r="B4" s="9" t="s">
        <v>9</v>
      </c>
      <c r="C4" s="10">
        <f t="shared" si="1"/>
        <v>4613.694824</v>
      </c>
      <c r="D4" s="15"/>
      <c r="G4" s="15"/>
      <c r="H4" s="13"/>
      <c r="I4" s="16"/>
    </row>
    <row r="5">
      <c r="A5" s="8">
        <v>14.0</v>
      </c>
      <c r="B5" s="9" t="s">
        <v>9</v>
      </c>
      <c r="C5" s="10">
        <f t="shared" si="1"/>
        <v>4617.444824</v>
      </c>
      <c r="D5" s="15"/>
      <c r="G5" s="15"/>
      <c r="H5" s="13"/>
      <c r="I5" s="16"/>
    </row>
    <row r="6">
      <c r="A6" s="8">
        <v>22.0</v>
      </c>
      <c r="B6" s="9" t="s">
        <v>9</v>
      </c>
      <c r="C6" s="10">
        <f t="shared" si="1"/>
        <v>4627.444824</v>
      </c>
      <c r="D6" s="15"/>
      <c r="G6" s="15"/>
      <c r="H6" s="13"/>
      <c r="I6" s="16"/>
    </row>
    <row r="7">
      <c r="A7" s="8">
        <v>34.0</v>
      </c>
      <c r="B7" s="9" t="s">
        <v>9</v>
      </c>
      <c r="C7" s="10">
        <f t="shared" si="1"/>
        <v>4642.444824</v>
      </c>
      <c r="D7" s="15"/>
      <c r="G7" s="15"/>
      <c r="H7" s="13"/>
      <c r="I7" s="16"/>
    </row>
    <row r="8">
      <c r="A8" s="8">
        <v>42.0</v>
      </c>
      <c r="B8" s="9" t="s">
        <v>9</v>
      </c>
      <c r="C8" s="10">
        <f t="shared" si="1"/>
        <v>4652.444824</v>
      </c>
      <c r="D8" s="15"/>
      <c r="G8" s="15"/>
      <c r="H8" s="13"/>
      <c r="I8" s="16"/>
    </row>
    <row r="9">
      <c r="A9" s="8">
        <v>49.0</v>
      </c>
      <c r="B9" s="9" t="s">
        <v>9</v>
      </c>
      <c r="C9" s="10">
        <f t="shared" si="1"/>
        <v>4661.194824</v>
      </c>
      <c r="D9" s="12">
        <v>4657.93</v>
      </c>
      <c r="E9" s="9" t="s">
        <v>11</v>
      </c>
      <c r="F9" s="9" t="s">
        <v>12</v>
      </c>
      <c r="G9" s="12">
        <v>0.6</v>
      </c>
      <c r="H9" s="13"/>
      <c r="I9" s="14" t="s">
        <v>13</v>
      </c>
    </row>
    <row r="10">
      <c r="A10" s="8">
        <v>60.0</v>
      </c>
      <c r="B10" s="9" t="s">
        <v>9</v>
      </c>
      <c r="C10" s="10">
        <f t="shared" si="1"/>
        <v>4674.944824</v>
      </c>
      <c r="D10" s="15"/>
      <c r="G10" s="15"/>
      <c r="H10" s="13"/>
      <c r="I10" s="16"/>
    </row>
    <row r="11">
      <c r="A11" s="8">
        <v>67.0</v>
      </c>
      <c r="B11" s="9" t="s">
        <v>9</v>
      </c>
      <c r="C11" s="10">
        <f t="shared" si="1"/>
        <v>4683.694824</v>
      </c>
      <c r="D11" s="15"/>
      <c r="G11" s="15"/>
      <c r="H11" s="13"/>
      <c r="I11" s="16"/>
    </row>
    <row r="12">
      <c r="A12" s="8">
        <v>71.0</v>
      </c>
      <c r="B12" s="9" t="s">
        <v>14</v>
      </c>
      <c r="C12" s="10">
        <f t="shared" si="1"/>
        <v>4688.694824</v>
      </c>
      <c r="D12" s="12">
        <v>4685.55</v>
      </c>
      <c r="E12" s="9" t="s">
        <v>15</v>
      </c>
      <c r="F12" s="9" t="s">
        <v>16</v>
      </c>
      <c r="G12" s="12">
        <v>44.0</v>
      </c>
      <c r="H12" s="13"/>
      <c r="I12" s="16"/>
    </row>
    <row r="13">
      <c r="A13" s="8">
        <v>77.0</v>
      </c>
      <c r="B13" s="9" t="s">
        <v>9</v>
      </c>
      <c r="C13" s="10">
        <f t="shared" si="1"/>
        <v>4696.194824</v>
      </c>
      <c r="D13" s="15"/>
      <c r="G13" s="15"/>
      <c r="H13" s="13"/>
      <c r="I13" s="16"/>
    </row>
    <row r="14">
      <c r="A14" s="8">
        <v>81.0</v>
      </c>
      <c r="B14" s="9" t="s">
        <v>9</v>
      </c>
      <c r="C14" s="10">
        <f t="shared" si="1"/>
        <v>4701.194824</v>
      </c>
      <c r="D14" s="15"/>
      <c r="G14" s="15"/>
      <c r="H14" s="13"/>
      <c r="I14" s="16"/>
    </row>
    <row r="15">
      <c r="A15" s="8">
        <v>91.0</v>
      </c>
      <c r="B15" s="9" t="s">
        <v>14</v>
      </c>
      <c r="C15" s="10">
        <f t="shared" si="1"/>
        <v>4713.694824</v>
      </c>
      <c r="D15" s="12">
        <v>4711.46</v>
      </c>
      <c r="E15" s="9" t="s">
        <v>15</v>
      </c>
      <c r="F15" s="9" t="s">
        <v>17</v>
      </c>
      <c r="G15" s="12">
        <v>79.0</v>
      </c>
      <c r="H15" s="17">
        <v>11.0</v>
      </c>
      <c r="I15" s="16"/>
    </row>
    <row r="16">
      <c r="A16" s="8">
        <v>97.0</v>
      </c>
      <c r="B16" s="9" t="s">
        <v>9</v>
      </c>
      <c r="C16" s="10">
        <f t="shared" si="1"/>
        <v>4721.194824</v>
      </c>
      <c r="D16" s="15"/>
      <c r="G16" s="15"/>
      <c r="H16" s="13"/>
      <c r="I16" s="16"/>
    </row>
    <row r="17">
      <c r="A17" s="8">
        <v>100.0</v>
      </c>
      <c r="B17" s="9" t="s">
        <v>9</v>
      </c>
      <c r="C17" s="10">
        <f t="shared" si="1"/>
        <v>4724.944824</v>
      </c>
      <c r="D17" s="15"/>
      <c r="G17" s="15"/>
      <c r="H17" s="13"/>
      <c r="I17" s="16"/>
    </row>
    <row r="18">
      <c r="A18" s="8">
        <v>105.0</v>
      </c>
      <c r="B18" s="9" t="s">
        <v>9</v>
      </c>
      <c r="C18" s="10">
        <f t="shared" si="1"/>
        <v>4731.194824</v>
      </c>
      <c r="D18" s="15"/>
      <c r="G18" s="15"/>
      <c r="H18" s="13"/>
      <c r="I18" s="16"/>
    </row>
    <row r="19">
      <c r="A19" s="8">
        <v>114.0</v>
      </c>
      <c r="B19" s="9" t="s">
        <v>14</v>
      </c>
      <c r="C19" s="10">
        <f t="shared" si="1"/>
        <v>4742.444824</v>
      </c>
      <c r="D19" s="12">
        <v>4740.08</v>
      </c>
      <c r="E19" s="9" t="s">
        <v>15</v>
      </c>
      <c r="F19" s="9" t="s">
        <v>18</v>
      </c>
      <c r="G19" s="12">
        <v>53.0</v>
      </c>
      <c r="H19" s="17">
        <v>11.0</v>
      </c>
      <c r="I19" s="16"/>
    </row>
    <row r="20">
      <c r="A20" s="8">
        <v>128.0</v>
      </c>
      <c r="B20" s="9" t="s">
        <v>9</v>
      </c>
      <c r="C20" s="10">
        <f t="shared" si="1"/>
        <v>4759.944824</v>
      </c>
      <c r="D20" s="15"/>
      <c r="G20" s="15"/>
      <c r="H20" s="13"/>
      <c r="I20" s="16"/>
    </row>
    <row r="21">
      <c r="A21" s="8">
        <v>136.0</v>
      </c>
      <c r="B21" s="9" t="s">
        <v>9</v>
      </c>
      <c r="C21" s="10">
        <f t="shared" si="1"/>
        <v>4769.944824</v>
      </c>
      <c r="D21" s="15"/>
      <c r="G21" s="15"/>
      <c r="H21" s="13"/>
      <c r="I21" s="16"/>
    </row>
    <row r="22">
      <c r="A22" s="8">
        <v>145.0</v>
      </c>
      <c r="B22" s="9" t="s">
        <v>9</v>
      </c>
      <c r="C22" s="10">
        <f t="shared" si="1"/>
        <v>4781.194824</v>
      </c>
      <c r="D22" s="15"/>
      <c r="G22" s="15"/>
      <c r="H22" s="13"/>
      <c r="I22" s="16"/>
    </row>
    <row r="23">
      <c r="A23" s="8">
        <v>148.0</v>
      </c>
      <c r="B23" s="9" t="s">
        <v>9</v>
      </c>
      <c r="C23" s="10">
        <f t="shared" si="1"/>
        <v>4784.944824</v>
      </c>
      <c r="D23" s="15"/>
      <c r="G23" s="15"/>
      <c r="H23" s="13"/>
      <c r="I23" s="16"/>
    </row>
    <row r="24">
      <c r="A24" s="8">
        <v>157.0</v>
      </c>
      <c r="B24" s="9" t="s">
        <v>9</v>
      </c>
      <c r="C24" s="10">
        <f t="shared" si="1"/>
        <v>4796.194824</v>
      </c>
      <c r="D24" s="15"/>
      <c r="G24" s="15"/>
      <c r="H24" s="13"/>
      <c r="I24" s="16"/>
    </row>
    <row r="25">
      <c r="A25" s="8">
        <v>174.0</v>
      </c>
      <c r="B25" s="9" t="s">
        <v>9</v>
      </c>
      <c r="C25" s="10">
        <f t="shared" si="1"/>
        <v>4817.444824</v>
      </c>
      <c r="D25" s="15"/>
      <c r="G25" s="15"/>
      <c r="H25" s="13"/>
      <c r="I25" s="16"/>
    </row>
    <row r="26">
      <c r="A26" s="8">
        <v>180.0</v>
      </c>
      <c r="B26" s="9" t="s">
        <v>9</v>
      </c>
      <c r="C26" s="10">
        <f t="shared" si="1"/>
        <v>4824.944824</v>
      </c>
      <c r="D26" s="15"/>
      <c r="G26" s="15"/>
      <c r="H26" s="13"/>
      <c r="I26" s="16"/>
    </row>
    <row r="27">
      <c r="A27" s="8">
        <v>190.0</v>
      </c>
      <c r="B27" s="9" t="s">
        <v>9</v>
      </c>
      <c r="C27" s="10">
        <f t="shared" si="1"/>
        <v>4837.444824</v>
      </c>
      <c r="D27" s="15"/>
      <c r="G27" s="15"/>
      <c r="H27" s="13"/>
      <c r="I27" s="16"/>
    </row>
    <row r="28">
      <c r="A28" s="8">
        <v>197.0</v>
      </c>
      <c r="B28" s="9" t="s">
        <v>9</v>
      </c>
      <c r="C28" s="10">
        <f t="shared" si="1"/>
        <v>4846.194824</v>
      </c>
      <c r="D28" s="15"/>
      <c r="G28" s="15"/>
      <c r="H28" s="13"/>
      <c r="I28" s="16"/>
    </row>
    <row r="29">
      <c r="A29" s="8">
        <v>211.0</v>
      </c>
      <c r="B29" s="9" t="s">
        <v>9</v>
      </c>
      <c r="C29" s="10">
        <f t="shared" si="1"/>
        <v>4863.694824</v>
      </c>
      <c r="D29" s="12">
        <v>4861.18</v>
      </c>
      <c r="E29" s="9" t="s">
        <v>19</v>
      </c>
      <c r="F29" s="9" t="s">
        <v>20</v>
      </c>
      <c r="G29" s="12">
        <v>2300.0</v>
      </c>
      <c r="H29" s="13"/>
      <c r="I29" s="16"/>
    </row>
    <row r="30">
      <c r="A30" s="8">
        <v>218.0</v>
      </c>
      <c r="B30" s="9" t="s">
        <v>9</v>
      </c>
      <c r="C30" s="10">
        <f t="shared" si="1"/>
        <v>4872.444824</v>
      </c>
      <c r="D30" s="15"/>
      <c r="G30" s="15"/>
      <c r="H30" s="13"/>
      <c r="I30" s="16"/>
    </row>
    <row r="31">
      <c r="A31" s="8">
        <v>227.0</v>
      </c>
      <c r="B31" s="9" t="s">
        <v>9</v>
      </c>
      <c r="C31" s="10">
        <f t="shared" si="1"/>
        <v>4883.694824</v>
      </c>
      <c r="D31" s="12">
        <v>4881.05</v>
      </c>
      <c r="E31" s="9" t="s">
        <v>11</v>
      </c>
      <c r="F31" s="9" t="s">
        <v>21</v>
      </c>
      <c r="G31" s="12">
        <v>1.2</v>
      </c>
      <c r="H31" s="13"/>
      <c r="I31" s="14" t="s">
        <v>22</v>
      </c>
    </row>
    <row r="32">
      <c r="A32" s="8">
        <v>238.0</v>
      </c>
      <c r="B32" s="9" t="s">
        <v>9</v>
      </c>
      <c r="C32" s="10">
        <f t="shared" si="1"/>
        <v>4897.444824</v>
      </c>
      <c r="D32" s="15"/>
      <c r="G32" s="15"/>
      <c r="H32" s="13"/>
      <c r="I32" s="16"/>
    </row>
    <row r="33">
      <c r="A33" s="8">
        <v>247.0</v>
      </c>
      <c r="B33" s="9" t="s">
        <v>9</v>
      </c>
      <c r="C33" s="10">
        <f t="shared" si="1"/>
        <v>4908.694824</v>
      </c>
      <c r="D33" s="15"/>
      <c r="G33" s="15"/>
      <c r="H33" s="13"/>
      <c r="I33" s="16"/>
    </row>
    <row r="34">
      <c r="A34" s="8">
        <v>253.0</v>
      </c>
      <c r="B34" s="9" t="s">
        <v>9</v>
      </c>
      <c r="C34" s="10">
        <f t="shared" si="1"/>
        <v>4916.194824</v>
      </c>
      <c r="D34" s="15"/>
      <c r="G34" s="15"/>
      <c r="H34" s="13"/>
      <c r="I34" s="16"/>
    </row>
    <row r="35">
      <c r="A35" s="8">
        <v>260.0</v>
      </c>
      <c r="B35" s="9" t="s">
        <v>9</v>
      </c>
      <c r="C35" s="10">
        <f t="shared" si="1"/>
        <v>4924.944824</v>
      </c>
      <c r="D35" s="12">
        <v>4921.75</v>
      </c>
      <c r="E35" s="9" t="s">
        <v>19</v>
      </c>
      <c r="F35" s="9" t="s">
        <v>23</v>
      </c>
      <c r="G35" s="12">
        <v>21.0</v>
      </c>
      <c r="H35" s="17" t="s">
        <v>24</v>
      </c>
      <c r="I35" s="16"/>
    </row>
    <row r="36">
      <c r="A36" s="8">
        <v>268.0</v>
      </c>
      <c r="B36" s="9" t="s">
        <v>9</v>
      </c>
      <c r="C36" s="10">
        <f t="shared" si="1"/>
        <v>4934.944824</v>
      </c>
      <c r="D36" s="15"/>
      <c r="G36" s="15"/>
      <c r="H36" s="13"/>
      <c r="I36" s="16"/>
    </row>
    <row r="37">
      <c r="A37" s="8">
        <v>283.0</v>
      </c>
      <c r="B37" s="9" t="s">
        <v>9</v>
      </c>
      <c r="C37" s="10">
        <f t="shared" si="1"/>
        <v>4953.694824</v>
      </c>
      <c r="D37" s="15"/>
      <c r="G37" s="15"/>
      <c r="H37" s="13"/>
      <c r="I37" s="16"/>
    </row>
    <row r="38">
      <c r="A38" s="8">
        <v>289.0</v>
      </c>
      <c r="B38" s="9" t="s">
        <v>9</v>
      </c>
      <c r="C38" s="10">
        <f t="shared" si="1"/>
        <v>4961.194824</v>
      </c>
      <c r="D38" s="12">
        <v>4958.76</v>
      </c>
      <c r="E38" s="9" t="s">
        <v>19</v>
      </c>
      <c r="F38" s="9" t="s">
        <v>25</v>
      </c>
      <c r="G38" s="12">
        <v>3300.0</v>
      </c>
      <c r="H38" s="13"/>
      <c r="I38" s="16"/>
    </row>
    <row r="39">
      <c r="A39" s="8">
        <v>301.0</v>
      </c>
      <c r="B39" s="9" t="s">
        <v>9</v>
      </c>
      <c r="C39" s="10">
        <f t="shared" si="1"/>
        <v>4976.194824</v>
      </c>
      <c r="D39" s="15"/>
      <c r="G39" s="15"/>
      <c r="H39" s="13"/>
      <c r="I39" s="16"/>
    </row>
    <row r="40">
      <c r="A40" s="8">
        <v>322.0</v>
      </c>
      <c r="B40" s="9" t="s">
        <v>9</v>
      </c>
      <c r="C40" s="10">
        <f t="shared" si="1"/>
        <v>5002.444824</v>
      </c>
      <c r="D40" s="15"/>
      <c r="G40" s="15"/>
      <c r="H40" s="13"/>
      <c r="I40" s="16"/>
    </row>
    <row r="41">
      <c r="A41" s="8">
        <v>328.0</v>
      </c>
      <c r="B41" s="9" t="s">
        <v>9</v>
      </c>
      <c r="C41" s="10">
        <f t="shared" si="1"/>
        <v>5009.944824</v>
      </c>
      <c r="D41" s="12">
        <v>5006.61</v>
      </c>
      <c r="E41" s="9" t="s">
        <v>19</v>
      </c>
      <c r="F41" s="18" t="s">
        <v>26</v>
      </c>
      <c r="G41" s="12">
        <v>9500.0</v>
      </c>
      <c r="H41" s="13"/>
      <c r="I41" s="16"/>
    </row>
    <row r="42">
      <c r="A42" s="8">
        <v>335.0</v>
      </c>
      <c r="B42" s="9" t="s">
        <v>9</v>
      </c>
      <c r="C42" s="10">
        <f t="shared" si="1"/>
        <v>5018.694824</v>
      </c>
      <c r="D42" s="12">
        <v>5015.43</v>
      </c>
      <c r="E42" s="9" t="s">
        <v>19</v>
      </c>
      <c r="F42" s="9" t="s">
        <v>27</v>
      </c>
      <c r="G42" s="12">
        <v>36.0</v>
      </c>
      <c r="H42" s="17" t="s">
        <v>28</v>
      </c>
      <c r="I42" s="16"/>
    </row>
    <row r="43">
      <c r="A43" s="8">
        <v>347.0</v>
      </c>
      <c r="B43" s="9" t="s">
        <v>9</v>
      </c>
      <c r="C43" s="10">
        <f t="shared" si="1"/>
        <v>5033.694824</v>
      </c>
      <c r="D43" s="15"/>
      <c r="G43" s="12"/>
      <c r="H43" s="13"/>
      <c r="I43" s="16"/>
    </row>
    <row r="44">
      <c r="A44" s="8">
        <v>356.0</v>
      </c>
      <c r="B44" s="9" t="s">
        <v>9</v>
      </c>
      <c r="C44" s="10">
        <f t="shared" si="1"/>
        <v>5044.944824</v>
      </c>
      <c r="D44" s="12">
        <v>5041.47</v>
      </c>
      <c r="E44" s="9" t="s">
        <v>29</v>
      </c>
      <c r="F44" s="9" t="s">
        <v>30</v>
      </c>
      <c r="G44" s="12">
        <v>2.9</v>
      </c>
      <c r="H44" s="17" t="s">
        <v>31</v>
      </c>
      <c r="I44" s="14" t="s">
        <v>32</v>
      </c>
    </row>
    <row r="45">
      <c r="A45" s="8">
        <v>360.0</v>
      </c>
      <c r="B45" s="9" t="s">
        <v>9</v>
      </c>
      <c r="C45" s="10">
        <f t="shared" si="1"/>
        <v>5049.944824</v>
      </c>
      <c r="D45" s="12">
        <v>5047.36</v>
      </c>
      <c r="E45" s="9" t="s">
        <v>19</v>
      </c>
      <c r="F45" s="9" t="s">
        <v>33</v>
      </c>
      <c r="G45" s="12">
        <v>4.0</v>
      </c>
      <c r="H45" s="17">
        <v>11.0</v>
      </c>
      <c r="I45" s="16"/>
    </row>
    <row r="46">
      <c r="A46" s="8">
        <v>367.0</v>
      </c>
      <c r="B46" s="9" t="s">
        <v>9</v>
      </c>
      <c r="C46" s="10">
        <f t="shared" si="1"/>
        <v>5058.694824</v>
      </c>
      <c r="D46" s="12">
        <v>5056.14</v>
      </c>
      <c r="E46" s="9" t="s">
        <v>29</v>
      </c>
      <c r="F46" s="9" t="s">
        <v>34</v>
      </c>
      <c r="G46" s="12">
        <v>7.3</v>
      </c>
      <c r="H46" s="17">
        <v>11.0</v>
      </c>
      <c r="I46" s="16"/>
    </row>
    <row r="47">
      <c r="A47" s="8">
        <v>382.0</v>
      </c>
      <c r="B47" s="9" t="s">
        <v>9</v>
      </c>
      <c r="C47" s="10">
        <f t="shared" si="1"/>
        <v>5077.444824</v>
      </c>
      <c r="D47" s="15"/>
      <c r="G47" s="15"/>
      <c r="H47" s="13"/>
      <c r="I47" s="16"/>
    </row>
    <row r="48">
      <c r="A48" s="8">
        <v>385.0</v>
      </c>
      <c r="B48" s="9" t="s">
        <v>9</v>
      </c>
      <c r="C48" s="10">
        <f t="shared" si="1"/>
        <v>5081.194824</v>
      </c>
      <c r="D48" s="15"/>
      <c r="G48" s="15"/>
      <c r="H48" s="13"/>
      <c r="I48" s="16"/>
    </row>
    <row r="49">
      <c r="A49" s="8">
        <v>391.0</v>
      </c>
      <c r="B49" s="9" t="s">
        <v>9</v>
      </c>
      <c r="C49" s="10">
        <f t="shared" si="1"/>
        <v>5088.694824</v>
      </c>
      <c r="D49" s="15"/>
      <c r="G49" s="15"/>
      <c r="H49" s="13"/>
      <c r="I49" s="16"/>
    </row>
    <row r="50">
      <c r="A50" s="8">
        <v>395.0</v>
      </c>
      <c r="B50" s="9" t="s">
        <v>9</v>
      </c>
      <c r="C50" s="10">
        <f t="shared" si="1"/>
        <v>5093.694824</v>
      </c>
      <c r="D50" s="15"/>
      <c r="G50" s="15"/>
      <c r="H50" s="13"/>
      <c r="I50" s="16"/>
    </row>
    <row r="51">
      <c r="A51" s="8">
        <v>401.0</v>
      </c>
      <c r="B51" s="9" t="s">
        <v>9</v>
      </c>
      <c r="C51" s="10">
        <f t="shared" si="1"/>
        <v>5101.194824</v>
      </c>
      <c r="D51" s="15"/>
      <c r="G51" s="15"/>
      <c r="H51" s="13"/>
      <c r="I51" s="16"/>
    </row>
    <row r="52">
      <c r="A52" s="8">
        <v>407.0</v>
      </c>
      <c r="B52" s="9" t="s">
        <v>9</v>
      </c>
      <c r="C52" s="10">
        <f t="shared" si="1"/>
        <v>5108.694824</v>
      </c>
      <c r="D52" s="15"/>
      <c r="G52" s="15"/>
      <c r="H52" s="13"/>
      <c r="I52" s="16"/>
    </row>
    <row r="53">
      <c r="A53" s="8">
        <v>414.0</v>
      </c>
      <c r="B53" s="9" t="s">
        <v>9</v>
      </c>
      <c r="C53" s="10">
        <f t="shared" si="1"/>
        <v>5117.444824</v>
      </c>
      <c r="D53" s="15"/>
      <c r="G53" s="15"/>
      <c r="H53" s="13"/>
      <c r="I53" s="16"/>
    </row>
    <row r="54">
      <c r="A54" s="8">
        <v>417.0</v>
      </c>
      <c r="B54" s="9" t="s">
        <v>9</v>
      </c>
      <c r="C54" s="10">
        <f t="shared" si="1"/>
        <v>5121.194824</v>
      </c>
      <c r="D54" s="15"/>
      <c r="G54" s="15"/>
      <c r="H54" s="13"/>
      <c r="I54" s="16"/>
    </row>
    <row r="55">
      <c r="A55" s="8">
        <v>428.0</v>
      </c>
      <c r="B55" s="9" t="s">
        <v>9</v>
      </c>
      <c r="C55" s="10">
        <f t="shared" si="1"/>
        <v>5134.944824</v>
      </c>
      <c r="D55" s="15"/>
      <c r="G55" s="15"/>
      <c r="H55" s="13"/>
      <c r="I55" s="16"/>
    </row>
    <row r="56">
      <c r="A56" s="8">
        <v>441.0</v>
      </c>
      <c r="B56" s="9" t="s">
        <v>9</v>
      </c>
      <c r="C56" s="10">
        <f t="shared" si="1"/>
        <v>5151.194824</v>
      </c>
      <c r="D56" s="15"/>
      <c r="G56" s="15"/>
      <c r="H56" s="13"/>
      <c r="I56" s="16"/>
    </row>
    <row r="57">
      <c r="A57" s="8">
        <v>449.0</v>
      </c>
      <c r="B57" s="9" t="s">
        <v>9</v>
      </c>
      <c r="C57" s="10">
        <f t="shared" si="1"/>
        <v>5161.194824</v>
      </c>
      <c r="D57" s="12">
        <v>5158.5</v>
      </c>
      <c r="E57" s="9" t="s">
        <v>11</v>
      </c>
      <c r="F57" s="9" t="s">
        <v>35</v>
      </c>
      <c r="G57" s="12">
        <v>4.4</v>
      </c>
      <c r="H57" s="17">
        <v>11.0</v>
      </c>
      <c r="I57" s="14" t="s">
        <v>36</v>
      </c>
    </row>
    <row r="58">
      <c r="A58" s="8">
        <v>465.0</v>
      </c>
      <c r="B58" s="9" t="s">
        <v>9</v>
      </c>
      <c r="C58" s="10">
        <f t="shared" si="1"/>
        <v>5181.194824</v>
      </c>
      <c r="D58" s="15"/>
      <c r="G58" s="15"/>
      <c r="H58" s="13"/>
      <c r="I58" s="16"/>
    </row>
    <row r="59">
      <c r="A59" s="8">
        <v>475.0</v>
      </c>
      <c r="B59" s="9" t="s">
        <v>9</v>
      </c>
      <c r="C59" s="10">
        <f t="shared" si="1"/>
        <v>5193.694824</v>
      </c>
      <c r="D59" s="12">
        <v>5191.18</v>
      </c>
      <c r="E59" s="9" t="s">
        <v>19</v>
      </c>
      <c r="F59" s="9" t="s">
        <v>37</v>
      </c>
      <c r="G59" s="12">
        <v>1.8</v>
      </c>
      <c r="H59" s="17" t="s">
        <v>24</v>
      </c>
      <c r="I59" s="16"/>
    </row>
    <row r="60">
      <c r="A60" s="8">
        <v>482.0</v>
      </c>
      <c r="B60" s="9" t="s">
        <v>9</v>
      </c>
      <c r="C60" s="10">
        <f t="shared" si="1"/>
        <v>5202.444824</v>
      </c>
      <c r="D60" s="12">
        <v>5199.1</v>
      </c>
      <c r="E60" s="9" t="s">
        <v>38</v>
      </c>
      <c r="F60" s="9" t="s">
        <v>39</v>
      </c>
      <c r="G60" s="12">
        <v>6.5</v>
      </c>
      <c r="H60" s="17">
        <v>101.0</v>
      </c>
      <c r="I60" s="16"/>
    </row>
    <row r="61">
      <c r="A61" s="8">
        <v>492.0</v>
      </c>
      <c r="B61" s="9" t="s">
        <v>9</v>
      </c>
      <c r="C61" s="10">
        <f t="shared" si="1"/>
        <v>5214.944824</v>
      </c>
      <c r="D61" s="15"/>
      <c r="G61" s="15"/>
      <c r="H61" s="13"/>
      <c r="I61" s="16"/>
    </row>
    <row r="62">
      <c r="A62" s="8">
        <v>498.0</v>
      </c>
      <c r="B62" s="9" t="s">
        <v>9</v>
      </c>
      <c r="C62" s="10">
        <f t="shared" si="1"/>
        <v>5222.444824</v>
      </c>
      <c r="D62" s="15"/>
      <c r="E62" s="9" t="s">
        <v>29</v>
      </c>
      <c r="F62" s="9" t="s">
        <v>40</v>
      </c>
      <c r="G62" s="15"/>
      <c r="H62" s="13"/>
      <c r="I62" s="14" t="s">
        <v>41</v>
      </c>
    </row>
    <row r="63">
      <c r="A63" s="8">
        <v>518.0</v>
      </c>
      <c r="B63" s="9" t="s">
        <v>9</v>
      </c>
      <c r="C63" s="10">
        <f t="shared" si="1"/>
        <v>5247.444824</v>
      </c>
      <c r="D63" s="15"/>
      <c r="G63" s="15"/>
      <c r="H63" s="13"/>
      <c r="I63" s="16"/>
    </row>
    <row r="64">
      <c r="A64" s="8">
        <v>531.0</v>
      </c>
      <c r="B64" s="9" t="s">
        <v>9</v>
      </c>
      <c r="C64" s="10">
        <f t="shared" si="1"/>
        <v>5263.694824</v>
      </c>
      <c r="D64" s="15"/>
      <c r="E64" s="9" t="s">
        <v>11</v>
      </c>
      <c r="F64" s="9" t="s">
        <v>42</v>
      </c>
      <c r="G64" s="15"/>
      <c r="H64" s="13"/>
      <c r="I64" s="14" t="s">
        <v>41</v>
      </c>
    </row>
    <row r="65">
      <c r="A65" s="8">
        <v>541.0</v>
      </c>
      <c r="B65" s="9" t="s">
        <v>9</v>
      </c>
      <c r="C65" s="10">
        <f t="shared" si="1"/>
        <v>5276.194824</v>
      </c>
      <c r="D65" s="15"/>
      <c r="E65" s="9" t="s">
        <v>11</v>
      </c>
      <c r="F65" s="9" t="s">
        <v>43</v>
      </c>
      <c r="G65" s="15"/>
      <c r="H65" s="13"/>
      <c r="I65" s="14" t="s">
        <v>44</v>
      </c>
    </row>
    <row r="66">
      <c r="A66" s="8">
        <v>552.0</v>
      </c>
      <c r="B66" s="9" t="s">
        <v>9</v>
      </c>
      <c r="C66" s="10">
        <f t="shared" si="1"/>
        <v>5289.944824</v>
      </c>
      <c r="D66" s="15"/>
      <c r="G66" s="15"/>
      <c r="H66" s="13"/>
      <c r="I66" s="16"/>
    </row>
    <row r="67">
      <c r="A67" s="8">
        <v>556.0</v>
      </c>
      <c r="B67" s="9" t="s">
        <v>9</v>
      </c>
      <c r="C67" s="10">
        <f t="shared" si="1"/>
        <v>5294.944824</v>
      </c>
      <c r="D67" s="15"/>
      <c r="G67" s="15"/>
      <c r="H67" s="13"/>
      <c r="I67" s="16"/>
    </row>
    <row r="68">
      <c r="A68" s="8">
        <v>566.0</v>
      </c>
      <c r="B68" s="9" t="s">
        <v>9</v>
      </c>
      <c r="C68" s="10">
        <f t="shared" si="1"/>
        <v>5307.444824</v>
      </c>
      <c r="D68" s="15"/>
      <c r="G68" s="15"/>
      <c r="H68" s="13"/>
      <c r="I68" s="16"/>
    </row>
    <row r="69">
      <c r="A69" s="8">
        <v>569.0</v>
      </c>
      <c r="B69" s="9" t="s">
        <v>9</v>
      </c>
      <c r="C69" s="10">
        <f t="shared" si="1"/>
        <v>5311.194824</v>
      </c>
      <c r="D69" s="15"/>
      <c r="G69" s="15"/>
      <c r="H69" s="13"/>
      <c r="I69" s="16"/>
    </row>
    <row r="70">
      <c r="A70" s="8">
        <v>580.0</v>
      </c>
      <c r="B70" s="9" t="s">
        <v>9</v>
      </c>
      <c r="C70" s="10">
        <f t="shared" si="1"/>
        <v>5324.944824</v>
      </c>
      <c r="D70" s="15"/>
      <c r="G70" s="15"/>
      <c r="H70" s="13"/>
      <c r="I70" s="16"/>
    </row>
    <row r="71">
      <c r="A71" s="8">
        <v>589.0</v>
      </c>
      <c r="B71" s="9" t="s">
        <v>9</v>
      </c>
      <c r="C71" s="10">
        <f t="shared" si="1"/>
        <v>5336.194824</v>
      </c>
      <c r="D71" s="15"/>
      <c r="G71" s="15"/>
      <c r="H71" s="13"/>
      <c r="I71" s="16"/>
    </row>
    <row r="72">
      <c r="A72" s="8">
        <v>598.0</v>
      </c>
      <c r="B72" s="9" t="s">
        <v>9</v>
      </c>
      <c r="C72" s="10">
        <f t="shared" si="1"/>
        <v>5347.444824</v>
      </c>
      <c r="D72" s="15"/>
      <c r="G72" s="15"/>
      <c r="H72" s="13"/>
      <c r="I72" s="16"/>
    </row>
    <row r="73">
      <c r="A73" s="8">
        <v>607.0</v>
      </c>
      <c r="B73" s="9" t="s">
        <v>9</v>
      </c>
      <c r="C73" s="10">
        <f t="shared" si="1"/>
        <v>5358.694824</v>
      </c>
      <c r="D73" s="15"/>
      <c r="G73" s="15"/>
      <c r="H73" s="13"/>
      <c r="I73" s="16"/>
    </row>
    <row r="74">
      <c r="A74" s="8">
        <v>623.0</v>
      </c>
      <c r="B74" s="9" t="s">
        <v>9</v>
      </c>
      <c r="C74" s="10">
        <f t="shared" si="1"/>
        <v>5378.694824</v>
      </c>
      <c r="D74" s="15"/>
      <c r="G74" s="15"/>
      <c r="H74" s="13"/>
      <c r="I74" s="16"/>
    </row>
    <row r="75">
      <c r="A75" s="8">
        <v>628.0</v>
      </c>
      <c r="B75" s="9" t="s">
        <v>9</v>
      </c>
      <c r="C75" s="10">
        <f t="shared" si="1"/>
        <v>5384.944824</v>
      </c>
      <c r="D75" s="15"/>
      <c r="G75" s="15"/>
      <c r="H75" s="13"/>
      <c r="I75" s="16"/>
    </row>
    <row r="76">
      <c r="A76" s="8">
        <v>632.0</v>
      </c>
      <c r="B76" s="9" t="s">
        <v>9</v>
      </c>
      <c r="C76" s="10">
        <f t="shared" si="1"/>
        <v>5389.944824</v>
      </c>
      <c r="D76" s="15"/>
      <c r="G76" s="15"/>
      <c r="H76" s="13"/>
      <c r="I76" s="16"/>
    </row>
    <row r="77">
      <c r="A77" s="8">
        <v>642.0</v>
      </c>
      <c r="B77" s="9" t="s">
        <v>9</v>
      </c>
      <c r="C77" s="10">
        <f t="shared" si="1"/>
        <v>5402.444824</v>
      </c>
      <c r="D77" s="15"/>
      <c r="G77" s="15"/>
      <c r="H77" s="13"/>
      <c r="I77" s="16"/>
    </row>
    <row r="78">
      <c r="A78" s="8">
        <v>649.0</v>
      </c>
      <c r="B78" s="9" t="s">
        <v>9</v>
      </c>
      <c r="C78" s="10">
        <f t="shared" si="1"/>
        <v>5411.194824</v>
      </c>
      <c r="D78" s="15"/>
      <c r="G78" s="15"/>
      <c r="H78" s="13"/>
      <c r="I78" s="16"/>
    </row>
    <row r="79">
      <c r="A79" s="8">
        <v>653.0</v>
      </c>
      <c r="B79" s="9" t="s">
        <v>9</v>
      </c>
      <c r="C79" s="10">
        <f t="shared" si="1"/>
        <v>5416.194824</v>
      </c>
      <c r="D79" s="15"/>
      <c r="G79" s="15"/>
      <c r="H79" s="13"/>
      <c r="I79" s="16"/>
    </row>
    <row r="80">
      <c r="A80" s="8">
        <v>660.0</v>
      </c>
      <c r="B80" s="9" t="s">
        <v>9</v>
      </c>
      <c r="C80" s="10">
        <f t="shared" si="1"/>
        <v>5424.944824</v>
      </c>
      <c r="D80" s="15"/>
      <c r="G80" s="15"/>
      <c r="H80" s="13"/>
      <c r="I80" s="16"/>
    </row>
    <row r="81">
      <c r="A81" s="8">
        <v>664.0</v>
      </c>
      <c r="B81" s="9" t="s">
        <v>9</v>
      </c>
      <c r="C81" s="10">
        <f t="shared" si="1"/>
        <v>5429.944824</v>
      </c>
      <c r="D81" s="15"/>
      <c r="G81" s="15"/>
      <c r="H81" s="13"/>
      <c r="I81" s="16"/>
    </row>
    <row r="82">
      <c r="A82" s="8">
        <v>668.0</v>
      </c>
      <c r="B82" s="9" t="s">
        <v>9</v>
      </c>
      <c r="C82" s="10">
        <f t="shared" si="1"/>
        <v>5434.944824</v>
      </c>
      <c r="D82" s="15"/>
      <c r="G82" s="15"/>
      <c r="H82" s="13"/>
      <c r="I82" s="16"/>
    </row>
    <row r="83">
      <c r="A83" s="8">
        <v>673.0</v>
      </c>
      <c r="B83" s="9" t="s">
        <v>9</v>
      </c>
      <c r="C83" s="10">
        <f t="shared" si="1"/>
        <v>5441.194824</v>
      </c>
      <c r="D83" s="15"/>
      <c r="G83" s="15"/>
      <c r="H83" s="13"/>
      <c r="I83" s="16"/>
    </row>
    <row r="84">
      <c r="A84" s="8">
        <v>683.0</v>
      </c>
      <c r="B84" s="9" t="s">
        <v>9</v>
      </c>
      <c r="C84" s="10">
        <f t="shared" si="1"/>
        <v>5453.694824</v>
      </c>
      <c r="D84" s="15"/>
      <c r="G84" s="15"/>
      <c r="H84" s="13"/>
      <c r="I84" s="16"/>
    </row>
    <row r="85">
      <c r="A85" s="8">
        <v>689.0</v>
      </c>
      <c r="B85" s="9" t="s">
        <v>9</v>
      </c>
      <c r="C85" s="10">
        <f t="shared" si="1"/>
        <v>5461.194824</v>
      </c>
      <c r="D85" s="15"/>
      <c r="G85" s="15"/>
      <c r="H85" s="13"/>
      <c r="I85" s="16"/>
    </row>
    <row r="86">
      <c r="A86" s="8">
        <v>695.0</v>
      </c>
      <c r="B86" s="9" t="s">
        <v>9</v>
      </c>
      <c r="C86" s="10">
        <f t="shared" si="1"/>
        <v>5468.694824</v>
      </c>
      <c r="D86" s="15"/>
      <c r="G86" s="15"/>
      <c r="H86" s="13"/>
      <c r="I86" s="16"/>
    </row>
    <row r="87">
      <c r="A87" s="8">
        <v>698.0</v>
      </c>
      <c r="B87" s="9" t="s">
        <v>9</v>
      </c>
      <c r="C87" s="10">
        <f t="shared" si="1"/>
        <v>5472.444824</v>
      </c>
      <c r="D87" s="15"/>
      <c r="G87" s="15"/>
      <c r="H87" s="13"/>
      <c r="I87" s="16"/>
    </row>
    <row r="88">
      <c r="A88" s="8">
        <v>708.0</v>
      </c>
      <c r="B88" s="9" t="s">
        <v>9</v>
      </c>
      <c r="C88" s="10">
        <f t="shared" si="1"/>
        <v>5484.944824</v>
      </c>
      <c r="D88" s="15"/>
      <c r="G88" s="15"/>
      <c r="H88" s="13"/>
      <c r="I88" s="16"/>
    </row>
    <row r="89">
      <c r="A89" s="8">
        <v>713.0</v>
      </c>
      <c r="B89" s="9" t="s">
        <v>9</v>
      </c>
      <c r="C89" s="10">
        <f t="shared" si="1"/>
        <v>5491.194824</v>
      </c>
      <c r="D89" s="15"/>
      <c r="G89" s="15"/>
      <c r="H89" s="13"/>
      <c r="I89" s="16"/>
    </row>
    <row r="90">
      <c r="A90" s="8">
        <v>727.0</v>
      </c>
      <c r="B90" s="9" t="s">
        <v>9</v>
      </c>
      <c r="C90" s="10">
        <f t="shared" si="1"/>
        <v>5508.694824</v>
      </c>
      <c r="D90" s="15"/>
      <c r="G90" s="15"/>
      <c r="H90" s="13"/>
      <c r="I90" s="16"/>
    </row>
    <row r="91">
      <c r="A91" s="8">
        <v>737.0</v>
      </c>
      <c r="B91" s="9" t="s">
        <v>9</v>
      </c>
      <c r="C91" s="10">
        <f t="shared" si="1"/>
        <v>5521.194824</v>
      </c>
      <c r="D91" s="12">
        <v>5517.48</v>
      </c>
      <c r="E91" s="9" t="s">
        <v>19</v>
      </c>
      <c r="F91" s="9" t="s">
        <v>45</v>
      </c>
      <c r="G91" s="12">
        <v>8.1</v>
      </c>
      <c r="H91" s="17" t="s">
        <v>24</v>
      </c>
      <c r="I91" s="16"/>
    </row>
    <row r="92">
      <c r="A92" s="8">
        <v>747.0</v>
      </c>
      <c r="B92" s="9" t="s">
        <v>9</v>
      </c>
      <c r="C92" s="10">
        <f t="shared" si="1"/>
        <v>5533.694824</v>
      </c>
      <c r="D92" s="15"/>
      <c r="E92" s="9" t="s">
        <v>46</v>
      </c>
      <c r="F92" s="19"/>
      <c r="G92" s="15"/>
      <c r="H92" s="13"/>
      <c r="I92" s="16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8">
        <v>753.0</v>
      </c>
      <c r="B93" s="9" t="s">
        <v>9</v>
      </c>
      <c r="C93" s="10">
        <f t="shared" si="1"/>
        <v>5541.194824</v>
      </c>
      <c r="D93" s="12">
        <v>5537.66</v>
      </c>
      <c r="E93" s="9" t="s">
        <v>19</v>
      </c>
      <c r="F93" s="9" t="s">
        <v>47</v>
      </c>
      <c r="G93" s="12">
        <v>5.2</v>
      </c>
      <c r="H93" s="17" t="s">
        <v>24</v>
      </c>
      <c r="I93" s="16"/>
    </row>
    <row r="94">
      <c r="A94" s="8">
        <v>785.0</v>
      </c>
      <c r="B94" s="9" t="s">
        <v>9</v>
      </c>
      <c r="C94" s="10">
        <f t="shared" si="1"/>
        <v>5581.194824</v>
      </c>
      <c r="D94" s="15"/>
      <c r="F94" s="9" t="s">
        <v>48</v>
      </c>
      <c r="G94" s="15"/>
      <c r="H94" s="13"/>
      <c r="I94" s="14" t="s">
        <v>41</v>
      </c>
    </row>
    <row r="95">
      <c r="A95" s="8">
        <v>790.0</v>
      </c>
      <c r="B95" s="9" t="s">
        <v>9</v>
      </c>
      <c r="C95" s="10">
        <f t="shared" si="1"/>
        <v>5587.444824</v>
      </c>
      <c r="D95" s="15"/>
      <c r="G95" s="15"/>
      <c r="H95" s="13"/>
      <c r="I95" s="16"/>
    </row>
    <row r="96">
      <c r="A96" s="8">
        <v>797.0</v>
      </c>
      <c r="B96" s="9" t="s">
        <v>9</v>
      </c>
      <c r="C96" s="10">
        <f t="shared" si="1"/>
        <v>5596.194824</v>
      </c>
      <c r="D96" s="15"/>
      <c r="G96" s="15"/>
      <c r="H96" s="13"/>
      <c r="I96" s="16"/>
    </row>
    <row r="97">
      <c r="A97" s="8">
        <v>800.0</v>
      </c>
      <c r="B97" s="9" t="s">
        <v>9</v>
      </c>
      <c r="C97" s="10">
        <f t="shared" si="1"/>
        <v>5599.944824</v>
      </c>
      <c r="D97" s="15"/>
      <c r="G97" s="15"/>
      <c r="H97" s="13"/>
      <c r="I97" s="16"/>
    </row>
    <row r="98">
      <c r="A98" s="8">
        <v>809.0</v>
      </c>
      <c r="B98" s="9" t="s">
        <v>9</v>
      </c>
      <c r="C98" s="10">
        <f t="shared" si="1"/>
        <v>5611.194824</v>
      </c>
      <c r="D98" s="15"/>
      <c r="G98" s="15"/>
      <c r="H98" s="13"/>
      <c r="I98" s="16"/>
    </row>
    <row r="99">
      <c r="A99" s="8">
        <v>819.0</v>
      </c>
      <c r="B99" s="9" t="s">
        <v>9</v>
      </c>
      <c r="C99" s="10">
        <f t="shared" si="1"/>
        <v>5623.694824</v>
      </c>
      <c r="D99" s="15"/>
      <c r="G99" s="15"/>
      <c r="H99" s="13"/>
      <c r="I99" s="16"/>
    </row>
    <row r="100">
      <c r="A100" s="8">
        <v>825.0</v>
      </c>
      <c r="B100" s="9" t="s">
        <v>9</v>
      </c>
      <c r="C100" s="10">
        <f t="shared" si="1"/>
        <v>5631.194824</v>
      </c>
      <c r="D100" s="15"/>
      <c r="G100" s="15"/>
      <c r="H100" s="13"/>
      <c r="I100" s="16"/>
    </row>
    <row r="101">
      <c r="A101" s="8">
        <v>829.0</v>
      </c>
      <c r="B101" s="9" t="s">
        <v>9</v>
      </c>
      <c r="C101" s="10">
        <f t="shared" si="1"/>
        <v>5636.194824</v>
      </c>
      <c r="D101" s="15"/>
      <c r="G101" s="15"/>
      <c r="H101" s="13"/>
      <c r="I101" s="16"/>
    </row>
    <row r="102">
      <c r="A102" s="8">
        <v>834.0</v>
      </c>
      <c r="B102" s="9" t="s">
        <v>9</v>
      </c>
      <c r="C102" s="10">
        <f t="shared" si="1"/>
        <v>5642.444824</v>
      </c>
      <c r="D102" s="15"/>
      <c r="G102" s="15"/>
      <c r="H102" s="13"/>
      <c r="I102" s="16"/>
    </row>
    <row r="103">
      <c r="A103" s="8">
        <v>842.0</v>
      </c>
      <c r="B103" s="9" t="s">
        <v>9</v>
      </c>
      <c r="C103" s="10">
        <f t="shared" si="1"/>
        <v>5652.444824</v>
      </c>
      <c r="D103" s="15"/>
      <c r="G103" s="15"/>
      <c r="H103" s="13"/>
      <c r="I103" s="16"/>
    </row>
    <row r="104">
      <c r="A104" s="8">
        <v>851.0</v>
      </c>
      <c r="B104" s="9" t="s">
        <v>9</v>
      </c>
      <c r="C104" s="10">
        <f t="shared" si="1"/>
        <v>5663.694824</v>
      </c>
      <c r="D104" s="15"/>
      <c r="G104" s="15"/>
      <c r="H104" s="13"/>
      <c r="I104" s="16"/>
    </row>
    <row r="105">
      <c r="A105" s="8">
        <v>865.0</v>
      </c>
      <c r="B105" s="9" t="s">
        <v>9</v>
      </c>
      <c r="C105" s="10">
        <f t="shared" si="1"/>
        <v>5681.194824</v>
      </c>
      <c r="D105" s="15"/>
      <c r="G105" s="15"/>
      <c r="H105" s="13"/>
      <c r="I105" s="16"/>
    </row>
    <row r="106">
      <c r="A106" s="8">
        <v>868.0</v>
      </c>
      <c r="B106" s="9" t="s">
        <v>9</v>
      </c>
      <c r="C106" s="10">
        <f t="shared" si="1"/>
        <v>5684.944824</v>
      </c>
      <c r="D106" s="15"/>
      <c r="G106" s="15"/>
      <c r="H106" s="13"/>
      <c r="I106" s="16"/>
    </row>
    <row r="107">
      <c r="A107" s="8">
        <v>874.0</v>
      </c>
      <c r="B107" s="9" t="s">
        <v>9</v>
      </c>
      <c r="C107" s="10">
        <f t="shared" si="1"/>
        <v>5692.444824</v>
      </c>
      <c r="D107" s="15"/>
      <c r="G107" s="15"/>
      <c r="H107" s="13"/>
      <c r="I107" s="16"/>
    </row>
    <row r="108">
      <c r="A108" s="8">
        <v>900.0</v>
      </c>
      <c r="B108" s="9" t="s">
        <v>9</v>
      </c>
      <c r="C108" s="10">
        <f t="shared" si="1"/>
        <v>5724.944824</v>
      </c>
      <c r="D108" s="15"/>
      <c r="G108" s="15"/>
      <c r="H108" s="13"/>
      <c r="I108" s="16"/>
    </row>
    <row r="109">
      <c r="A109" s="8">
        <v>903.0</v>
      </c>
      <c r="B109" s="9" t="s">
        <v>9</v>
      </c>
      <c r="C109" s="10">
        <f t="shared" si="1"/>
        <v>5728.694824</v>
      </c>
      <c r="D109" s="15"/>
      <c r="G109" s="15"/>
      <c r="H109" s="13"/>
      <c r="I109" s="16"/>
    </row>
    <row r="110">
      <c r="A110" s="8">
        <v>911.0</v>
      </c>
      <c r="B110" s="9" t="s">
        <v>9</v>
      </c>
      <c r="C110" s="10">
        <f t="shared" si="1"/>
        <v>5738.694824</v>
      </c>
      <c r="D110" s="15"/>
      <c r="G110" s="15"/>
      <c r="H110" s="13"/>
      <c r="I110" s="16"/>
    </row>
    <row r="111">
      <c r="A111" s="8">
        <v>914.0</v>
      </c>
      <c r="B111" s="9" t="s">
        <v>14</v>
      </c>
      <c r="C111" s="10">
        <f t="shared" si="1"/>
        <v>5742.444824</v>
      </c>
      <c r="D111" s="12">
        <v>5739.64</v>
      </c>
      <c r="E111" s="9" t="s">
        <v>49</v>
      </c>
      <c r="F111" s="9" t="s">
        <v>50</v>
      </c>
      <c r="G111" s="12">
        <v>2.3</v>
      </c>
      <c r="H111" s="13"/>
      <c r="I111" s="14" t="s">
        <v>51</v>
      </c>
    </row>
    <row r="112">
      <c r="A112" s="8">
        <v>920.0</v>
      </c>
      <c r="B112" s="9" t="s">
        <v>9</v>
      </c>
      <c r="C112" s="10">
        <f t="shared" si="1"/>
        <v>5749.944824</v>
      </c>
      <c r="G112" s="15"/>
      <c r="H112" s="13"/>
      <c r="I112" s="16"/>
    </row>
    <row r="113">
      <c r="A113" s="8">
        <v>926.0</v>
      </c>
      <c r="B113" s="9" t="s">
        <v>9</v>
      </c>
      <c r="C113" s="10">
        <f t="shared" si="1"/>
        <v>5757.444824</v>
      </c>
      <c r="D113" s="12">
        <v>5754.69</v>
      </c>
      <c r="E113" s="9" t="s">
        <v>52</v>
      </c>
      <c r="F113" s="9" t="s">
        <v>53</v>
      </c>
      <c r="G113" s="12">
        <v>4.7</v>
      </c>
      <c r="H113" s="13"/>
      <c r="I113" s="16"/>
    </row>
    <row r="114">
      <c r="A114" s="8">
        <v>941.0</v>
      </c>
      <c r="B114" s="9" t="s">
        <v>9</v>
      </c>
      <c r="C114" s="10">
        <f t="shared" si="1"/>
        <v>5776.194824</v>
      </c>
      <c r="D114" s="15"/>
      <c r="G114" s="15"/>
      <c r="H114" s="13"/>
      <c r="I114" s="16"/>
    </row>
    <row r="115">
      <c r="A115" s="8">
        <v>954.0</v>
      </c>
      <c r="B115" s="9" t="s">
        <v>9</v>
      </c>
      <c r="C115" s="10">
        <f t="shared" si="1"/>
        <v>5792.444824</v>
      </c>
      <c r="D115" s="15"/>
      <c r="G115" s="15"/>
      <c r="H115" s="13"/>
      <c r="I115" s="16"/>
    </row>
    <row r="116">
      <c r="A116" s="8">
        <v>965.0</v>
      </c>
      <c r="B116" s="9" t="s">
        <v>9</v>
      </c>
      <c r="C116" s="10">
        <f t="shared" si="1"/>
        <v>5806.194824</v>
      </c>
      <c r="D116" s="15"/>
      <c r="G116" s="15"/>
      <c r="H116" s="13"/>
      <c r="I116" s="16"/>
    </row>
    <row r="117">
      <c r="A117" s="8">
        <v>978.0</v>
      </c>
      <c r="B117" s="9" t="s">
        <v>9</v>
      </c>
      <c r="C117" s="10">
        <f t="shared" si="1"/>
        <v>5822.444824</v>
      </c>
      <c r="D117" s="15"/>
      <c r="G117" s="15"/>
      <c r="H117" s="13"/>
      <c r="I117" s="16"/>
    </row>
    <row r="118">
      <c r="A118" s="8">
        <v>985.0</v>
      </c>
      <c r="B118" s="9" t="s">
        <v>9</v>
      </c>
      <c r="C118" s="10">
        <f t="shared" si="1"/>
        <v>5831.194824</v>
      </c>
      <c r="D118" s="15"/>
      <c r="G118" s="15"/>
      <c r="H118" s="13"/>
      <c r="I118" s="16"/>
    </row>
    <row r="119">
      <c r="A119" s="8">
        <v>1003.0</v>
      </c>
      <c r="B119" s="9" t="s">
        <v>9</v>
      </c>
      <c r="C119" s="10">
        <f t="shared" si="1"/>
        <v>5853.694824</v>
      </c>
      <c r="D119" s="15"/>
      <c r="G119" s="15"/>
      <c r="H119" s="13"/>
      <c r="I119" s="16"/>
    </row>
    <row r="120">
      <c r="A120" s="8">
        <v>1018.0</v>
      </c>
      <c r="B120" s="9" t="s">
        <v>9</v>
      </c>
      <c r="C120" s="10">
        <f t="shared" si="1"/>
        <v>5872.444824</v>
      </c>
      <c r="D120" s="15"/>
      <c r="G120" s="15"/>
      <c r="H120" s="13"/>
      <c r="I120" s="16"/>
    </row>
    <row r="121">
      <c r="A121" s="8">
        <v>1023.0</v>
      </c>
      <c r="B121" s="9" t="s">
        <v>9</v>
      </c>
      <c r="C121" s="10">
        <f t="shared" si="1"/>
        <v>5878.694824</v>
      </c>
      <c r="D121" s="12">
        <v>5875.53</v>
      </c>
      <c r="E121" s="9" t="s">
        <v>19</v>
      </c>
      <c r="F121" s="9" t="s">
        <v>54</v>
      </c>
      <c r="G121" s="12">
        <v>290.0</v>
      </c>
      <c r="H121" s="13"/>
      <c r="I121" s="16"/>
    </row>
    <row r="122">
      <c r="A122" s="8">
        <v>1037.0</v>
      </c>
      <c r="B122" s="9" t="s">
        <v>9</v>
      </c>
      <c r="C122" s="10">
        <f t="shared" si="1"/>
        <v>5896.194824</v>
      </c>
      <c r="D122" s="15"/>
      <c r="G122" s="15"/>
      <c r="H122" s="13"/>
      <c r="I122" s="16"/>
    </row>
    <row r="123">
      <c r="A123" s="8">
        <v>1045.0</v>
      </c>
      <c r="B123" s="9" t="s">
        <v>9</v>
      </c>
      <c r="C123" s="10">
        <f t="shared" si="1"/>
        <v>5906.194824</v>
      </c>
      <c r="D123" s="15"/>
      <c r="G123" s="15"/>
      <c r="H123" s="13"/>
      <c r="I123" s="16"/>
    </row>
    <row r="124">
      <c r="A124" s="8">
        <v>1052.0</v>
      </c>
      <c r="B124" s="9" t="s">
        <v>9</v>
      </c>
      <c r="C124" s="10">
        <f t="shared" si="1"/>
        <v>5914.944824</v>
      </c>
      <c r="D124" s="15"/>
      <c r="G124" s="15"/>
      <c r="H124" s="13"/>
      <c r="I124" s="16"/>
    </row>
    <row r="125">
      <c r="A125" s="8">
        <v>1055.0</v>
      </c>
      <c r="B125" s="9" t="s">
        <v>9</v>
      </c>
      <c r="C125" s="10">
        <f t="shared" si="1"/>
        <v>5918.694824</v>
      </c>
      <c r="D125" s="15"/>
      <c r="G125" s="15"/>
      <c r="H125" s="13"/>
      <c r="I125" s="16"/>
    </row>
    <row r="126">
      <c r="A126" s="8">
        <v>1062.0</v>
      </c>
      <c r="B126" s="9" t="s">
        <v>9</v>
      </c>
      <c r="C126" s="10">
        <f t="shared" si="1"/>
        <v>5927.444824</v>
      </c>
      <c r="D126" s="15"/>
      <c r="G126" s="15"/>
      <c r="H126" s="13"/>
      <c r="I126" s="16"/>
    </row>
    <row r="127">
      <c r="A127" s="8">
        <v>1069.0</v>
      </c>
      <c r="B127" s="9" t="s">
        <v>9</v>
      </c>
      <c r="C127" s="10">
        <f t="shared" si="1"/>
        <v>5936.194824</v>
      </c>
      <c r="D127" s="15"/>
      <c r="G127" s="15"/>
      <c r="H127" s="13"/>
      <c r="I127" s="16"/>
    </row>
    <row r="128">
      <c r="A128" s="8">
        <v>1083.0</v>
      </c>
      <c r="B128" s="9" t="s">
        <v>9</v>
      </c>
      <c r="C128" s="10">
        <f t="shared" si="1"/>
        <v>5953.694824</v>
      </c>
      <c r="D128" s="15"/>
      <c r="G128" s="15"/>
      <c r="H128" s="13"/>
      <c r="I128" s="16"/>
    </row>
    <row r="129">
      <c r="A129" s="8">
        <v>1089.0</v>
      </c>
      <c r="B129" s="9" t="s">
        <v>9</v>
      </c>
      <c r="C129" s="10">
        <f t="shared" si="1"/>
        <v>5961.194824</v>
      </c>
      <c r="D129" s="12">
        <v>5957.68</v>
      </c>
      <c r="E129" s="9" t="s">
        <v>29</v>
      </c>
      <c r="F129" s="9" t="s">
        <v>55</v>
      </c>
      <c r="G129" s="12">
        <v>2.3</v>
      </c>
      <c r="H129" s="17" t="s">
        <v>24</v>
      </c>
      <c r="I129" s="14" t="s">
        <v>56</v>
      </c>
    </row>
    <row r="130">
      <c r="A130" s="8">
        <v>1099.0</v>
      </c>
      <c r="B130" s="9" t="s">
        <v>9</v>
      </c>
      <c r="C130" s="10">
        <f t="shared" si="1"/>
        <v>5973.694824</v>
      </c>
      <c r="D130" s="15"/>
      <c r="G130" s="15"/>
      <c r="H130" s="13"/>
      <c r="I130" s="16"/>
    </row>
    <row r="131">
      <c r="A131" s="8">
        <v>1106.0</v>
      </c>
      <c r="B131" s="9" t="s">
        <v>9</v>
      </c>
      <c r="C131" s="10">
        <f t="shared" si="1"/>
        <v>5982.444824</v>
      </c>
      <c r="D131" s="12">
        <v>5979.16</v>
      </c>
      <c r="E131" s="9" t="s">
        <v>29</v>
      </c>
      <c r="F131" s="9" t="s">
        <v>57</v>
      </c>
      <c r="G131" s="12">
        <v>4.7</v>
      </c>
      <c r="H131" s="17">
        <v>101.0</v>
      </c>
      <c r="I131" s="14" t="s">
        <v>58</v>
      </c>
    </row>
    <row r="132">
      <c r="A132" s="8">
        <v>1115.0</v>
      </c>
      <c r="B132" s="9" t="s">
        <v>9</v>
      </c>
      <c r="C132" s="10">
        <f t="shared" si="1"/>
        <v>5993.694824</v>
      </c>
      <c r="D132" s="15"/>
      <c r="G132" s="15"/>
      <c r="H132" s="13"/>
      <c r="I132" s="16"/>
    </row>
    <row r="133">
      <c r="A133" s="8">
        <v>1123.0</v>
      </c>
      <c r="B133" s="9" t="s">
        <v>9</v>
      </c>
      <c r="C133" s="10">
        <f t="shared" si="1"/>
        <v>6003.694824</v>
      </c>
      <c r="D133" s="15"/>
      <c r="G133" s="15"/>
      <c r="H133" s="13"/>
      <c r="I133" s="16"/>
    </row>
    <row r="134">
      <c r="A134" s="8">
        <v>1127.0</v>
      </c>
      <c r="B134" s="9" t="s">
        <v>9</v>
      </c>
      <c r="C134" s="10">
        <f t="shared" si="1"/>
        <v>6008.694824</v>
      </c>
      <c r="D134" s="15"/>
      <c r="G134" s="15"/>
      <c r="H134" s="13"/>
      <c r="I134" s="16"/>
    </row>
    <row r="135">
      <c r="A135" s="8">
        <v>1135.0</v>
      </c>
      <c r="B135" s="9" t="s">
        <v>9</v>
      </c>
      <c r="C135" s="10">
        <f t="shared" si="1"/>
        <v>6018.694824</v>
      </c>
      <c r="D135" s="15"/>
      <c r="G135" s="15"/>
      <c r="H135" s="13"/>
      <c r="I135" s="16"/>
    </row>
    <row r="136">
      <c r="A136" s="8">
        <v>1149.0</v>
      </c>
      <c r="B136" s="9" t="s">
        <v>9</v>
      </c>
      <c r="C136" s="10">
        <f t="shared" si="1"/>
        <v>6036.194824</v>
      </c>
      <c r="D136" s="15"/>
      <c r="G136" s="15"/>
      <c r="H136" s="13"/>
      <c r="I136" s="16"/>
    </row>
    <row r="137">
      <c r="A137" s="8">
        <v>1152.0</v>
      </c>
      <c r="B137" s="9" t="s">
        <v>9</v>
      </c>
      <c r="C137" s="10">
        <f t="shared" si="1"/>
        <v>6039.944824</v>
      </c>
      <c r="D137" s="15"/>
      <c r="G137" s="15"/>
      <c r="H137" s="13"/>
      <c r="I137" s="16"/>
    </row>
    <row r="138">
      <c r="A138" s="8">
        <v>1160.0</v>
      </c>
      <c r="B138" s="9" t="s">
        <v>9</v>
      </c>
      <c r="C138" s="10">
        <f t="shared" si="1"/>
        <v>6049.944824</v>
      </c>
      <c r="D138" s="12">
        <v>6046.4</v>
      </c>
      <c r="E138" s="9" t="s">
        <v>59</v>
      </c>
      <c r="F138" s="9" t="s">
        <v>60</v>
      </c>
      <c r="G138" s="12">
        <v>2.3</v>
      </c>
      <c r="H138" s="17" t="s">
        <v>24</v>
      </c>
      <c r="I138" s="14" t="s">
        <v>61</v>
      </c>
    </row>
    <row r="139">
      <c r="A139" s="8">
        <v>1171.0</v>
      </c>
      <c r="B139" s="9" t="s">
        <v>9</v>
      </c>
      <c r="C139" s="10">
        <f t="shared" si="1"/>
        <v>6063.694824</v>
      </c>
      <c r="D139" s="15"/>
      <c r="G139" s="15"/>
      <c r="H139" s="13"/>
      <c r="I139" s="16"/>
    </row>
    <row r="140">
      <c r="A140" s="8">
        <v>1178.0</v>
      </c>
      <c r="B140" s="9" t="s">
        <v>9</v>
      </c>
      <c r="C140" s="10">
        <f t="shared" si="1"/>
        <v>6072.444824</v>
      </c>
      <c r="D140" s="15"/>
      <c r="G140" s="15"/>
      <c r="H140" s="13"/>
      <c r="I140" s="16"/>
    </row>
    <row r="141">
      <c r="A141" s="8">
        <v>1181.0</v>
      </c>
      <c r="B141" s="9" t="s">
        <v>9</v>
      </c>
      <c r="C141" s="10">
        <f t="shared" si="1"/>
        <v>6076.194824</v>
      </c>
      <c r="D141" s="15"/>
      <c r="G141" s="15"/>
      <c r="H141" s="13"/>
      <c r="I141" s="16"/>
    </row>
    <row r="142">
      <c r="A142" s="8">
        <v>1190.0</v>
      </c>
      <c r="B142" s="9" t="s">
        <v>9</v>
      </c>
      <c r="C142" s="10">
        <f t="shared" si="1"/>
        <v>6087.444824</v>
      </c>
      <c r="D142" s="15"/>
      <c r="G142" s="15"/>
      <c r="H142" s="13"/>
      <c r="I142" s="16"/>
    </row>
    <row r="143">
      <c r="A143" s="8">
        <v>1204.0</v>
      </c>
      <c r="B143" s="9" t="s">
        <v>14</v>
      </c>
      <c r="C143" s="10">
        <f t="shared" si="1"/>
        <v>6104.944824</v>
      </c>
      <c r="D143" s="12">
        <v>6101.81</v>
      </c>
      <c r="E143" s="9" t="s">
        <v>15</v>
      </c>
      <c r="F143" s="9" t="s">
        <v>62</v>
      </c>
      <c r="G143" s="12">
        <v>4.2</v>
      </c>
      <c r="H143" s="13"/>
      <c r="I143" s="16"/>
    </row>
    <row r="144">
      <c r="A144" s="8">
        <v>1211.0</v>
      </c>
      <c r="B144" s="9" t="s">
        <v>9</v>
      </c>
      <c r="C144" s="10">
        <f t="shared" si="1"/>
        <v>6113.694824</v>
      </c>
      <c r="D144" s="15"/>
      <c r="G144" s="15"/>
      <c r="H144" s="13"/>
      <c r="I144" s="16"/>
    </row>
    <row r="145">
      <c r="A145" s="8">
        <v>1217.0</v>
      </c>
      <c r="B145" s="9" t="s">
        <v>9</v>
      </c>
      <c r="C145" s="10">
        <f t="shared" si="1"/>
        <v>6121.194824</v>
      </c>
      <c r="D145" s="15"/>
      <c r="G145" s="15"/>
      <c r="H145" s="13"/>
      <c r="I145" s="16"/>
    </row>
    <row r="146">
      <c r="A146" s="8">
        <v>1223.0</v>
      </c>
      <c r="B146" s="9" t="s">
        <v>9</v>
      </c>
      <c r="C146" s="10">
        <f t="shared" si="1"/>
        <v>6128.694824</v>
      </c>
      <c r="D146" s="15"/>
      <c r="G146" s="15"/>
      <c r="H146" s="13"/>
      <c r="I146" s="16"/>
    </row>
    <row r="147">
      <c r="A147" s="8">
        <v>1227.0</v>
      </c>
      <c r="B147" s="9" t="s">
        <v>9</v>
      </c>
      <c r="C147" s="10">
        <f t="shared" si="1"/>
        <v>6133.694824</v>
      </c>
      <c r="D147" s="15"/>
      <c r="G147" s="15"/>
      <c r="H147" s="13"/>
      <c r="I147" s="16"/>
    </row>
    <row r="148">
      <c r="A148" s="8">
        <v>1235.0</v>
      </c>
      <c r="B148" s="9" t="s">
        <v>9</v>
      </c>
      <c r="C148" s="10">
        <f t="shared" si="1"/>
        <v>6143.694824</v>
      </c>
      <c r="D148" s="15"/>
      <c r="G148" s="15"/>
      <c r="H148" s="13"/>
      <c r="I148" s="16"/>
    </row>
    <row r="149">
      <c r="A149" s="8">
        <v>1238.0</v>
      </c>
      <c r="B149" s="9" t="s">
        <v>9</v>
      </c>
      <c r="C149" s="10">
        <f t="shared" si="1"/>
        <v>6147.444824</v>
      </c>
      <c r="D149" s="15"/>
      <c r="G149" s="15"/>
      <c r="H149" s="13"/>
      <c r="I149" s="16"/>
    </row>
    <row r="150">
      <c r="A150" s="8">
        <v>1245.0</v>
      </c>
      <c r="B150" s="9" t="s">
        <v>9</v>
      </c>
      <c r="C150" s="10">
        <f t="shared" si="1"/>
        <v>6156.194824</v>
      </c>
      <c r="D150" s="15"/>
      <c r="G150" s="15"/>
      <c r="H150" s="13"/>
      <c r="I150" s="16"/>
    </row>
    <row r="151">
      <c r="A151" s="8">
        <v>1256.0</v>
      </c>
      <c r="B151" s="9" t="s">
        <v>9</v>
      </c>
      <c r="C151" s="10">
        <f t="shared" si="1"/>
        <v>6169.944824</v>
      </c>
      <c r="D151" s="15"/>
      <c r="G151" s="15"/>
      <c r="H151" s="13"/>
      <c r="I151" s="16"/>
    </row>
    <row r="152">
      <c r="A152" s="8">
        <v>1268.0</v>
      </c>
      <c r="B152" s="9" t="s">
        <v>9</v>
      </c>
      <c r="C152" s="10">
        <f t="shared" si="1"/>
        <v>6184.944824</v>
      </c>
      <c r="D152" s="12">
        <v>6180.27</v>
      </c>
      <c r="E152" s="9" t="s">
        <v>63</v>
      </c>
      <c r="F152" s="9" t="s">
        <v>64</v>
      </c>
      <c r="G152" s="12">
        <v>0.9</v>
      </c>
      <c r="H152" s="13"/>
      <c r="I152" s="14" t="s">
        <v>65</v>
      </c>
    </row>
    <row r="153">
      <c r="A153" s="8">
        <v>1282.0</v>
      </c>
      <c r="B153" s="9" t="s">
        <v>9</v>
      </c>
      <c r="C153" s="10">
        <f t="shared" si="1"/>
        <v>6202.444824</v>
      </c>
      <c r="D153" s="15"/>
      <c r="E153" s="9" t="s">
        <v>66</v>
      </c>
      <c r="F153" s="19"/>
      <c r="G153" s="15"/>
      <c r="H153" s="13"/>
      <c r="I153" s="16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8">
        <v>1285.0</v>
      </c>
      <c r="B154" s="9" t="s">
        <v>9</v>
      </c>
      <c r="C154" s="10">
        <f t="shared" si="1"/>
        <v>6206.194824</v>
      </c>
      <c r="D154" s="15"/>
      <c r="E154" s="9" t="s">
        <v>46</v>
      </c>
      <c r="F154" s="19"/>
      <c r="G154" s="15"/>
      <c r="H154" s="13"/>
      <c r="I154" s="16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8">
        <v>1300.0</v>
      </c>
      <c r="B155" s="9" t="s">
        <v>9</v>
      </c>
      <c r="C155" s="10">
        <f t="shared" si="1"/>
        <v>6224.944824</v>
      </c>
      <c r="D155" s="12">
        <v>6220.43</v>
      </c>
      <c r="E155" s="9" t="s">
        <v>63</v>
      </c>
      <c r="F155" s="9" t="s">
        <v>64</v>
      </c>
      <c r="G155" s="12">
        <v>2.4</v>
      </c>
      <c r="H155" s="17" t="s">
        <v>67</v>
      </c>
      <c r="I155" s="14" t="s">
        <v>68</v>
      </c>
    </row>
    <row r="156">
      <c r="A156" s="8">
        <v>1312.0</v>
      </c>
      <c r="B156" s="9" t="s">
        <v>9</v>
      </c>
      <c r="C156" s="10">
        <f t="shared" si="1"/>
        <v>6239.944824</v>
      </c>
      <c r="D156" s="12">
        <v>6236.34</v>
      </c>
      <c r="E156" s="9" t="s">
        <v>69</v>
      </c>
      <c r="F156" s="9" t="s">
        <v>64</v>
      </c>
      <c r="G156" s="12">
        <v>1.2</v>
      </c>
      <c r="H156" s="17" t="s">
        <v>67</v>
      </c>
      <c r="I156" s="14" t="s">
        <v>70</v>
      </c>
    </row>
    <row r="157">
      <c r="A157" s="8">
        <v>1322.0</v>
      </c>
      <c r="B157" s="9" t="s">
        <v>9</v>
      </c>
      <c r="C157" s="10">
        <f t="shared" si="1"/>
        <v>6252.444824</v>
      </c>
      <c r="D157" s="12">
        <v>6246.55</v>
      </c>
      <c r="E157" s="9" t="s">
        <v>69</v>
      </c>
      <c r="F157" s="9" t="s">
        <v>64</v>
      </c>
      <c r="G157" s="12">
        <v>0.3</v>
      </c>
      <c r="H157" s="17" t="s">
        <v>67</v>
      </c>
      <c r="I157" s="14" t="s">
        <v>71</v>
      </c>
    </row>
    <row r="158">
      <c r="A158" s="8">
        <v>1332.0</v>
      </c>
      <c r="B158" s="9" t="s">
        <v>9</v>
      </c>
      <c r="C158" s="10">
        <f t="shared" si="1"/>
        <v>6264.944824</v>
      </c>
      <c r="D158" s="12">
        <v>6260.8</v>
      </c>
      <c r="E158" s="9" t="s">
        <v>69</v>
      </c>
      <c r="F158" s="9" t="s">
        <v>64</v>
      </c>
      <c r="G158" s="12">
        <v>0.4</v>
      </c>
      <c r="H158" s="17" t="s">
        <v>67</v>
      </c>
      <c r="I158" s="14" t="s">
        <v>72</v>
      </c>
    </row>
    <row r="159">
      <c r="A159" s="8">
        <v>1339.0</v>
      </c>
      <c r="B159" s="9" t="s">
        <v>9</v>
      </c>
      <c r="C159" s="10">
        <f t="shared" si="1"/>
        <v>6273.694824</v>
      </c>
      <c r="D159" s="12">
        <v>6270.59</v>
      </c>
      <c r="E159" s="9" t="s">
        <v>63</v>
      </c>
      <c r="F159" s="9" t="s">
        <v>64</v>
      </c>
      <c r="G159" s="12">
        <v>2.7</v>
      </c>
      <c r="H159" s="17" t="s">
        <v>24</v>
      </c>
      <c r="I159" s="14" t="s">
        <v>73</v>
      </c>
    </row>
    <row r="160">
      <c r="A160" s="8">
        <v>1350.0</v>
      </c>
      <c r="B160" s="9" t="s">
        <v>9</v>
      </c>
      <c r="C160" s="10">
        <f t="shared" si="1"/>
        <v>6287.444824</v>
      </c>
      <c r="D160" s="15"/>
      <c r="E160" s="9" t="s">
        <v>66</v>
      </c>
      <c r="F160" s="9" t="s">
        <v>74</v>
      </c>
      <c r="G160" s="15"/>
      <c r="H160" s="13"/>
      <c r="I160" s="16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8">
        <v>1363.0</v>
      </c>
      <c r="B161" s="9" t="s">
        <v>9</v>
      </c>
      <c r="C161" s="10">
        <f t="shared" si="1"/>
        <v>6303.694824</v>
      </c>
      <c r="D161" s="12">
        <v>6300.38</v>
      </c>
      <c r="E161" s="9" t="s">
        <v>52</v>
      </c>
      <c r="F161" s="9" t="s">
        <v>75</v>
      </c>
      <c r="G161" s="12">
        <v>70.0</v>
      </c>
      <c r="H161" s="13"/>
      <c r="I161" s="16"/>
    </row>
    <row r="162">
      <c r="A162" s="8">
        <v>1372.0</v>
      </c>
      <c r="B162" s="9" t="s">
        <v>9</v>
      </c>
      <c r="C162" s="10">
        <f t="shared" si="1"/>
        <v>6314.944824</v>
      </c>
      <c r="D162" s="12">
        <v>6311.9</v>
      </c>
      <c r="E162" s="9" t="s">
        <v>19</v>
      </c>
      <c r="F162" s="9" t="s">
        <v>76</v>
      </c>
      <c r="G162" s="12">
        <v>26.0</v>
      </c>
      <c r="H162" s="13"/>
      <c r="I162" s="16"/>
    </row>
    <row r="163">
      <c r="A163" s="8">
        <v>1378.0</v>
      </c>
      <c r="B163" s="9" t="s">
        <v>9</v>
      </c>
      <c r="C163" s="10">
        <f t="shared" si="1"/>
        <v>6322.444824</v>
      </c>
      <c r="D163" s="15"/>
      <c r="E163" s="9" t="s">
        <v>46</v>
      </c>
      <c r="F163" s="19"/>
      <c r="G163" s="15"/>
      <c r="H163" s="13"/>
      <c r="I163" s="16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8">
        <v>1384.0</v>
      </c>
      <c r="B164" s="9" t="s">
        <v>9</v>
      </c>
      <c r="C164" s="10">
        <f t="shared" si="1"/>
        <v>6329.944824</v>
      </c>
      <c r="D164" s="19"/>
      <c r="E164" s="9" t="s">
        <v>46</v>
      </c>
      <c r="F164" s="19"/>
      <c r="G164" s="15"/>
      <c r="H164" s="13"/>
      <c r="I164" s="16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8">
        <v>1388.0</v>
      </c>
      <c r="B165" s="9" t="s">
        <v>9</v>
      </c>
      <c r="C165" s="10">
        <f t="shared" si="1"/>
        <v>6334.944824</v>
      </c>
      <c r="D165" s="15"/>
      <c r="E165" s="9" t="s">
        <v>46</v>
      </c>
      <c r="F165" s="19"/>
      <c r="G165" s="15"/>
      <c r="H165" s="13"/>
      <c r="I165" s="16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8">
        <v>1401.0</v>
      </c>
      <c r="B166" s="9" t="s">
        <v>9</v>
      </c>
      <c r="C166" s="10">
        <f t="shared" si="1"/>
        <v>6351.194824</v>
      </c>
      <c r="D166" s="12">
        <v>6347.15</v>
      </c>
      <c r="E166" s="9" t="s">
        <v>29</v>
      </c>
      <c r="F166" s="9" t="s">
        <v>77</v>
      </c>
      <c r="G166" s="12">
        <v>5.2</v>
      </c>
      <c r="H166" s="17">
        <v>11.0</v>
      </c>
      <c r="I166" s="14" t="s">
        <v>78</v>
      </c>
    </row>
    <row r="167">
      <c r="A167" s="8">
        <v>1414.0</v>
      </c>
      <c r="B167" s="9" t="s">
        <v>9</v>
      </c>
      <c r="C167" s="10">
        <f t="shared" si="1"/>
        <v>6367.444824</v>
      </c>
      <c r="D167" s="12">
        <v>6363.86</v>
      </c>
      <c r="E167" s="9" t="s">
        <v>52</v>
      </c>
      <c r="F167" s="9" t="s">
        <v>79</v>
      </c>
      <c r="G167" s="12">
        <v>24.0</v>
      </c>
      <c r="H167" s="13"/>
      <c r="I167" s="16"/>
    </row>
    <row r="168">
      <c r="A168" s="8">
        <v>1420.0</v>
      </c>
      <c r="B168" s="9" t="s">
        <v>9</v>
      </c>
      <c r="C168" s="10">
        <f t="shared" si="1"/>
        <v>6374.944824</v>
      </c>
      <c r="D168" s="12">
        <v>6371.35</v>
      </c>
      <c r="E168" s="9" t="s">
        <v>29</v>
      </c>
      <c r="F168" s="9" t="s">
        <v>80</v>
      </c>
      <c r="G168" s="12">
        <v>1.4</v>
      </c>
      <c r="H168" s="17">
        <v>101.0</v>
      </c>
      <c r="I168" s="14" t="s">
        <v>81</v>
      </c>
    </row>
    <row r="169">
      <c r="A169" s="8">
        <v>1429.0</v>
      </c>
      <c r="B169" s="9" t="s">
        <v>9</v>
      </c>
      <c r="C169" s="10">
        <f t="shared" si="1"/>
        <v>6386.194824</v>
      </c>
      <c r="D169" s="15"/>
      <c r="E169" s="9" t="s">
        <v>46</v>
      </c>
      <c r="F169" s="19"/>
      <c r="G169" s="15"/>
      <c r="H169" s="13"/>
      <c r="I169" s="16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8">
        <v>1441.0</v>
      </c>
      <c r="B170" s="9" t="s">
        <v>9</v>
      </c>
      <c r="C170" s="10">
        <f t="shared" si="1"/>
        <v>6401.194824</v>
      </c>
      <c r="D170" s="15"/>
      <c r="E170" s="9" t="s">
        <v>46</v>
      </c>
      <c r="F170" s="19"/>
      <c r="G170" s="15"/>
      <c r="H170" s="13"/>
      <c r="I170" s="16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8">
        <v>1446.0</v>
      </c>
      <c r="B171" s="9" t="s">
        <v>9</v>
      </c>
      <c r="C171" s="10">
        <f t="shared" si="1"/>
        <v>6407.444824</v>
      </c>
      <c r="D171" s="15"/>
      <c r="E171" s="9" t="s">
        <v>46</v>
      </c>
      <c r="F171" s="19"/>
      <c r="G171" s="15"/>
      <c r="H171" s="13"/>
      <c r="I171" s="16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8">
        <v>1455.0</v>
      </c>
      <c r="B172" s="9" t="s">
        <v>9</v>
      </c>
      <c r="C172" s="10">
        <f t="shared" si="1"/>
        <v>6418.694824</v>
      </c>
      <c r="D172" s="15"/>
      <c r="E172" s="9" t="s">
        <v>46</v>
      </c>
      <c r="F172" s="19"/>
      <c r="G172" s="15"/>
      <c r="H172" s="13"/>
      <c r="I172" s="16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8">
        <v>1458.0</v>
      </c>
      <c r="B173" s="9" t="s">
        <v>9</v>
      </c>
      <c r="C173" s="10">
        <f t="shared" si="1"/>
        <v>6422.444824</v>
      </c>
      <c r="D173" s="15"/>
      <c r="E173" s="9" t="s">
        <v>46</v>
      </c>
      <c r="F173" s="19"/>
      <c r="G173" s="15"/>
      <c r="H173" s="13"/>
      <c r="I173" s="16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8">
        <v>1463.0</v>
      </c>
      <c r="B174" s="9" t="s">
        <v>9</v>
      </c>
      <c r="C174" s="10">
        <f t="shared" si="1"/>
        <v>6428.694824</v>
      </c>
      <c r="D174" s="15"/>
      <c r="E174" s="9" t="s">
        <v>46</v>
      </c>
      <c r="F174" s="19"/>
      <c r="G174" s="15"/>
      <c r="H174" s="13"/>
      <c r="I174" s="16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8">
        <v>1470.0</v>
      </c>
      <c r="B175" s="9" t="s">
        <v>9</v>
      </c>
      <c r="C175" s="10">
        <f t="shared" si="1"/>
        <v>6437.444824</v>
      </c>
      <c r="D175" s="12">
        <v>6433.9</v>
      </c>
      <c r="E175" s="9" t="s">
        <v>69</v>
      </c>
      <c r="F175" s="9" t="s">
        <v>64</v>
      </c>
      <c r="G175" s="12">
        <v>1.2</v>
      </c>
      <c r="H175" s="13"/>
      <c r="I175" s="16"/>
    </row>
    <row r="176">
      <c r="A176" s="8">
        <v>1484.0</v>
      </c>
      <c r="B176" s="9" t="s">
        <v>9</v>
      </c>
      <c r="C176" s="10">
        <f t="shared" si="1"/>
        <v>6454.944824</v>
      </c>
      <c r="D176" s="12">
        <v>6451.0</v>
      </c>
      <c r="E176" s="9" t="s">
        <v>82</v>
      </c>
      <c r="F176" s="9" t="s">
        <v>64</v>
      </c>
      <c r="G176" s="12">
        <v>1.7</v>
      </c>
      <c r="H176" s="13"/>
      <c r="I176" s="14" t="s">
        <v>83</v>
      </c>
    </row>
    <row r="177">
      <c r="A177" s="8">
        <v>1490.0</v>
      </c>
      <c r="B177" s="9" t="s">
        <v>9</v>
      </c>
      <c r="C177" s="10">
        <f t="shared" si="1"/>
        <v>6462.444824</v>
      </c>
      <c r="D177" s="12">
        <v>6459.4</v>
      </c>
      <c r="E177" s="9" t="s">
        <v>69</v>
      </c>
      <c r="F177" s="9" t="s">
        <v>64</v>
      </c>
      <c r="G177" s="12">
        <v>1.0</v>
      </c>
      <c r="H177" s="13"/>
      <c r="I177" s="16"/>
    </row>
    <row r="178">
      <c r="A178" s="8">
        <v>1498.0</v>
      </c>
      <c r="B178" s="9" t="s">
        <v>9</v>
      </c>
      <c r="C178" s="10">
        <f t="shared" si="1"/>
        <v>6472.444824</v>
      </c>
      <c r="D178" s="12">
        <v>6467.88</v>
      </c>
      <c r="E178" s="9" t="s">
        <v>82</v>
      </c>
      <c r="F178" s="9" t="s">
        <v>64</v>
      </c>
      <c r="G178" s="12">
        <v>1.2</v>
      </c>
      <c r="H178" s="13"/>
      <c r="I178" s="14" t="s">
        <v>84</v>
      </c>
    </row>
    <row r="179">
      <c r="A179" s="8">
        <v>1512.0</v>
      </c>
      <c r="B179" s="9" t="s">
        <v>9</v>
      </c>
      <c r="C179" s="10">
        <f t="shared" si="1"/>
        <v>6489.944824</v>
      </c>
      <c r="D179" s="12">
        <v>6486.05</v>
      </c>
      <c r="E179" s="9" t="s">
        <v>69</v>
      </c>
      <c r="F179" s="9" t="s">
        <v>64</v>
      </c>
      <c r="G179" s="12">
        <v>1.1</v>
      </c>
      <c r="H179" s="13"/>
      <c r="I179" s="16"/>
    </row>
    <row r="180">
      <c r="A180" s="20">
        <v>1521.0</v>
      </c>
      <c r="B180" s="9" t="s">
        <v>85</v>
      </c>
      <c r="C180" s="10">
        <f t="shared" si="1"/>
        <v>6501.194824</v>
      </c>
      <c r="D180" s="12"/>
      <c r="E180" s="9" t="s">
        <v>66</v>
      </c>
      <c r="F180" s="9" t="s">
        <v>86</v>
      </c>
      <c r="G180" s="12"/>
      <c r="H180" s="17"/>
      <c r="I180" s="14" t="s">
        <v>87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8">
        <v>1524.0</v>
      </c>
      <c r="B181" s="9" t="s">
        <v>9</v>
      </c>
      <c r="C181" s="10">
        <f t="shared" si="1"/>
        <v>6504.944824</v>
      </c>
      <c r="D181" s="12">
        <v>6501.82</v>
      </c>
      <c r="E181" s="9" t="s">
        <v>69</v>
      </c>
      <c r="F181" s="9" t="s">
        <v>64</v>
      </c>
      <c r="G181" s="12">
        <v>2.0</v>
      </c>
      <c r="H181" s="17">
        <v>11.0</v>
      </c>
      <c r="I181" s="16"/>
    </row>
    <row r="182">
      <c r="A182" s="8">
        <v>1537.0</v>
      </c>
      <c r="B182" s="9" t="s">
        <v>9</v>
      </c>
      <c r="C182" s="10">
        <f t="shared" si="1"/>
        <v>6521.194824</v>
      </c>
      <c r="D182" s="15"/>
      <c r="G182" s="15"/>
      <c r="H182" s="13"/>
      <c r="I182" s="16"/>
    </row>
    <row r="183">
      <c r="A183" s="8">
        <v>1547.0</v>
      </c>
      <c r="B183" s="9" t="s">
        <v>9</v>
      </c>
      <c r="C183" s="10">
        <f t="shared" si="1"/>
        <v>6533.694824</v>
      </c>
      <c r="D183" s="12">
        <v>6529.5</v>
      </c>
      <c r="E183" s="18" t="s">
        <v>88</v>
      </c>
      <c r="F183" s="9" t="s">
        <v>64</v>
      </c>
      <c r="G183" s="12">
        <v>1.4</v>
      </c>
      <c r="H183" s="17" t="s">
        <v>31</v>
      </c>
      <c r="I183" s="16"/>
    </row>
    <row r="184">
      <c r="A184" s="8">
        <v>1561.0</v>
      </c>
      <c r="B184" s="9" t="s">
        <v>9</v>
      </c>
      <c r="C184" s="10">
        <f t="shared" si="1"/>
        <v>6551.194824</v>
      </c>
      <c r="D184" s="12">
        <v>6548.07</v>
      </c>
      <c r="E184" s="9" t="s">
        <v>52</v>
      </c>
      <c r="F184" s="9" t="s">
        <v>89</v>
      </c>
      <c r="G184" s="12">
        <v>66.0</v>
      </c>
      <c r="H184" s="13"/>
      <c r="I184" s="16"/>
    </row>
    <row r="185">
      <c r="A185" s="8">
        <v>1573.0</v>
      </c>
      <c r="B185" s="9" t="s">
        <v>9</v>
      </c>
      <c r="C185" s="10">
        <f t="shared" si="1"/>
        <v>6566.194824</v>
      </c>
      <c r="D185" s="12">
        <v>6562.62</v>
      </c>
      <c r="E185" s="9" t="s">
        <v>19</v>
      </c>
      <c r="F185" s="9" t="s">
        <v>90</v>
      </c>
      <c r="G185" s="12">
        <v>8200.0</v>
      </c>
      <c r="H185" s="13"/>
      <c r="I185" s="16"/>
    </row>
    <row r="186">
      <c r="A186" s="8">
        <v>1590.0</v>
      </c>
      <c r="B186" s="9" t="s">
        <v>9</v>
      </c>
      <c r="C186" s="10">
        <f t="shared" si="1"/>
        <v>6587.444824</v>
      </c>
      <c r="D186" s="12">
        <v>6583.33</v>
      </c>
      <c r="E186" s="9" t="s">
        <v>52</v>
      </c>
      <c r="F186" s="9" t="s">
        <v>91</v>
      </c>
      <c r="G186" s="12">
        <v>230.0</v>
      </c>
      <c r="H186" s="13"/>
      <c r="I186" s="16"/>
    </row>
    <row r="187">
      <c r="A187" s="8">
        <v>1603.0</v>
      </c>
      <c r="B187" s="9" t="s">
        <v>9</v>
      </c>
      <c r="C187" s="10">
        <f t="shared" si="1"/>
        <v>6603.694824</v>
      </c>
      <c r="D187" s="12">
        <v>6601.28</v>
      </c>
      <c r="E187" s="9" t="s">
        <v>82</v>
      </c>
      <c r="F187" s="9" t="s">
        <v>64</v>
      </c>
      <c r="G187" s="12">
        <v>0.9</v>
      </c>
      <c r="H187" s="17" t="s">
        <v>31</v>
      </c>
      <c r="I187" s="14" t="s">
        <v>92</v>
      </c>
    </row>
    <row r="188">
      <c r="A188" s="8">
        <v>1616.0</v>
      </c>
      <c r="B188" s="9" t="s">
        <v>9</v>
      </c>
      <c r="C188" s="10">
        <f t="shared" si="1"/>
        <v>6619.944824</v>
      </c>
      <c r="D188" s="12">
        <v>6615.11</v>
      </c>
      <c r="E188" s="9" t="s">
        <v>93</v>
      </c>
      <c r="F188" s="9" t="s">
        <v>64</v>
      </c>
      <c r="G188" s="12">
        <v>0.4</v>
      </c>
      <c r="H188" s="17" t="s">
        <v>67</v>
      </c>
      <c r="I188" s="14" t="s">
        <v>94</v>
      </c>
    </row>
    <row r="189">
      <c r="A189" s="8">
        <v>1626.0</v>
      </c>
      <c r="B189" s="9" t="s">
        <v>9</v>
      </c>
      <c r="C189" s="10">
        <f t="shared" si="1"/>
        <v>6632.444824</v>
      </c>
      <c r="D189" s="12">
        <v>6628.89</v>
      </c>
      <c r="E189" s="9" t="s">
        <v>69</v>
      </c>
      <c r="F189" s="9" t="s">
        <v>64</v>
      </c>
      <c r="G189" s="12">
        <v>2.1</v>
      </c>
      <c r="H189" s="17" t="s">
        <v>95</v>
      </c>
      <c r="I189" s="14" t="s">
        <v>96</v>
      </c>
    </row>
    <row r="190">
      <c r="A190" s="8">
        <v>1632.0</v>
      </c>
      <c r="B190" s="9" t="s">
        <v>9</v>
      </c>
      <c r="C190" s="10">
        <f t="shared" si="1"/>
        <v>6639.944824</v>
      </c>
      <c r="D190" s="12">
        <v>6636.78</v>
      </c>
      <c r="E190" s="9" t="s">
        <v>69</v>
      </c>
      <c r="F190" s="9" t="s">
        <v>64</v>
      </c>
      <c r="G190" s="12">
        <v>1.6</v>
      </c>
      <c r="H190" s="17" t="s">
        <v>67</v>
      </c>
      <c r="I190" s="14" t="s">
        <v>97</v>
      </c>
    </row>
    <row r="191">
      <c r="A191" s="8">
        <v>1640.0</v>
      </c>
      <c r="B191" s="9" t="s">
        <v>9</v>
      </c>
      <c r="C191" s="10">
        <f t="shared" si="1"/>
        <v>6649.944824</v>
      </c>
      <c r="D191" s="12">
        <v>6645.63</v>
      </c>
      <c r="E191" s="9" t="s">
        <v>69</v>
      </c>
      <c r="F191" s="9" t="s">
        <v>64</v>
      </c>
      <c r="G191" s="12">
        <v>1.3</v>
      </c>
      <c r="H191" s="17" t="s">
        <v>67</v>
      </c>
      <c r="I191" s="16"/>
    </row>
    <row r="192">
      <c r="A192" s="8">
        <v>1648.0</v>
      </c>
      <c r="B192" s="9" t="s">
        <v>9</v>
      </c>
      <c r="C192" s="10">
        <f t="shared" si="1"/>
        <v>6659.944824</v>
      </c>
      <c r="D192" s="12">
        <v>6655.67</v>
      </c>
      <c r="E192" s="9" t="s">
        <v>69</v>
      </c>
      <c r="F192" s="9" t="s">
        <v>64</v>
      </c>
      <c r="G192" s="12">
        <v>0.7</v>
      </c>
      <c r="H192" s="17">
        <v>11.0</v>
      </c>
      <c r="I192" s="16"/>
    </row>
    <row r="193">
      <c r="A193" s="8">
        <v>1651.0</v>
      </c>
      <c r="B193" s="9" t="s">
        <v>9</v>
      </c>
      <c r="C193" s="10">
        <f t="shared" si="1"/>
        <v>6663.694824</v>
      </c>
      <c r="D193" s="15"/>
      <c r="E193" s="9" t="s">
        <v>46</v>
      </c>
      <c r="F193" s="19"/>
      <c r="G193" s="15"/>
      <c r="H193" s="13"/>
      <c r="I193" s="16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8">
        <v>1657.0</v>
      </c>
      <c r="B194" s="9" t="s">
        <v>9</v>
      </c>
      <c r="C194" s="10">
        <f t="shared" si="1"/>
        <v>6671.194824</v>
      </c>
      <c r="D194" s="12">
        <v>6667.62</v>
      </c>
      <c r="E194" s="9" t="s">
        <v>11</v>
      </c>
      <c r="F194" s="9" t="s">
        <v>98</v>
      </c>
      <c r="G194" s="12">
        <v>0.5</v>
      </c>
      <c r="H194" s="17" t="s">
        <v>31</v>
      </c>
      <c r="I194" s="14" t="s">
        <v>99</v>
      </c>
    </row>
    <row r="195">
      <c r="A195" s="8">
        <v>1665.0</v>
      </c>
      <c r="B195" s="9" t="s">
        <v>9</v>
      </c>
      <c r="C195" s="10">
        <f t="shared" si="1"/>
        <v>6681.194824</v>
      </c>
      <c r="D195" s="12">
        <v>6677.94</v>
      </c>
      <c r="E195" s="9" t="s">
        <v>19</v>
      </c>
      <c r="F195" s="9" t="s">
        <v>100</v>
      </c>
      <c r="G195" s="12">
        <v>78.0</v>
      </c>
      <c r="H195" s="13"/>
      <c r="I195" s="16"/>
    </row>
    <row r="196">
      <c r="A196" s="8">
        <v>1677.0</v>
      </c>
      <c r="B196" s="9" t="s">
        <v>9</v>
      </c>
      <c r="C196" s="10">
        <f t="shared" si="1"/>
        <v>6696.194824</v>
      </c>
      <c r="D196" s="15"/>
      <c r="E196" s="9" t="s">
        <v>46</v>
      </c>
      <c r="F196" s="19"/>
      <c r="G196" s="15"/>
      <c r="H196" s="13"/>
      <c r="I196" s="16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8">
        <v>1682.0</v>
      </c>
      <c r="B197" s="9" t="s">
        <v>9</v>
      </c>
      <c r="C197" s="10">
        <f t="shared" si="1"/>
        <v>6702.444824</v>
      </c>
      <c r="D197" s="21">
        <v>6699.06</v>
      </c>
      <c r="E197" s="9" t="s">
        <v>69</v>
      </c>
      <c r="F197" s="9" t="s">
        <v>64</v>
      </c>
      <c r="G197" s="12">
        <v>0.9</v>
      </c>
      <c r="H197" s="17">
        <v>11.0</v>
      </c>
      <c r="I197" s="14" t="s">
        <v>101</v>
      </c>
    </row>
    <row r="198">
      <c r="A198" s="8">
        <v>1692.0</v>
      </c>
      <c r="B198" s="9" t="s">
        <v>9</v>
      </c>
      <c r="C198" s="10">
        <f t="shared" si="1"/>
        <v>6714.944824</v>
      </c>
      <c r="D198" s="12">
        <v>6710.69</v>
      </c>
      <c r="G198" s="15"/>
      <c r="H198" s="13"/>
      <c r="I198" s="14" t="s">
        <v>102</v>
      </c>
    </row>
    <row r="199">
      <c r="A199" s="8">
        <v>1696.0</v>
      </c>
      <c r="B199" s="9" t="s">
        <v>9</v>
      </c>
      <c r="C199" s="10">
        <f t="shared" si="1"/>
        <v>6719.944824</v>
      </c>
      <c r="D199" s="12">
        <v>6716.47</v>
      </c>
      <c r="E199" s="9" t="s">
        <v>52</v>
      </c>
      <c r="F199" s="9" t="s">
        <v>103</v>
      </c>
      <c r="G199" s="12">
        <v>385.0</v>
      </c>
      <c r="H199" s="13"/>
      <c r="I199" s="16"/>
    </row>
    <row r="200">
      <c r="A200" s="8">
        <v>1708.0</v>
      </c>
      <c r="B200" s="9" t="s">
        <v>9</v>
      </c>
      <c r="C200" s="10">
        <f t="shared" si="1"/>
        <v>6734.944824</v>
      </c>
      <c r="D200" s="12">
        <v>6730.74</v>
      </c>
      <c r="E200" s="9" t="s">
        <v>52</v>
      </c>
      <c r="F200" s="9" t="s">
        <v>104</v>
      </c>
      <c r="G200" s="12">
        <v>286.0</v>
      </c>
      <c r="H200" s="13"/>
      <c r="I200" s="16"/>
    </row>
    <row r="201">
      <c r="A201" s="8">
        <v>1720.0</v>
      </c>
      <c r="B201" s="9" t="s">
        <v>9</v>
      </c>
      <c r="C201" s="10">
        <f t="shared" si="1"/>
        <v>6749.944824</v>
      </c>
      <c r="D201" s="15"/>
      <c r="E201" s="9" t="s">
        <v>46</v>
      </c>
      <c r="F201" s="19"/>
      <c r="G201" s="15"/>
      <c r="H201" s="13"/>
      <c r="I201" s="16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8">
        <v>1726.0</v>
      </c>
      <c r="B202" s="9" t="s">
        <v>9</v>
      </c>
      <c r="C202" s="10">
        <f t="shared" si="1"/>
        <v>6757.444824</v>
      </c>
      <c r="D202" s="15"/>
      <c r="E202" s="9" t="s">
        <v>46</v>
      </c>
      <c r="F202" s="19"/>
      <c r="G202" s="15"/>
      <c r="H202" s="13"/>
      <c r="I202" s="16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8">
        <v>1736.0</v>
      </c>
      <c r="B203" s="9" t="s">
        <v>9</v>
      </c>
      <c r="C203" s="10">
        <f t="shared" si="1"/>
        <v>6769.944824</v>
      </c>
      <c r="D203" s="15"/>
      <c r="E203" s="9" t="s">
        <v>46</v>
      </c>
      <c r="F203" s="19"/>
      <c r="G203" s="15"/>
      <c r="H203" s="13"/>
      <c r="I203" s="16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8">
        <v>1744.0</v>
      </c>
      <c r="B204" s="9" t="s">
        <v>9</v>
      </c>
      <c r="C204" s="10">
        <f t="shared" si="1"/>
        <v>6779.944824</v>
      </c>
      <c r="D204" s="12">
        <v>6776.88</v>
      </c>
      <c r="E204" s="9" t="s">
        <v>63</v>
      </c>
      <c r="F204" s="9" t="s">
        <v>64</v>
      </c>
      <c r="G204" s="12">
        <v>2.3</v>
      </c>
      <c r="H204" s="17">
        <v>11.0</v>
      </c>
      <c r="I204" s="16"/>
    </row>
    <row r="205">
      <c r="A205" s="8">
        <v>1756.0</v>
      </c>
      <c r="B205" s="9" t="s">
        <v>9</v>
      </c>
      <c r="C205" s="10">
        <f t="shared" si="1"/>
        <v>6794.944824</v>
      </c>
      <c r="D205" s="15"/>
      <c r="G205" s="15"/>
      <c r="H205" s="13"/>
      <c r="I205" s="16"/>
    </row>
    <row r="206">
      <c r="A206" s="8">
        <v>1759.0</v>
      </c>
      <c r="B206" s="9" t="s">
        <v>14</v>
      </c>
      <c r="C206" s="10">
        <f t="shared" si="1"/>
        <v>6798.694824</v>
      </c>
      <c r="D206" s="12">
        <v>6794.52</v>
      </c>
      <c r="E206" s="9" t="s">
        <v>15</v>
      </c>
      <c r="F206" s="9" t="s">
        <v>105</v>
      </c>
      <c r="G206" s="12">
        <v>1.1</v>
      </c>
      <c r="H206" s="13"/>
      <c r="I206" s="14" t="s">
        <v>106</v>
      </c>
    </row>
    <row r="207">
      <c r="A207" s="8">
        <v>1770.0</v>
      </c>
      <c r="B207" s="9" t="s">
        <v>9</v>
      </c>
      <c r="C207" s="10">
        <f t="shared" si="1"/>
        <v>6812.444824</v>
      </c>
      <c r="D207" s="15"/>
      <c r="E207" s="9" t="s">
        <v>46</v>
      </c>
      <c r="F207" s="19"/>
      <c r="G207" s="15"/>
      <c r="H207" s="13"/>
      <c r="I207" s="16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8">
        <v>1777.0</v>
      </c>
      <c r="B208" s="9" t="s">
        <v>9</v>
      </c>
      <c r="C208" s="10">
        <f t="shared" si="1"/>
        <v>6821.194824</v>
      </c>
      <c r="D208" s="15"/>
      <c r="E208" s="9" t="s">
        <v>46</v>
      </c>
      <c r="F208" s="19"/>
      <c r="G208" s="15"/>
      <c r="H208" s="13"/>
      <c r="I208" s="16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8">
        <v>1784.0</v>
      </c>
      <c r="B209" s="9" t="s">
        <v>9</v>
      </c>
      <c r="C209" s="10">
        <f t="shared" si="1"/>
        <v>6829.944824</v>
      </c>
      <c r="D209" s="15"/>
      <c r="E209" s="9" t="s">
        <v>66</v>
      </c>
      <c r="F209" s="9" t="s">
        <v>107</v>
      </c>
      <c r="G209" s="15"/>
      <c r="H209" s="13"/>
      <c r="I209" s="14" t="s">
        <v>108</v>
      </c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8">
        <v>1787.0</v>
      </c>
      <c r="B210" s="9" t="s">
        <v>9</v>
      </c>
      <c r="C210" s="10">
        <f t="shared" si="1"/>
        <v>6833.694824</v>
      </c>
      <c r="D210" s="15"/>
      <c r="E210" s="9" t="s">
        <v>66</v>
      </c>
      <c r="F210" s="9" t="s">
        <v>109</v>
      </c>
      <c r="G210" s="15"/>
      <c r="H210" s="13"/>
      <c r="I210" s="16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8">
        <v>1794.0</v>
      </c>
      <c r="B211" s="9" t="s">
        <v>9</v>
      </c>
      <c r="C211" s="10">
        <f t="shared" si="1"/>
        <v>6842.444824</v>
      </c>
      <c r="D211" s="15"/>
      <c r="G211" s="15"/>
      <c r="H211" s="13"/>
      <c r="I211" s="16"/>
    </row>
    <row r="212">
      <c r="A212" s="8">
        <v>1801.0</v>
      </c>
      <c r="B212" s="9" t="s">
        <v>9</v>
      </c>
      <c r="C212" s="10">
        <f t="shared" si="1"/>
        <v>6851.194824</v>
      </c>
      <c r="D212" s="12">
        <v>6846.81</v>
      </c>
      <c r="E212" s="9" t="s">
        <v>69</v>
      </c>
      <c r="F212" s="9" t="s">
        <v>64</v>
      </c>
      <c r="G212" s="12">
        <v>1.4</v>
      </c>
      <c r="H212" s="17">
        <v>11.0</v>
      </c>
      <c r="I212" s="14" t="s">
        <v>110</v>
      </c>
    </row>
    <row r="213">
      <c r="A213" s="8">
        <v>1811.0</v>
      </c>
      <c r="B213" s="9" t="s">
        <v>9</v>
      </c>
      <c r="C213" s="10">
        <f t="shared" si="1"/>
        <v>6863.694824</v>
      </c>
      <c r="D213" s="15"/>
      <c r="E213" s="9" t="s">
        <v>66</v>
      </c>
      <c r="F213" s="9" t="s">
        <v>111</v>
      </c>
      <c r="G213" s="15"/>
      <c r="H213" s="13"/>
      <c r="I213" s="16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8">
        <v>1817.0</v>
      </c>
      <c r="B214" s="9" t="s">
        <v>9</v>
      </c>
      <c r="C214" s="10">
        <f t="shared" si="1"/>
        <v>6871.194824</v>
      </c>
      <c r="D214" s="15"/>
      <c r="E214" s="9" t="s">
        <v>112</v>
      </c>
      <c r="G214" s="15"/>
      <c r="H214" s="13"/>
      <c r="I214" s="14" t="s">
        <v>113</v>
      </c>
    </row>
    <row r="215">
      <c r="A215" s="8">
        <v>1830.0</v>
      </c>
      <c r="B215" s="9" t="s">
        <v>9</v>
      </c>
      <c r="C215" s="10">
        <f t="shared" si="1"/>
        <v>6887.444824</v>
      </c>
      <c r="D215" s="15"/>
      <c r="E215" s="9" t="s">
        <v>112</v>
      </c>
      <c r="G215" s="15"/>
      <c r="H215" s="13"/>
      <c r="I215" s="16"/>
    </row>
    <row r="216">
      <c r="A216" s="8">
        <v>1842.0</v>
      </c>
      <c r="B216" s="9" t="s">
        <v>9</v>
      </c>
      <c r="C216" s="10">
        <f t="shared" si="1"/>
        <v>6902.444824</v>
      </c>
      <c r="D216" s="15"/>
      <c r="E216" s="9" t="s">
        <v>112</v>
      </c>
      <c r="G216" s="15"/>
      <c r="H216" s="13"/>
      <c r="I216" s="16"/>
    </row>
    <row r="217">
      <c r="A217" s="8">
        <v>1850.0</v>
      </c>
      <c r="B217" s="9" t="s">
        <v>9</v>
      </c>
      <c r="C217" s="10">
        <f t="shared" si="1"/>
        <v>6912.444824</v>
      </c>
      <c r="D217" s="15"/>
      <c r="E217" s="9" t="s">
        <v>112</v>
      </c>
      <c r="G217" s="15"/>
      <c r="H217" s="13"/>
      <c r="I217" s="16"/>
    </row>
    <row r="218">
      <c r="A218" s="8">
        <v>1861.0</v>
      </c>
      <c r="B218" s="9" t="s">
        <v>9</v>
      </c>
      <c r="C218" s="10">
        <f t="shared" si="1"/>
        <v>6926.194824</v>
      </c>
      <c r="D218" s="15"/>
      <c r="E218" s="9" t="s">
        <v>112</v>
      </c>
      <c r="G218" s="15"/>
      <c r="H218" s="13"/>
      <c r="I218" s="16"/>
    </row>
    <row r="219">
      <c r="A219" s="8">
        <v>1867.0</v>
      </c>
      <c r="B219" s="9" t="s">
        <v>9</v>
      </c>
      <c r="C219" s="10">
        <f t="shared" si="1"/>
        <v>6933.694824</v>
      </c>
      <c r="D219" s="15"/>
      <c r="E219" s="9" t="s">
        <v>112</v>
      </c>
      <c r="G219" s="15"/>
      <c r="H219" s="13"/>
      <c r="I219" s="16"/>
    </row>
    <row r="220">
      <c r="A220" s="8">
        <v>1879.0</v>
      </c>
      <c r="B220" s="9" t="s">
        <v>9</v>
      </c>
      <c r="C220" s="10">
        <f t="shared" si="1"/>
        <v>6948.694824</v>
      </c>
      <c r="D220" s="15"/>
      <c r="E220" s="9" t="s">
        <v>112</v>
      </c>
      <c r="G220" s="15"/>
      <c r="H220" s="13"/>
      <c r="I220" s="16"/>
    </row>
    <row r="221">
      <c r="A221" s="8">
        <v>1882.0</v>
      </c>
      <c r="B221" s="9" t="s">
        <v>9</v>
      </c>
      <c r="C221" s="10">
        <f t="shared" si="1"/>
        <v>6952.444824</v>
      </c>
      <c r="D221" s="15"/>
      <c r="E221" s="9" t="s">
        <v>112</v>
      </c>
      <c r="G221" s="15"/>
      <c r="H221" s="13"/>
      <c r="I221" s="16"/>
    </row>
    <row r="222">
      <c r="A222" s="8">
        <v>1896.0</v>
      </c>
      <c r="B222" s="9" t="s">
        <v>9</v>
      </c>
      <c r="C222" s="10">
        <f t="shared" si="1"/>
        <v>6969.944824</v>
      </c>
      <c r="D222" s="15"/>
      <c r="E222" s="9" t="s">
        <v>112</v>
      </c>
      <c r="G222" s="15"/>
      <c r="H222" s="13"/>
      <c r="I222" s="16"/>
    </row>
    <row r="223">
      <c r="A223" s="8">
        <v>1906.0</v>
      </c>
      <c r="B223" s="9" t="s">
        <v>9</v>
      </c>
      <c r="C223" s="10">
        <f t="shared" si="1"/>
        <v>6982.444824</v>
      </c>
      <c r="D223" s="15"/>
      <c r="E223" s="9" t="s">
        <v>112</v>
      </c>
      <c r="G223" s="15"/>
      <c r="H223" s="13"/>
      <c r="I223" s="16"/>
    </row>
    <row r="224">
      <c r="A224" s="8">
        <v>1913.0</v>
      </c>
      <c r="B224" s="9" t="s">
        <v>9</v>
      </c>
      <c r="C224" s="10">
        <f t="shared" si="1"/>
        <v>6991.194824</v>
      </c>
      <c r="D224" s="12">
        <v>6987.38</v>
      </c>
      <c r="E224" s="9" t="s">
        <v>69</v>
      </c>
      <c r="F224" s="9" t="s">
        <v>64</v>
      </c>
      <c r="G224" s="12">
        <v>2.1</v>
      </c>
      <c r="H224" s="17">
        <v>11.0</v>
      </c>
      <c r="I224" s="16"/>
    </row>
    <row r="225">
      <c r="A225" s="8">
        <v>1921.0</v>
      </c>
      <c r="B225" s="9" t="s">
        <v>9</v>
      </c>
      <c r="C225" s="10">
        <f t="shared" si="1"/>
        <v>7001.194824</v>
      </c>
      <c r="D225" s="15"/>
      <c r="E225" s="9" t="s">
        <v>46</v>
      </c>
      <c r="F225" s="19"/>
      <c r="G225" s="15"/>
      <c r="H225" s="13"/>
      <c r="I225" s="16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8">
        <v>1925.0</v>
      </c>
      <c r="B226" s="9" t="s">
        <v>9</v>
      </c>
      <c r="C226" s="10">
        <f t="shared" si="1"/>
        <v>7006.194824</v>
      </c>
      <c r="D226" s="12">
        <v>7002.32</v>
      </c>
      <c r="E226" s="9" t="s">
        <v>38</v>
      </c>
      <c r="F226" s="9" t="s">
        <v>114</v>
      </c>
      <c r="G226" s="12">
        <v>1.2</v>
      </c>
      <c r="H226" s="17" t="s">
        <v>31</v>
      </c>
      <c r="I226" s="16"/>
    </row>
    <row r="227">
      <c r="A227" s="8">
        <v>1931.0</v>
      </c>
      <c r="B227" s="9" t="s">
        <v>9</v>
      </c>
      <c r="C227" s="10">
        <f t="shared" si="1"/>
        <v>7013.694824</v>
      </c>
      <c r="D227" s="12">
        <v>7010.02</v>
      </c>
      <c r="E227" s="9" t="s">
        <v>69</v>
      </c>
      <c r="F227" s="9" t="s">
        <v>64</v>
      </c>
      <c r="G227" s="12">
        <v>1.9</v>
      </c>
      <c r="H227" s="17" t="s">
        <v>67</v>
      </c>
      <c r="I227" s="14" t="s">
        <v>115</v>
      </c>
    </row>
    <row r="228">
      <c r="A228" s="8">
        <v>1935.0</v>
      </c>
      <c r="B228" s="9" t="s">
        <v>9</v>
      </c>
      <c r="C228" s="10">
        <f t="shared" si="1"/>
        <v>7018.694824</v>
      </c>
      <c r="D228" s="12">
        <v>7015.18</v>
      </c>
      <c r="E228" s="9" t="s">
        <v>69</v>
      </c>
      <c r="F228" s="9" t="s">
        <v>64</v>
      </c>
      <c r="G228" s="12">
        <v>0.4</v>
      </c>
      <c r="H228" s="17" t="s">
        <v>67</v>
      </c>
      <c r="I228" s="16"/>
    </row>
    <row r="229">
      <c r="A229" s="8">
        <v>1944.0</v>
      </c>
      <c r="B229" s="9" t="s">
        <v>9</v>
      </c>
      <c r="C229" s="10">
        <f t="shared" si="1"/>
        <v>7029.944824</v>
      </c>
      <c r="D229" s="12">
        <v>7025.59</v>
      </c>
      <c r="E229" s="9" t="s">
        <v>69</v>
      </c>
      <c r="F229" s="9" t="s">
        <v>64</v>
      </c>
      <c r="G229" s="12">
        <v>0.6</v>
      </c>
      <c r="H229" s="17" t="s">
        <v>95</v>
      </c>
      <c r="I229" s="16"/>
    </row>
    <row r="230">
      <c r="A230" s="8">
        <v>1954.0</v>
      </c>
      <c r="B230" s="9" t="s">
        <v>9</v>
      </c>
      <c r="C230" s="10">
        <f t="shared" si="1"/>
        <v>7042.444824</v>
      </c>
      <c r="D230" s="12">
        <v>7038.08</v>
      </c>
      <c r="E230" s="9" t="s">
        <v>69</v>
      </c>
      <c r="F230" s="9" t="s">
        <v>64</v>
      </c>
      <c r="G230" s="12">
        <v>1.4</v>
      </c>
      <c r="H230" s="17" t="s">
        <v>95</v>
      </c>
      <c r="I230" s="16"/>
    </row>
    <row r="231">
      <c r="A231" s="8">
        <v>1958.0</v>
      </c>
      <c r="B231" s="9" t="s">
        <v>9</v>
      </c>
      <c r="C231" s="10">
        <f t="shared" si="1"/>
        <v>7047.444824</v>
      </c>
      <c r="D231" s="12">
        <v>7043.21</v>
      </c>
      <c r="E231" s="9" t="s">
        <v>69</v>
      </c>
      <c r="F231" s="9" t="s">
        <v>64</v>
      </c>
      <c r="G231" s="12">
        <v>0.9</v>
      </c>
      <c r="H231" s="17" t="s">
        <v>67</v>
      </c>
      <c r="I231" s="16"/>
    </row>
    <row r="232">
      <c r="A232" s="8">
        <v>1963.0</v>
      </c>
      <c r="B232" s="9" t="s">
        <v>9</v>
      </c>
      <c r="C232" s="10">
        <f t="shared" si="1"/>
        <v>7053.694824</v>
      </c>
      <c r="D232" s="15"/>
      <c r="E232" s="9" t="s">
        <v>46</v>
      </c>
      <c r="F232" s="19"/>
      <c r="G232" s="15"/>
      <c r="H232" s="13"/>
      <c r="I232" s="16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8">
        <v>1969.0</v>
      </c>
      <c r="B233" s="9" t="s">
        <v>9</v>
      </c>
      <c r="C233" s="10">
        <f t="shared" si="1"/>
        <v>7061.194824</v>
      </c>
      <c r="D233" s="12">
        <v>7056.76</v>
      </c>
      <c r="E233" s="9" t="s">
        <v>69</v>
      </c>
      <c r="F233" s="9" t="s">
        <v>64</v>
      </c>
      <c r="G233" s="12">
        <v>1.0</v>
      </c>
      <c r="H233" s="17" t="s">
        <v>31</v>
      </c>
      <c r="I233" s="16"/>
    </row>
    <row r="234">
      <c r="A234" s="8">
        <v>1975.0</v>
      </c>
      <c r="B234" s="9" t="s">
        <v>9</v>
      </c>
      <c r="C234" s="10">
        <f t="shared" si="1"/>
        <v>7068.694824</v>
      </c>
      <c r="D234" s="12">
        <v>7065.11</v>
      </c>
      <c r="E234" s="9" t="s">
        <v>19</v>
      </c>
      <c r="F234" s="9" t="s">
        <v>116</v>
      </c>
      <c r="G234" s="12">
        <v>61.0</v>
      </c>
      <c r="H234" s="13"/>
      <c r="I234" s="16"/>
    </row>
    <row r="235">
      <c r="A235" s="8">
        <v>1987.0</v>
      </c>
      <c r="B235" s="9" t="s">
        <v>9</v>
      </c>
      <c r="C235" s="10">
        <f t="shared" si="1"/>
        <v>7083.694824</v>
      </c>
      <c r="D235" s="12">
        <v>7078.89</v>
      </c>
      <c r="E235" s="9" t="s">
        <v>69</v>
      </c>
      <c r="F235" s="9" t="s">
        <v>64</v>
      </c>
      <c r="G235" s="12">
        <v>0.6</v>
      </c>
      <c r="H235" s="17" t="s">
        <v>31</v>
      </c>
      <c r="I235" s="14" t="s">
        <v>117</v>
      </c>
    </row>
    <row r="236">
      <c r="A236" s="8">
        <v>1994.0</v>
      </c>
      <c r="B236" s="9" t="s">
        <v>9</v>
      </c>
      <c r="C236" s="10">
        <f t="shared" si="1"/>
        <v>7092.444824</v>
      </c>
      <c r="D236" s="15"/>
      <c r="E236" s="9" t="s">
        <v>46</v>
      </c>
      <c r="F236" s="19"/>
      <c r="G236" s="15"/>
      <c r="H236" s="13"/>
      <c r="I236" s="16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8">
        <v>1997.0</v>
      </c>
      <c r="B237" s="9" t="s">
        <v>9</v>
      </c>
      <c r="C237" s="10">
        <f t="shared" si="1"/>
        <v>7096.194824</v>
      </c>
      <c r="D237" s="12">
        <v>7092.14</v>
      </c>
      <c r="E237" s="9" t="s">
        <v>63</v>
      </c>
      <c r="F237" s="9" t="s">
        <v>64</v>
      </c>
      <c r="G237" s="12">
        <v>3.1</v>
      </c>
      <c r="H237" s="13"/>
      <c r="I237" s="16"/>
    </row>
    <row r="238">
      <c r="A238" s="8">
        <v>2004.0</v>
      </c>
      <c r="B238" s="9" t="s">
        <v>9</v>
      </c>
      <c r="C238" s="10">
        <f t="shared" si="1"/>
        <v>7104.944824</v>
      </c>
      <c r="D238" s="15"/>
      <c r="E238" s="9" t="s">
        <v>46</v>
      </c>
      <c r="F238" s="19"/>
      <c r="G238" s="15"/>
      <c r="H238" s="13"/>
      <c r="I238" s="16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8">
        <v>2008.0</v>
      </c>
      <c r="B239" s="9" t="s">
        <v>9</v>
      </c>
      <c r="C239" s="10">
        <f t="shared" si="1"/>
        <v>7109.944824</v>
      </c>
      <c r="D239" s="12">
        <v>7105.4</v>
      </c>
      <c r="E239" s="9" t="s">
        <v>63</v>
      </c>
      <c r="F239" s="9" t="s">
        <v>64</v>
      </c>
      <c r="G239" s="12">
        <v>2.0</v>
      </c>
      <c r="H239" s="17" t="s">
        <v>67</v>
      </c>
      <c r="I239" s="16"/>
    </row>
    <row r="240">
      <c r="A240" s="8">
        <v>2012.0</v>
      </c>
      <c r="B240" s="9" t="s">
        <v>9</v>
      </c>
      <c r="C240" s="10">
        <f t="shared" si="1"/>
        <v>7114.944824</v>
      </c>
      <c r="D240" s="12">
        <v>7111.43</v>
      </c>
      <c r="E240" s="9" t="s">
        <v>63</v>
      </c>
      <c r="F240" s="9" t="s">
        <v>64</v>
      </c>
      <c r="G240" s="12">
        <v>2.2</v>
      </c>
      <c r="H240" s="17" t="s">
        <v>67</v>
      </c>
      <c r="I240" s="16"/>
    </row>
    <row r="241">
      <c r="A241" s="8">
        <v>2023.0</v>
      </c>
      <c r="B241" s="9" t="s">
        <v>9</v>
      </c>
      <c r="C241" s="10">
        <f t="shared" si="1"/>
        <v>7128.694824</v>
      </c>
      <c r="D241" s="15"/>
      <c r="E241" s="9" t="s">
        <v>46</v>
      </c>
      <c r="F241" s="19"/>
      <c r="G241" s="15"/>
      <c r="H241" s="13"/>
      <c r="I241" s="16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8">
        <v>2027.0</v>
      </c>
      <c r="B242" s="9" t="s">
        <v>9</v>
      </c>
      <c r="C242" s="10">
        <f t="shared" si="1"/>
        <v>7133.694824</v>
      </c>
      <c r="D242" s="15"/>
      <c r="E242" s="9" t="s">
        <v>46</v>
      </c>
      <c r="F242" s="19"/>
      <c r="G242" s="15"/>
      <c r="H242" s="13"/>
      <c r="I242" s="16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8">
        <v>2032.0</v>
      </c>
      <c r="B243" s="9" t="s">
        <v>9</v>
      </c>
      <c r="C243" s="10">
        <f t="shared" si="1"/>
        <v>7139.944824</v>
      </c>
      <c r="D243" s="12">
        <v>7135.5</v>
      </c>
      <c r="E243" s="9" t="s">
        <v>19</v>
      </c>
      <c r="F243" s="9" t="s">
        <v>118</v>
      </c>
      <c r="G243" s="12">
        <v>196.0</v>
      </c>
      <c r="H243" s="13"/>
      <c r="I243" s="16"/>
    </row>
    <row r="244">
      <c r="A244" s="8">
        <v>2039.0</v>
      </c>
      <c r="B244" s="9" t="s">
        <v>9</v>
      </c>
      <c r="C244" s="10">
        <f t="shared" si="1"/>
        <v>7148.694824</v>
      </c>
      <c r="D244" s="12">
        <v>7143.58</v>
      </c>
      <c r="E244" s="9" t="s">
        <v>63</v>
      </c>
      <c r="F244" s="9" t="s">
        <v>64</v>
      </c>
      <c r="G244" s="12">
        <v>1.3</v>
      </c>
      <c r="H244" s="17" t="s">
        <v>119</v>
      </c>
      <c r="I244" s="16"/>
    </row>
    <row r="245">
      <c r="A245" s="8">
        <v>2047.0</v>
      </c>
      <c r="B245" s="9" t="s">
        <v>9</v>
      </c>
      <c r="C245" s="10">
        <f t="shared" si="1"/>
        <v>7158.694824</v>
      </c>
      <c r="D245" s="12">
        <v>7155.04</v>
      </c>
      <c r="E245" s="18" t="s">
        <v>11</v>
      </c>
      <c r="F245" s="9" t="s">
        <v>120</v>
      </c>
      <c r="G245" s="12">
        <v>0.9</v>
      </c>
      <c r="H245" s="13"/>
      <c r="I245" s="14" t="s">
        <v>121</v>
      </c>
    </row>
    <row r="246">
      <c r="A246" s="8">
        <v>2052.0</v>
      </c>
      <c r="B246" s="9" t="s">
        <v>9</v>
      </c>
      <c r="C246" s="10">
        <f t="shared" si="1"/>
        <v>7164.944824</v>
      </c>
      <c r="D246" s="12">
        <v>7161.26</v>
      </c>
      <c r="E246" s="9" t="s">
        <v>19</v>
      </c>
      <c r="F246" s="9" t="s">
        <v>122</v>
      </c>
      <c r="G246" s="12">
        <v>0.7</v>
      </c>
      <c r="H246" s="17" t="s">
        <v>67</v>
      </c>
      <c r="I246" s="14" t="s">
        <v>123</v>
      </c>
    </row>
    <row r="247">
      <c r="A247" s="8">
        <v>2060.0</v>
      </c>
      <c r="B247" s="9" t="s">
        <v>14</v>
      </c>
      <c r="C247" s="10">
        <f t="shared" si="1"/>
        <v>7174.944824</v>
      </c>
      <c r="D247" s="12">
        <v>7170.18</v>
      </c>
      <c r="E247" s="9" t="s">
        <v>15</v>
      </c>
      <c r="F247" s="9" t="s">
        <v>124</v>
      </c>
      <c r="G247" s="12">
        <v>3.1</v>
      </c>
      <c r="H247" s="17">
        <v>11.0</v>
      </c>
      <c r="I247" s="16"/>
    </row>
    <row r="248">
      <c r="A248" s="8">
        <v>2066.0</v>
      </c>
      <c r="B248" s="9" t="s">
        <v>9</v>
      </c>
      <c r="C248" s="10">
        <f t="shared" si="1"/>
        <v>7182.444824</v>
      </c>
      <c r="D248" s="12">
        <v>7178.54</v>
      </c>
      <c r="E248" s="9" t="s">
        <v>63</v>
      </c>
      <c r="F248" s="9" t="s">
        <v>64</v>
      </c>
      <c r="G248" s="12">
        <v>2.6</v>
      </c>
      <c r="H248" s="17" t="s">
        <v>31</v>
      </c>
      <c r="I248" s="16"/>
    </row>
    <row r="249">
      <c r="A249" s="8">
        <v>2071.0</v>
      </c>
      <c r="B249" s="9" t="s">
        <v>9</v>
      </c>
      <c r="C249" s="10">
        <f t="shared" si="1"/>
        <v>7188.694824</v>
      </c>
      <c r="D249" s="12"/>
      <c r="E249" s="9" t="s">
        <v>125</v>
      </c>
      <c r="F249" s="9" t="s">
        <v>64</v>
      </c>
      <c r="G249" s="12">
        <v>1.0</v>
      </c>
      <c r="H249" s="17" t="s">
        <v>67</v>
      </c>
      <c r="I249" s="14" t="s">
        <v>126</v>
      </c>
    </row>
    <row r="250">
      <c r="A250" s="8">
        <v>2079.0</v>
      </c>
      <c r="B250" s="9" t="s">
        <v>9</v>
      </c>
      <c r="C250" s="10">
        <f t="shared" si="1"/>
        <v>7198.694824</v>
      </c>
      <c r="D250" s="12">
        <v>7194.0</v>
      </c>
      <c r="E250" s="9" t="s">
        <v>69</v>
      </c>
      <c r="F250" s="9" t="s">
        <v>64</v>
      </c>
      <c r="G250" s="12">
        <v>2.1</v>
      </c>
      <c r="H250" s="17">
        <v>11.0</v>
      </c>
      <c r="I250" s="14" t="s">
        <v>127</v>
      </c>
    </row>
    <row r="251">
      <c r="A251" s="8">
        <v>2082.0</v>
      </c>
      <c r="B251" s="9" t="s">
        <v>9</v>
      </c>
      <c r="C251" s="10">
        <f t="shared" si="1"/>
        <v>7202.444824</v>
      </c>
      <c r="D251" s="12">
        <v>7198.82</v>
      </c>
      <c r="E251" s="9" t="s">
        <v>125</v>
      </c>
      <c r="F251" s="9" t="s">
        <v>64</v>
      </c>
      <c r="G251" s="12">
        <v>0.5</v>
      </c>
      <c r="H251" s="17" t="s">
        <v>67</v>
      </c>
      <c r="I251" s="14" t="s">
        <v>128</v>
      </c>
    </row>
    <row r="252">
      <c r="A252" s="8">
        <v>2091.0</v>
      </c>
      <c r="B252" s="9" t="s">
        <v>9</v>
      </c>
      <c r="C252" s="10">
        <f t="shared" si="1"/>
        <v>7213.694824</v>
      </c>
      <c r="D252" s="15"/>
      <c r="E252" s="9" t="s">
        <v>46</v>
      </c>
      <c r="F252" s="19"/>
      <c r="G252" s="15"/>
      <c r="H252" s="13"/>
      <c r="I252" s="16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8">
        <v>2101.0</v>
      </c>
      <c r="B253" s="9" t="s">
        <v>9</v>
      </c>
      <c r="C253" s="10">
        <f t="shared" si="1"/>
        <v>7226.194824</v>
      </c>
      <c r="D253" s="12">
        <v>7223.39</v>
      </c>
      <c r="E253" s="9" t="s">
        <v>82</v>
      </c>
      <c r="F253" s="9" t="s">
        <v>64</v>
      </c>
      <c r="G253" s="12">
        <v>1.9</v>
      </c>
      <c r="H253" s="13"/>
      <c r="I253" s="14" t="s">
        <v>129</v>
      </c>
    </row>
    <row r="254">
      <c r="A254" s="8">
        <v>2114.0</v>
      </c>
      <c r="B254" s="9" t="s">
        <v>9</v>
      </c>
      <c r="C254" s="10">
        <f t="shared" si="1"/>
        <v>7242.444824</v>
      </c>
      <c r="D254" s="12">
        <v>7237.66</v>
      </c>
      <c r="E254" s="9" t="s">
        <v>63</v>
      </c>
      <c r="F254" s="9" t="s">
        <v>130</v>
      </c>
      <c r="G254" s="12">
        <v>3.8</v>
      </c>
      <c r="H254" s="17" t="s">
        <v>31</v>
      </c>
      <c r="I254" s="14" t="s">
        <v>131</v>
      </c>
    </row>
    <row r="255">
      <c r="A255" s="8">
        <v>2127.0</v>
      </c>
      <c r="B255" s="9" t="s">
        <v>9</v>
      </c>
      <c r="C255" s="10">
        <f t="shared" si="1"/>
        <v>7258.694824</v>
      </c>
      <c r="D255" s="12">
        <v>7254.2</v>
      </c>
      <c r="E255" s="9" t="s">
        <v>38</v>
      </c>
      <c r="F255" s="9" t="s">
        <v>132</v>
      </c>
      <c r="G255" s="12">
        <v>5.4</v>
      </c>
      <c r="H255" s="17" t="s">
        <v>133</v>
      </c>
      <c r="I255" s="16"/>
    </row>
    <row r="256">
      <c r="A256" s="20">
        <v>2134.0</v>
      </c>
      <c r="B256" s="9" t="s">
        <v>14</v>
      </c>
      <c r="C256" s="10">
        <f t="shared" si="1"/>
        <v>7267.444824</v>
      </c>
      <c r="D256" s="12">
        <v>7262.95</v>
      </c>
      <c r="E256" s="9" t="s">
        <v>15</v>
      </c>
      <c r="F256" s="9" t="s">
        <v>134</v>
      </c>
      <c r="G256" s="12">
        <v>3.2</v>
      </c>
      <c r="H256" s="17">
        <v>11.0</v>
      </c>
      <c r="I256" s="16"/>
    </row>
    <row r="257">
      <c r="A257" s="8">
        <v>2141.0</v>
      </c>
      <c r="B257" s="9" t="s">
        <v>9</v>
      </c>
      <c r="C257" s="10">
        <f t="shared" si="1"/>
        <v>7276.194824</v>
      </c>
      <c r="D257" s="15"/>
      <c r="E257" s="9" t="s">
        <v>66</v>
      </c>
      <c r="F257" s="9" t="s">
        <v>135</v>
      </c>
      <c r="G257" s="12">
        <v>3.7</v>
      </c>
      <c r="H257" s="13"/>
      <c r="I257" s="14" t="s">
        <v>136</v>
      </c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8">
        <v>2148.0</v>
      </c>
      <c r="B258" s="9" t="s">
        <v>9</v>
      </c>
      <c r="C258" s="10">
        <f t="shared" si="1"/>
        <v>7284.944824</v>
      </c>
      <c r="D258" s="12">
        <v>7281.16</v>
      </c>
      <c r="E258" s="9" t="s">
        <v>19</v>
      </c>
      <c r="F258" s="9" t="s">
        <v>137</v>
      </c>
      <c r="G258" s="12">
        <v>20.2</v>
      </c>
      <c r="H258" s="13"/>
      <c r="I258" s="16"/>
    </row>
    <row r="259">
      <c r="A259" s="8">
        <v>2154.0</v>
      </c>
      <c r="B259" s="9" t="s">
        <v>9</v>
      </c>
      <c r="C259" s="10">
        <f t="shared" si="1"/>
        <v>7292.444824</v>
      </c>
      <c r="D259" s="12">
        <v>7288.21</v>
      </c>
      <c r="E259" s="9" t="s">
        <v>93</v>
      </c>
      <c r="F259" s="9" t="s">
        <v>64</v>
      </c>
      <c r="G259" s="12">
        <v>0.5</v>
      </c>
      <c r="H259" s="13"/>
      <c r="I259" s="14" t="s">
        <v>138</v>
      </c>
    </row>
    <row r="260">
      <c r="A260" s="8">
        <v>2164.0</v>
      </c>
      <c r="B260" s="9" t="s">
        <v>9</v>
      </c>
      <c r="C260" s="10">
        <f t="shared" si="1"/>
        <v>7304.944824</v>
      </c>
      <c r="D260" s="12"/>
      <c r="E260" s="9" t="s">
        <v>66</v>
      </c>
      <c r="F260" s="9" t="s">
        <v>139</v>
      </c>
      <c r="G260" s="12">
        <v>1.8</v>
      </c>
      <c r="H260" s="17"/>
      <c r="I260" s="14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8">
        <v>2168.0</v>
      </c>
      <c r="B261" s="9" t="s">
        <v>9</v>
      </c>
      <c r="C261" s="10">
        <f t="shared" si="1"/>
        <v>7309.944824</v>
      </c>
      <c r="D261" s="12">
        <v>7306.08</v>
      </c>
      <c r="E261" s="9" t="s">
        <v>125</v>
      </c>
      <c r="F261" s="9" t="s">
        <v>64</v>
      </c>
      <c r="G261" s="12">
        <v>0.2</v>
      </c>
      <c r="H261" s="17" t="s">
        <v>67</v>
      </c>
      <c r="I261" s="14" t="s">
        <v>140</v>
      </c>
    </row>
    <row r="262">
      <c r="A262" s="8">
        <v>2173.0</v>
      </c>
      <c r="B262" s="9" t="s">
        <v>9</v>
      </c>
      <c r="C262" s="10">
        <f t="shared" si="1"/>
        <v>7316.194824</v>
      </c>
      <c r="D262" s="12">
        <v>7312.98</v>
      </c>
      <c r="E262" s="9" t="s">
        <v>66</v>
      </c>
      <c r="F262" s="9" t="s">
        <v>141</v>
      </c>
      <c r="G262" s="12">
        <v>2.6</v>
      </c>
      <c r="H262" s="17" t="s">
        <v>28</v>
      </c>
      <c r="I262" s="14" t="s">
        <v>142</v>
      </c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8">
        <v>2179.0</v>
      </c>
      <c r="B263" s="9" t="s">
        <v>9</v>
      </c>
      <c r="C263" s="10">
        <f t="shared" si="1"/>
        <v>7323.694824</v>
      </c>
      <c r="D263" s="12">
        <v>7319.85</v>
      </c>
      <c r="E263" s="9" t="s">
        <v>52</v>
      </c>
      <c r="F263" s="9" t="s">
        <v>143</v>
      </c>
      <c r="G263" s="15">
        <v>71.0</v>
      </c>
      <c r="H263" s="13"/>
      <c r="I263" s="16"/>
    </row>
    <row r="264">
      <c r="A264" s="8">
        <v>2187.0</v>
      </c>
      <c r="B264" s="9" t="s">
        <v>9</v>
      </c>
      <c r="C264" s="10">
        <f t="shared" si="1"/>
        <v>7333.694824</v>
      </c>
      <c r="D264" s="12">
        <v>7330.14</v>
      </c>
      <c r="E264" s="9" t="s">
        <v>52</v>
      </c>
      <c r="F264" s="9" t="s">
        <v>144</v>
      </c>
      <c r="G264" s="15">
        <v>48.0</v>
      </c>
      <c r="H264" s="13"/>
      <c r="I264" s="16"/>
    </row>
    <row r="265">
      <c r="A265" s="8">
        <v>2193.0</v>
      </c>
      <c r="B265" s="9" t="s">
        <v>9</v>
      </c>
      <c r="C265" s="10">
        <f t="shared" si="1"/>
        <v>7341.194824</v>
      </c>
      <c r="D265" s="12"/>
      <c r="E265" s="9" t="s">
        <v>66</v>
      </c>
      <c r="F265" s="9" t="s">
        <v>145</v>
      </c>
      <c r="G265" s="12">
        <v>3.5</v>
      </c>
      <c r="H265" s="13"/>
      <c r="I265" s="16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8">
        <v>2199.0</v>
      </c>
      <c r="B266" s="9" t="s">
        <v>9</v>
      </c>
      <c r="C266" s="10">
        <f t="shared" si="1"/>
        <v>7348.694824</v>
      </c>
      <c r="D266" s="12">
        <v>7345.24</v>
      </c>
      <c r="E266" s="9" t="s">
        <v>69</v>
      </c>
      <c r="F266" s="9" t="s">
        <v>64</v>
      </c>
      <c r="G266" s="12">
        <v>0.8</v>
      </c>
      <c r="H266" s="17" t="s">
        <v>67</v>
      </c>
      <c r="I266" s="16"/>
    </row>
    <row r="267">
      <c r="A267" s="8">
        <v>2207.0</v>
      </c>
      <c r="B267" s="9" t="s">
        <v>9</v>
      </c>
      <c r="C267" s="10">
        <f t="shared" si="1"/>
        <v>7358.694824</v>
      </c>
      <c r="D267" s="15"/>
      <c r="E267" s="9" t="s">
        <v>66</v>
      </c>
      <c r="F267" s="9" t="s">
        <v>146</v>
      </c>
      <c r="G267" s="12">
        <v>1.4</v>
      </c>
      <c r="H267" s="13"/>
      <c r="I267" s="16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8">
        <v>2216.0</v>
      </c>
      <c r="B268" s="9" t="s">
        <v>9</v>
      </c>
      <c r="C268" s="10">
        <f t="shared" si="1"/>
        <v>7369.944824</v>
      </c>
      <c r="D268" s="15"/>
      <c r="E268" s="9" t="s">
        <v>66</v>
      </c>
      <c r="F268" s="9" t="s">
        <v>147</v>
      </c>
      <c r="G268" s="12">
        <v>2.3</v>
      </c>
      <c r="H268" s="13"/>
      <c r="I268" s="16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8">
        <v>2225.0</v>
      </c>
      <c r="B269" s="9" t="s">
        <v>9</v>
      </c>
      <c r="C269" s="10">
        <f t="shared" si="1"/>
        <v>7381.194824</v>
      </c>
      <c r="D269" s="12">
        <v>7377.51</v>
      </c>
      <c r="E269" s="9" t="s">
        <v>11</v>
      </c>
      <c r="F269" s="9" t="s">
        <v>148</v>
      </c>
      <c r="G269" s="12">
        <v>1.3</v>
      </c>
      <c r="H269" s="13"/>
      <c r="I269" s="14" t="s">
        <v>149</v>
      </c>
    </row>
    <row r="270">
      <c r="A270" s="8">
        <v>2234.0</v>
      </c>
      <c r="B270" s="9" t="s">
        <v>9</v>
      </c>
      <c r="C270" s="10">
        <f t="shared" si="1"/>
        <v>7392.444824</v>
      </c>
      <c r="D270" s="15"/>
      <c r="E270" s="9" t="s">
        <v>66</v>
      </c>
      <c r="F270" s="9" t="s">
        <v>150</v>
      </c>
      <c r="G270" s="12">
        <v>0.8</v>
      </c>
      <c r="H270" s="13"/>
      <c r="I270" s="16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8">
        <v>2242.0</v>
      </c>
      <c r="B271" s="9" t="s">
        <v>9</v>
      </c>
      <c r="C271" s="10">
        <f t="shared" si="1"/>
        <v>7402.444824</v>
      </c>
      <c r="D271" s="15"/>
      <c r="E271" s="9" t="s">
        <v>66</v>
      </c>
      <c r="F271" s="9" t="s">
        <v>151</v>
      </c>
      <c r="G271" s="12">
        <v>1.9</v>
      </c>
      <c r="H271" s="13"/>
      <c r="I271" s="16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8">
        <v>2246.0</v>
      </c>
      <c r="B272" s="9" t="s">
        <v>9</v>
      </c>
      <c r="C272" s="10">
        <f t="shared" si="1"/>
        <v>7407.444824</v>
      </c>
      <c r="D272" s="15"/>
      <c r="E272" s="9" t="s">
        <v>46</v>
      </c>
      <c r="F272" s="19"/>
      <c r="G272" s="15"/>
      <c r="H272" s="13"/>
      <c r="I272" s="16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8">
        <v>2252.0</v>
      </c>
      <c r="B273" s="9" t="s">
        <v>9</v>
      </c>
      <c r="C273" s="10">
        <f t="shared" si="1"/>
        <v>7414.944824</v>
      </c>
      <c r="D273" s="12">
        <v>7411.65</v>
      </c>
      <c r="E273" s="9" t="s">
        <v>11</v>
      </c>
      <c r="F273" s="9" t="s">
        <v>152</v>
      </c>
      <c r="G273" s="12">
        <v>0.6</v>
      </c>
      <c r="H273" s="13"/>
      <c r="I273" s="14" t="s">
        <v>149</v>
      </c>
    </row>
    <row r="274">
      <c r="A274" s="8">
        <v>2263.0</v>
      </c>
      <c r="B274" s="9" t="s">
        <v>9</v>
      </c>
      <c r="C274" s="10">
        <f t="shared" si="1"/>
        <v>7428.694824</v>
      </c>
      <c r="D274" s="12">
        <v>7426.28</v>
      </c>
      <c r="E274" s="9" t="s">
        <v>153</v>
      </c>
      <c r="F274" s="9" t="s">
        <v>64</v>
      </c>
      <c r="G274" s="12">
        <v>0.5</v>
      </c>
      <c r="H274" s="13"/>
      <c r="I274" s="18" t="s">
        <v>149</v>
      </c>
    </row>
    <row r="275">
      <c r="A275" s="8">
        <v>2271.0</v>
      </c>
      <c r="B275" s="9" t="s">
        <v>9</v>
      </c>
      <c r="C275" s="10">
        <f t="shared" si="1"/>
        <v>7438.694824</v>
      </c>
      <c r="D275" s="15"/>
      <c r="E275" s="9" t="s">
        <v>66</v>
      </c>
      <c r="F275" s="9" t="s">
        <v>154</v>
      </c>
      <c r="G275" s="12">
        <v>0.7</v>
      </c>
      <c r="H275" s="13"/>
      <c r="I275" s="16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8">
        <v>2277.0</v>
      </c>
      <c r="B276" s="9" t="s">
        <v>9</v>
      </c>
      <c r="C276" s="10">
        <f t="shared" si="1"/>
        <v>7446.194824</v>
      </c>
      <c r="D276" s="12">
        <v>7442.47</v>
      </c>
      <c r="E276" s="9" t="s">
        <v>38</v>
      </c>
      <c r="F276" s="9" t="s">
        <v>155</v>
      </c>
      <c r="G276" s="12">
        <v>1.1</v>
      </c>
      <c r="H276" s="17">
        <v>101.0</v>
      </c>
      <c r="I276" s="14"/>
    </row>
    <row r="277">
      <c r="A277" s="8">
        <v>2294.0</v>
      </c>
      <c r="B277" s="9" t="s">
        <v>9</v>
      </c>
      <c r="C277" s="10">
        <f t="shared" si="1"/>
        <v>7467.444824</v>
      </c>
      <c r="D277" s="12">
        <v>7462.86</v>
      </c>
      <c r="E277" s="9" t="s">
        <v>63</v>
      </c>
      <c r="F277" s="9" t="s">
        <v>64</v>
      </c>
      <c r="G277" s="12">
        <v>3.7</v>
      </c>
      <c r="H277" s="17">
        <v>101.0</v>
      </c>
      <c r="I277" s="16"/>
    </row>
    <row r="278">
      <c r="A278" s="8">
        <v>2298.0</v>
      </c>
      <c r="B278" s="9" t="s">
        <v>9</v>
      </c>
      <c r="C278" s="10">
        <f t="shared" si="1"/>
        <v>7472.444824</v>
      </c>
      <c r="D278" s="12">
        <v>7468.61</v>
      </c>
      <c r="E278" s="9" t="s">
        <v>38</v>
      </c>
      <c r="F278" s="9" t="s">
        <v>156</v>
      </c>
      <c r="G278" s="12">
        <v>2.0</v>
      </c>
      <c r="H278" s="17">
        <v>101.0</v>
      </c>
      <c r="I278" s="16"/>
    </row>
    <row r="279">
      <c r="A279" s="8">
        <v>2307.0</v>
      </c>
      <c r="B279" s="9" t="s">
        <v>9</v>
      </c>
      <c r="C279" s="10">
        <f t="shared" si="1"/>
        <v>7483.694824</v>
      </c>
      <c r="D279" s="15"/>
      <c r="E279" s="9" t="s">
        <v>66</v>
      </c>
      <c r="F279" s="9" t="s">
        <v>157</v>
      </c>
      <c r="G279" s="12">
        <v>0.8</v>
      </c>
      <c r="H279" s="13"/>
      <c r="I279" s="16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8">
        <v>2314.0</v>
      </c>
      <c r="B280" s="9" t="s">
        <v>9</v>
      </c>
      <c r="C280" s="10">
        <f t="shared" si="1"/>
        <v>7492.444824</v>
      </c>
      <c r="D280" s="12">
        <v>7488.22</v>
      </c>
      <c r="E280" s="9" t="s">
        <v>63</v>
      </c>
      <c r="F280" s="9" t="s">
        <v>64</v>
      </c>
      <c r="G280" s="12">
        <v>1.6</v>
      </c>
      <c r="H280" s="17" t="s">
        <v>24</v>
      </c>
      <c r="I280" s="16"/>
    </row>
    <row r="281">
      <c r="A281" s="8">
        <v>2323.0</v>
      </c>
      <c r="B281" s="9" t="s">
        <v>9</v>
      </c>
      <c r="C281" s="10">
        <f t="shared" si="1"/>
        <v>7503.694824</v>
      </c>
      <c r="D281" s="12">
        <v>7499.61</v>
      </c>
      <c r="E281" s="9" t="s">
        <v>19</v>
      </c>
      <c r="F281" s="9" t="s">
        <v>158</v>
      </c>
      <c r="G281" s="12">
        <v>1.2</v>
      </c>
      <c r="H281" s="13"/>
      <c r="I281" s="16"/>
    </row>
    <row r="282">
      <c r="A282" s="8">
        <v>2334.0</v>
      </c>
      <c r="B282" s="9" t="s">
        <v>9</v>
      </c>
      <c r="C282" s="10">
        <f t="shared" si="1"/>
        <v>7517.444824</v>
      </c>
      <c r="D282" s="12">
        <v>7513.3</v>
      </c>
      <c r="E282" s="9" t="s">
        <v>11</v>
      </c>
      <c r="F282" s="9" t="s">
        <v>159</v>
      </c>
      <c r="G282" s="12">
        <v>1.5</v>
      </c>
      <c r="H282" s="13"/>
      <c r="I282" s="14" t="s">
        <v>149</v>
      </c>
    </row>
    <row r="283">
      <c r="A283" s="8">
        <v>2340.0</v>
      </c>
      <c r="B283" s="9" t="s">
        <v>9</v>
      </c>
      <c r="C283" s="10">
        <f t="shared" si="1"/>
        <v>7524.944824</v>
      </c>
      <c r="D283" s="15"/>
      <c r="E283" s="9" t="s">
        <v>66</v>
      </c>
      <c r="F283" s="9" t="s">
        <v>160</v>
      </c>
      <c r="G283" s="15"/>
      <c r="H283" s="13"/>
      <c r="I283" s="16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8">
        <v>2345.0</v>
      </c>
      <c r="B284" s="9" t="s">
        <v>9</v>
      </c>
      <c r="C284" s="10">
        <f t="shared" si="1"/>
        <v>7531.194824</v>
      </c>
      <c r="D284" s="12">
        <v>7528.26</v>
      </c>
      <c r="E284" s="9" t="s">
        <v>69</v>
      </c>
      <c r="F284" s="9" t="s">
        <v>130</v>
      </c>
      <c r="G284" s="12">
        <v>2.4</v>
      </c>
      <c r="H284" s="13"/>
      <c r="I284" s="16"/>
    </row>
    <row r="285">
      <c r="A285" s="20">
        <v>2348.0</v>
      </c>
      <c r="B285" s="9" t="s">
        <v>14</v>
      </c>
      <c r="C285" s="10">
        <f t="shared" si="1"/>
        <v>7534.944824</v>
      </c>
      <c r="D285" s="12">
        <v>7530.23</v>
      </c>
      <c r="E285" s="9" t="s">
        <v>15</v>
      </c>
      <c r="F285" s="9" t="s">
        <v>161</v>
      </c>
      <c r="G285" s="12">
        <v>6.7</v>
      </c>
      <c r="H285" s="13"/>
      <c r="I285" s="16"/>
    </row>
    <row r="286">
      <c r="A286" s="8">
        <v>2358.0</v>
      </c>
      <c r="B286" s="9" t="s">
        <v>9</v>
      </c>
      <c r="C286" s="10">
        <f t="shared" si="1"/>
        <v>7547.444824</v>
      </c>
      <c r="D286" s="15"/>
      <c r="E286" s="9" t="s">
        <v>46</v>
      </c>
      <c r="F286" s="19"/>
      <c r="G286" s="15"/>
      <c r="H286" s="13"/>
      <c r="I286" s="16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8">
        <v>2366.0</v>
      </c>
      <c r="B287" s="9" t="s">
        <v>9</v>
      </c>
      <c r="C287" s="10">
        <f t="shared" si="1"/>
        <v>7557.444824</v>
      </c>
      <c r="D287" s="15"/>
      <c r="E287" s="9" t="s">
        <v>66</v>
      </c>
      <c r="F287" s="9" t="s">
        <v>162</v>
      </c>
      <c r="G287" s="12">
        <v>0.6</v>
      </c>
      <c r="H287" s="13"/>
      <c r="I287" s="16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8">
        <v>2378.0</v>
      </c>
      <c r="B288" s="9" t="s">
        <v>9</v>
      </c>
      <c r="C288" s="10">
        <f t="shared" si="1"/>
        <v>7572.444824</v>
      </c>
      <c r="D288" s="12">
        <v>7567.84</v>
      </c>
      <c r="E288" s="9" t="s">
        <v>66</v>
      </c>
      <c r="F288" s="9" t="s">
        <v>163</v>
      </c>
      <c r="G288" s="12">
        <v>1.9</v>
      </c>
      <c r="H288" s="13"/>
      <c r="I288" s="14" t="s">
        <v>164</v>
      </c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8">
        <v>2386.0</v>
      </c>
      <c r="B289" s="9" t="s">
        <v>9</v>
      </c>
      <c r="C289" s="10">
        <f t="shared" si="1"/>
        <v>7582.444824</v>
      </c>
      <c r="D289" s="15"/>
      <c r="E289" s="9" t="s">
        <v>46</v>
      </c>
      <c r="F289" s="19"/>
      <c r="G289" s="15"/>
      <c r="H289" s="13"/>
      <c r="I289" s="16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8">
        <v>2399.0</v>
      </c>
      <c r="B290" s="9" t="s">
        <v>9</v>
      </c>
      <c r="C290" s="10">
        <f t="shared" si="1"/>
        <v>7598.694824</v>
      </c>
      <c r="D290" s="15"/>
      <c r="E290" s="9" t="s">
        <v>66</v>
      </c>
      <c r="F290" s="9" t="s">
        <v>165</v>
      </c>
      <c r="G290" s="15"/>
      <c r="H290" s="13"/>
      <c r="I290" s="22" t="s">
        <v>166</v>
      </c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8">
        <v>2402.0</v>
      </c>
      <c r="B291" s="9" t="s">
        <v>9</v>
      </c>
      <c r="C291" s="10">
        <f t="shared" si="1"/>
        <v>7602.444824</v>
      </c>
      <c r="D291" s="15"/>
      <c r="E291" s="9" t="s">
        <v>112</v>
      </c>
      <c r="G291" s="15"/>
      <c r="H291" s="13"/>
      <c r="I291" s="23"/>
    </row>
    <row r="292">
      <c r="A292" s="8">
        <v>2420.0</v>
      </c>
      <c r="B292" s="9" t="s">
        <v>9</v>
      </c>
      <c r="C292" s="10">
        <f t="shared" si="1"/>
        <v>7624.944824</v>
      </c>
      <c r="D292" s="15"/>
      <c r="E292" s="9" t="s">
        <v>112</v>
      </c>
      <c r="G292" s="15"/>
      <c r="H292" s="13"/>
      <c r="I292" s="23"/>
    </row>
    <row r="293">
      <c r="A293" s="8">
        <v>2423.0</v>
      </c>
      <c r="B293" s="9" t="s">
        <v>9</v>
      </c>
      <c r="C293" s="10">
        <f t="shared" si="1"/>
        <v>7628.694824</v>
      </c>
      <c r="D293" s="15"/>
      <c r="E293" s="9" t="s">
        <v>112</v>
      </c>
      <c r="G293" s="15"/>
      <c r="H293" s="13"/>
      <c r="I293" s="23"/>
    </row>
    <row r="294">
      <c r="A294" s="8">
        <v>2426.0</v>
      </c>
      <c r="B294" s="9" t="s">
        <v>9</v>
      </c>
      <c r="C294" s="10">
        <f t="shared" si="1"/>
        <v>7632.444824</v>
      </c>
      <c r="D294" s="12">
        <v>7628.76</v>
      </c>
      <c r="E294" s="9" t="s">
        <v>63</v>
      </c>
      <c r="F294" s="9" t="s">
        <v>64</v>
      </c>
      <c r="G294" s="12">
        <v>8.2</v>
      </c>
      <c r="H294" s="17">
        <v>11.0</v>
      </c>
      <c r="I294" s="22" t="s">
        <v>167</v>
      </c>
    </row>
    <row r="295">
      <c r="A295" s="8">
        <v>2434.0</v>
      </c>
      <c r="B295" s="9" t="s">
        <v>9</v>
      </c>
      <c r="C295" s="10">
        <f t="shared" si="1"/>
        <v>7642.444824</v>
      </c>
      <c r="D295" s="12">
        <v>7637.63</v>
      </c>
      <c r="E295" s="9" t="s">
        <v>63</v>
      </c>
      <c r="F295" s="9" t="s">
        <v>64</v>
      </c>
      <c r="G295" s="12">
        <v>5.2</v>
      </c>
      <c r="H295" s="17">
        <v>11.0</v>
      </c>
      <c r="I295" s="22" t="s">
        <v>168</v>
      </c>
    </row>
    <row r="296">
      <c r="A296" s="8">
        <v>2437.0</v>
      </c>
      <c r="B296" s="9" t="s">
        <v>9</v>
      </c>
      <c r="C296" s="10">
        <f t="shared" si="1"/>
        <v>7646.194824</v>
      </c>
      <c r="D296" s="15"/>
      <c r="E296" s="9" t="s">
        <v>112</v>
      </c>
      <c r="G296" s="15"/>
      <c r="H296" s="13"/>
      <c r="I296" s="23"/>
    </row>
    <row r="297">
      <c r="A297" s="8">
        <v>2441.0</v>
      </c>
      <c r="B297" s="9" t="s">
        <v>9</v>
      </c>
      <c r="C297" s="10">
        <f t="shared" si="1"/>
        <v>7651.194824</v>
      </c>
      <c r="D297" s="15"/>
      <c r="E297" s="9" t="s">
        <v>112</v>
      </c>
      <c r="G297" s="15"/>
      <c r="H297" s="13"/>
      <c r="I297" s="23"/>
    </row>
    <row r="298">
      <c r="A298" s="8">
        <v>2445.0</v>
      </c>
      <c r="B298" s="9" t="s">
        <v>9</v>
      </c>
      <c r="C298" s="10">
        <f t="shared" si="1"/>
        <v>7656.194824</v>
      </c>
      <c r="D298" s="15"/>
      <c r="E298" s="9" t="s">
        <v>112</v>
      </c>
      <c r="G298" s="15"/>
      <c r="H298" s="13"/>
      <c r="I298" s="23"/>
    </row>
    <row r="299">
      <c r="A299" s="8">
        <v>2450.0</v>
      </c>
      <c r="B299" s="9" t="s">
        <v>9</v>
      </c>
      <c r="C299" s="10">
        <f t="shared" si="1"/>
        <v>7662.444824</v>
      </c>
      <c r="D299" s="15"/>
      <c r="E299" s="9" t="s">
        <v>112</v>
      </c>
      <c r="G299" s="15"/>
      <c r="H299" s="13"/>
      <c r="I299" s="23"/>
    </row>
    <row r="300">
      <c r="A300" s="8">
        <v>2454.0</v>
      </c>
      <c r="B300" s="9" t="s">
        <v>9</v>
      </c>
      <c r="C300" s="10">
        <f t="shared" si="1"/>
        <v>7667.444824</v>
      </c>
      <c r="D300" s="12">
        <v>7663.33</v>
      </c>
      <c r="E300" s="9" t="s">
        <v>63</v>
      </c>
      <c r="F300" s="9" t="s">
        <v>64</v>
      </c>
      <c r="G300" s="12">
        <v>6.3</v>
      </c>
      <c r="H300" s="17" t="s">
        <v>24</v>
      </c>
      <c r="I300" s="22" t="s">
        <v>169</v>
      </c>
    </row>
    <row r="301">
      <c r="A301" s="8">
        <v>2464.0</v>
      </c>
      <c r="B301" s="9" t="s">
        <v>9</v>
      </c>
      <c r="C301" s="10">
        <f t="shared" si="1"/>
        <v>7679.944824</v>
      </c>
      <c r="D301" s="15"/>
      <c r="E301" s="9" t="s">
        <v>112</v>
      </c>
      <c r="G301" s="15"/>
      <c r="H301" s="13"/>
      <c r="I301" s="23"/>
    </row>
    <row r="302">
      <c r="A302" s="8">
        <v>2470.0</v>
      </c>
      <c r="B302" s="9" t="s">
        <v>9</v>
      </c>
      <c r="C302" s="10">
        <f t="shared" si="1"/>
        <v>7687.444824</v>
      </c>
      <c r="D302" s="15"/>
      <c r="E302" s="9" t="s">
        <v>112</v>
      </c>
      <c r="G302" s="15"/>
      <c r="H302" s="13"/>
      <c r="I302" s="23"/>
    </row>
    <row r="303">
      <c r="A303" s="8">
        <v>2474.0</v>
      </c>
      <c r="B303" s="9" t="s">
        <v>9</v>
      </c>
      <c r="C303" s="10">
        <f t="shared" si="1"/>
        <v>7692.444824</v>
      </c>
      <c r="D303" s="15"/>
      <c r="E303" s="9" t="s">
        <v>112</v>
      </c>
      <c r="G303" s="15"/>
      <c r="H303" s="13"/>
      <c r="I303" s="23"/>
    </row>
    <row r="304">
      <c r="A304" s="8">
        <v>2479.0</v>
      </c>
      <c r="B304" s="9" t="s">
        <v>9</v>
      </c>
      <c r="C304" s="10">
        <f t="shared" si="1"/>
        <v>7698.694824</v>
      </c>
      <c r="D304" s="15"/>
      <c r="E304" s="9" t="s">
        <v>112</v>
      </c>
      <c r="G304" s="15"/>
      <c r="H304" s="13"/>
      <c r="I304" s="22" t="s">
        <v>170</v>
      </c>
    </row>
    <row r="305">
      <c r="A305" s="8">
        <v>2490.0</v>
      </c>
      <c r="B305" s="9" t="s">
        <v>9</v>
      </c>
      <c r="C305" s="10">
        <f t="shared" si="1"/>
        <v>7712.444824</v>
      </c>
      <c r="D305" s="12">
        <v>7707.51</v>
      </c>
      <c r="E305" s="9" t="s">
        <v>63</v>
      </c>
      <c r="F305" s="9" t="s">
        <v>130</v>
      </c>
      <c r="G305" s="12">
        <v>4.0</v>
      </c>
      <c r="H305" s="17" t="s">
        <v>24</v>
      </c>
      <c r="I305" s="14" t="s">
        <v>171</v>
      </c>
    </row>
    <row r="306">
      <c r="A306" s="8">
        <v>2494.0</v>
      </c>
      <c r="B306" s="9" t="s">
        <v>9</v>
      </c>
      <c r="C306" s="10">
        <f t="shared" si="1"/>
        <v>7717.444824</v>
      </c>
      <c r="D306" s="12">
        <v>7713.58</v>
      </c>
      <c r="E306" s="9" t="s">
        <v>66</v>
      </c>
      <c r="F306" s="9" t="s">
        <v>172</v>
      </c>
      <c r="G306" s="12">
        <v>2.5</v>
      </c>
      <c r="H306" s="13"/>
      <c r="I306" s="14" t="s">
        <v>173</v>
      </c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8">
        <v>2501.0</v>
      </c>
      <c r="B307" s="9" t="s">
        <v>9</v>
      </c>
      <c r="C307" s="10">
        <f t="shared" si="1"/>
        <v>7726.194824</v>
      </c>
      <c r="D307" s="12">
        <v>7722.36</v>
      </c>
      <c r="E307" s="9" t="s">
        <v>69</v>
      </c>
      <c r="F307" s="9" t="s">
        <v>130</v>
      </c>
      <c r="G307" s="12">
        <v>1.1</v>
      </c>
      <c r="H307" s="17" t="s">
        <v>67</v>
      </c>
      <c r="I307" s="14" t="s">
        <v>174</v>
      </c>
    </row>
    <row r="308">
      <c r="A308" s="8">
        <v>2516.0</v>
      </c>
      <c r="B308" s="9" t="s">
        <v>9</v>
      </c>
      <c r="C308" s="10">
        <f t="shared" si="1"/>
        <v>7744.944824</v>
      </c>
      <c r="D308" s="12">
        <v>7739.1</v>
      </c>
      <c r="E308" s="9" t="s">
        <v>69</v>
      </c>
      <c r="F308" s="9" t="s">
        <v>64</v>
      </c>
      <c r="G308" s="12">
        <v>1.5</v>
      </c>
      <c r="H308" s="17">
        <v>11.0</v>
      </c>
      <c r="I308" s="16"/>
    </row>
    <row r="309">
      <c r="A309" s="8">
        <v>2524.0</v>
      </c>
      <c r="B309" s="9" t="s">
        <v>9</v>
      </c>
      <c r="C309" s="10">
        <f t="shared" si="1"/>
        <v>7754.944824</v>
      </c>
      <c r="D309" s="12">
        <v>7750.92</v>
      </c>
      <c r="E309" s="9" t="s">
        <v>19</v>
      </c>
      <c r="F309" s="9" t="s">
        <v>175</v>
      </c>
      <c r="G309" s="12">
        <v>48.2</v>
      </c>
      <c r="H309" s="17" t="s">
        <v>24</v>
      </c>
      <c r="I309" s="16"/>
    </row>
    <row r="310">
      <c r="A310" s="8">
        <v>2528.0</v>
      </c>
      <c r="B310" s="9" t="s">
        <v>9</v>
      </c>
      <c r="C310" s="10">
        <f t="shared" si="1"/>
        <v>7759.944824</v>
      </c>
      <c r="D310" s="12">
        <v>7756.7</v>
      </c>
      <c r="E310" s="9" t="s">
        <v>66</v>
      </c>
      <c r="F310" s="9" t="s">
        <v>176</v>
      </c>
      <c r="G310" s="12">
        <v>1.2</v>
      </c>
      <c r="H310" s="17" t="s">
        <v>67</v>
      </c>
      <c r="I310" s="24" t="s">
        <v>173</v>
      </c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8">
        <v>2538.0</v>
      </c>
      <c r="B311" s="9" t="s">
        <v>9</v>
      </c>
      <c r="C311" s="10">
        <f t="shared" si="1"/>
        <v>7772.444824</v>
      </c>
      <c r="D311" s="12">
        <v>7768.63</v>
      </c>
      <c r="E311" s="9" t="s">
        <v>63</v>
      </c>
      <c r="F311" s="9" t="s">
        <v>64</v>
      </c>
      <c r="G311" s="12">
        <v>5.6</v>
      </c>
      <c r="H311" s="17" t="s">
        <v>24</v>
      </c>
      <c r="I311" s="16"/>
    </row>
    <row r="312">
      <c r="A312" s="8">
        <v>2549.0</v>
      </c>
      <c r="B312" s="9" t="s">
        <v>9</v>
      </c>
      <c r="C312" s="10">
        <f t="shared" si="1"/>
        <v>7786.194824</v>
      </c>
      <c r="D312" s="12">
        <v>7781.32</v>
      </c>
      <c r="E312" s="9" t="s">
        <v>63</v>
      </c>
      <c r="F312" s="9" t="s">
        <v>64</v>
      </c>
      <c r="G312" s="12">
        <v>5.3</v>
      </c>
      <c r="H312" s="17" t="s">
        <v>24</v>
      </c>
      <c r="I312" s="14" t="s">
        <v>177</v>
      </c>
    </row>
    <row r="313">
      <c r="A313" s="8">
        <v>2556.0</v>
      </c>
      <c r="B313" s="9" t="s">
        <v>9</v>
      </c>
      <c r="C313" s="10">
        <f t="shared" si="1"/>
        <v>7794.944824</v>
      </c>
      <c r="D313" s="12">
        <v>7790.47</v>
      </c>
      <c r="E313" s="9" t="s">
        <v>63</v>
      </c>
      <c r="F313" s="9" t="s">
        <v>130</v>
      </c>
      <c r="G313" s="12">
        <v>5.6</v>
      </c>
      <c r="H313" s="17" t="s">
        <v>24</v>
      </c>
      <c r="I313" s="14" t="s">
        <v>178</v>
      </c>
    </row>
    <row r="314">
      <c r="A314" s="8">
        <v>2565.0</v>
      </c>
      <c r="B314" s="9" t="s">
        <v>9</v>
      </c>
      <c r="C314" s="10">
        <f t="shared" si="1"/>
        <v>7806.194824</v>
      </c>
      <c r="D314" s="12">
        <v>7802.54</v>
      </c>
      <c r="E314" s="9" t="s">
        <v>63</v>
      </c>
      <c r="F314" s="9" t="s">
        <v>64</v>
      </c>
      <c r="G314" s="12">
        <v>1.9</v>
      </c>
      <c r="H314" s="17" t="s">
        <v>67</v>
      </c>
      <c r="I314" s="14" t="s">
        <v>179</v>
      </c>
    </row>
    <row r="315">
      <c r="A315" s="8">
        <v>2577.0</v>
      </c>
      <c r="B315" s="9" t="s">
        <v>9</v>
      </c>
      <c r="C315" s="10">
        <f t="shared" si="1"/>
        <v>7821.194824</v>
      </c>
      <c r="D315" s="12">
        <v>7817.38</v>
      </c>
      <c r="E315" s="9" t="s">
        <v>19</v>
      </c>
      <c r="F315" s="9" t="s">
        <v>180</v>
      </c>
      <c r="G315" s="15"/>
      <c r="H315" s="17" t="s">
        <v>31</v>
      </c>
      <c r="I315" s="14" t="s">
        <v>181</v>
      </c>
    </row>
    <row r="316">
      <c r="A316" s="8">
        <v>2584.0</v>
      </c>
      <c r="B316" s="9" t="s">
        <v>9</v>
      </c>
      <c r="C316" s="10">
        <f t="shared" si="1"/>
        <v>7829.944824</v>
      </c>
      <c r="D316" s="15"/>
      <c r="E316" s="9" t="s">
        <v>46</v>
      </c>
      <c r="F316" s="19"/>
      <c r="G316" s="15"/>
      <c r="H316" s="13"/>
      <c r="I316" s="16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8">
        <v>2589.0</v>
      </c>
      <c r="B317" s="9" t="s">
        <v>9</v>
      </c>
      <c r="C317" s="10">
        <f t="shared" si="1"/>
        <v>7836.194824</v>
      </c>
      <c r="D317" s="15"/>
      <c r="E317" s="9" t="s">
        <v>46</v>
      </c>
      <c r="F317" s="19"/>
      <c r="G317" s="15"/>
      <c r="H317" s="13"/>
      <c r="I317" s="16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8">
        <v>2594.0</v>
      </c>
      <c r="B318" s="9" t="s">
        <v>9</v>
      </c>
      <c r="C318" s="10">
        <f t="shared" si="1"/>
        <v>7842.444824</v>
      </c>
      <c r="D318" s="12">
        <v>7837.68</v>
      </c>
      <c r="E318" s="9" t="s">
        <v>63</v>
      </c>
      <c r="F318" s="9" t="s">
        <v>64</v>
      </c>
      <c r="G318" s="12">
        <v>7.3</v>
      </c>
      <c r="H318" s="17" t="s">
        <v>24</v>
      </c>
      <c r="I318" s="14" t="s">
        <v>182</v>
      </c>
    </row>
    <row r="319">
      <c r="A319" s="8">
        <v>2602.0</v>
      </c>
      <c r="B319" s="9" t="s">
        <v>9</v>
      </c>
      <c r="C319" s="10">
        <f t="shared" si="1"/>
        <v>7852.444824</v>
      </c>
      <c r="D319" s="12">
        <v>7848.43</v>
      </c>
      <c r="E319" s="9" t="s">
        <v>63</v>
      </c>
      <c r="F319" s="9" t="s">
        <v>130</v>
      </c>
      <c r="G319" s="12">
        <v>3.3</v>
      </c>
      <c r="H319" s="17" t="s">
        <v>24</v>
      </c>
      <c r="I319" s="14" t="s">
        <v>183</v>
      </c>
    </row>
    <row r="320">
      <c r="A320" s="8">
        <v>2609.0</v>
      </c>
      <c r="B320" s="9" t="s">
        <v>9</v>
      </c>
      <c r="C320" s="10">
        <f t="shared" si="1"/>
        <v>7861.194824</v>
      </c>
      <c r="D320" s="15"/>
      <c r="E320" s="9" t="s">
        <v>66</v>
      </c>
      <c r="F320" s="9" t="s">
        <v>184</v>
      </c>
      <c r="G320" s="12">
        <v>1.1</v>
      </c>
      <c r="H320" s="13"/>
      <c r="I320" s="16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8">
        <v>2614.0</v>
      </c>
      <c r="B321" s="9" t="s">
        <v>9</v>
      </c>
      <c r="C321" s="10">
        <f t="shared" si="1"/>
        <v>7867.444824</v>
      </c>
      <c r="D321" s="12">
        <v>7862.6</v>
      </c>
      <c r="E321" s="9" t="s">
        <v>185</v>
      </c>
      <c r="F321" s="9" t="s">
        <v>130</v>
      </c>
      <c r="G321" s="12">
        <v>1.3</v>
      </c>
      <c r="H321" s="17">
        <v>11.0</v>
      </c>
      <c r="I321" s="14" t="s">
        <v>186</v>
      </c>
    </row>
    <row r="322">
      <c r="A322" s="8">
        <v>2617.0</v>
      </c>
      <c r="B322" s="9" t="s">
        <v>9</v>
      </c>
      <c r="C322" s="10">
        <f t="shared" si="1"/>
        <v>7871.194824</v>
      </c>
      <c r="D322" s="15"/>
      <c r="E322" s="9" t="s">
        <v>66</v>
      </c>
      <c r="F322" s="9" t="s">
        <v>187</v>
      </c>
      <c r="G322" s="12">
        <v>2.2</v>
      </c>
      <c r="H322" s="13"/>
      <c r="I322" s="16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8">
        <v>2623.0</v>
      </c>
      <c r="B323" s="9" t="s">
        <v>9</v>
      </c>
      <c r="C323" s="10">
        <f t="shared" si="1"/>
        <v>7878.694824</v>
      </c>
      <c r="D323" s="12">
        <v>7874.61</v>
      </c>
      <c r="E323" s="9" t="s">
        <v>188</v>
      </c>
      <c r="F323" s="9" t="s">
        <v>189</v>
      </c>
      <c r="G323" s="12">
        <v>1.2</v>
      </c>
      <c r="H323" s="17" t="s">
        <v>95</v>
      </c>
      <c r="I323" s="14" t="s">
        <v>190</v>
      </c>
    </row>
    <row r="324">
      <c r="A324" s="8">
        <v>2632.0</v>
      </c>
      <c r="B324" s="9" t="s">
        <v>9</v>
      </c>
      <c r="C324" s="10">
        <f t="shared" si="1"/>
        <v>7889.944824</v>
      </c>
      <c r="D324" s="15"/>
      <c r="E324" s="9" t="s">
        <v>66</v>
      </c>
      <c r="F324" s="9" t="s">
        <v>191</v>
      </c>
      <c r="G324" s="12">
        <v>0.5</v>
      </c>
      <c r="H324" s="13"/>
      <c r="I324" s="16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8">
        <v>2636.0</v>
      </c>
      <c r="B325" s="9" t="s">
        <v>9</v>
      </c>
      <c r="C325" s="10">
        <f t="shared" si="1"/>
        <v>7894.944824</v>
      </c>
      <c r="D325" s="12">
        <v>7890.26</v>
      </c>
      <c r="E325" s="9" t="s">
        <v>63</v>
      </c>
      <c r="F325" s="9" t="s">
        <v>64</v>
      </c>
      <c r="G325" s="12">
        <v>3.7</v>
      </c>
      <c r="H325" s="17" t="s">
        <v>24</v>
      </c>
      <c r="I325" s="16"/>
    </row>
    <row r="326">
      <c r="A326" s="8">
        <v>2657.0</v>
      </c>
      <c r="B326" s="9" t="s">
        <v>9</v>
      </c>
      <c r="C326" s="10">
        <f t="shared" si="1"/>
        <v>7921.194824</v>
      </c>
      <c r="D326" s="12">
        <v>7917.34</v>
      </c>
      <c r="E326" s="9" t="s">
        <v>82</v>
      </c>
      <c r="F326" s="9" t="s">
        <v>130</v>
      </c>
      <c r="G326" s="12">
        <v>2.6</v>
      </c>
      <c r="H326" s="17" t="s">
        <v>24</v>
      </c>
      <c r="I326" s="14" t="s">
        <v>192</v>
      </c>
    </row>
    <row r="327">
      <c r="A327" s="8">
        <v>2665.0</v>
      </c>
      <c r="B327" s="9" t="s">
        <v>9</v>
      </c>
      <c r="C327" s="10">
        <f t="shared" si="1"/>
        <v>7931.194824</v>
      </c>
      <c r="D327" s="12">
        <v>7926.7</v>
      </c>
      <c r="E327" s="9" t="s">
        <v>69</v>
      </c>
      <c r="F327" s="9" t="s">
        <v>64</v>
      </c>
      <c r="G327" s="12">
        <v>1.3</v>
      </c>
      <c r="H327" s="17" t="s">
        <v>24</v>
      </c>
      <c r="I327" s="16"/>
    </row>
    <row r="328">
      <c r="A328" s="8">
        <v>2671.0</v>
      </c>
      <c r="B328" s="9" t="s">
        <v>9</v>
      </c>
      <c r="C328" s="10">
        <f t="shared" si="1"/>
        <v>7938.694824</v>
      </c>
      <c r="D328" s="15"/>
      <c r="E328" s="9" t="s">
        <v>46</v>
      </c>
      <c r="F328" s="19"/>
      <c r="G328" s="15"/>
      <c r="H328" s="13"/>
      <c r="I328" s="16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8">
        <v>2679.0</v>
      </c>
      <c r="B329" s="9" t="s">
        <v>9</v>
      </c>
      <c r="C329" s="10">
        <f t="shared" si="1"/>
        <v>7948.694824</v>
      </c>
      <c r="D329" s="15"/>
      <c r="E329" s="9" t="s">
        <v>66</v>
      </c>
      <c r="F329" s="9" t="s">
        <v>193</v>
      </c>
      <c r="G329" s="12">
        <v>0.6</v>
      </c>
      <c r="H329" s="13"/>
      <c r="I329" s="16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8">
        <v>2692.0</v>
      </c>
      <c r="B330" s="9" t="s">
        <v>9</v>
      </c>
      <c r="C330" s="10">
        <f t="shared" si="1"/>
        <v>7964.944824</v>
      </c>
      <c r="D330" s="12">
        <v>7959.85</v>
      </c>
      <c r="E330" s="9" t="s">
        <v>63</v>
      </c>
      <c r="F330" s="9" t="s">
        <v>64</v>
      </c>
      <c r="G330" s="12">
        <v>10.0</v>
      </c>
      <c r="H330" s="17" t="s">
        <v>24</v>
      </c>
      <c r="I330" s="14" t="s">
        <v>194</v>
      </c>
    </row>
    <row r="331">
      <c r="A331" s="8">
        <v>2696.0</v>
      </c>
      <c r="B331" s="9" t="s">
        <v>9</v>
      </c>
      <c r="C331" s="10">
        <f t="shared" si="1"/>
        <v>7969.944824</v>
      </c>
      <c r="D331" s="15"/>
      <c r="E331" s="9" t="s">
        <v>46</v>
      </c>
      <c r="F331" s="19"/>
      <c r="G331" s="15"/>
      <c r="H331" s="13"/>
      <c r="I331" s="16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8">
        <v>2700.0</v>
      </c>
      <c r="B332" s="9" t="s">
        <v>9</v>
      </c>
      <c r="C332" s="10">
        <f t="shared" si="1"/>
        <v>7974.944824</v>
      </c>
      <c r="D332" s="15"/>
      <c r="E332" s="9" t="s">
        <v>46</v>
      </c>
      <c r="F332" s="19"/>
      <c r="G332" s="15"/>
      <c r="H332" s="13"/>
      <c r="I332" s="16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8">
        <v>2704.0</v>
      </c>
      <c r="B333" s="9" t="s">
        <v>9</v>
      </c>
      <c r="C333" s="10">
        <f t="shared" si="1"/>
        <v>7979.944824</v>
      </c>
      <c r="D333" s="15"/>
      <c r="E333" s="9" t="s">
        <v>66</v>
      </c>
      <c r="F333" s="9" t="s">
        <v>195</v>
      </c>
      <c r="G333" s="12">
        <v>1.8</v>
      </c>
      <c r="H333" s="13"/>
      <c r="I333" s="16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8">
        <v>2709.0</v>
      </c>
      <c r="B334" s="9" t="s">
        <v>9</v>
      </c>
      <c r="C334" s="10">
        <f t="shared" si="1"/>
        <v>7986.194824</v>
      </c>
      <c r="D334" s="15"/>
      <c r="E334" s="9" t="s">
        <v>46</v>
      </c>
      <c r="F334" s="19"/>
      <c r="G334" s="15"/>
      <c r="H334" s="13"/>
      <c r="I334" s="16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8">
        <v>2715.0</v>
      </c>
      <c r="B335" s="9" t="s">
        <v>9</v>
      </c>
      <c r="C335" s="10">
        <f t="shared" si="1"/>
        <v>7993.694824</v>
      </c>
      <c r="D335" s="15"/>
      <c r="E335" s="9" t="s">
        <v>66</v>
      </c>
      <c r="F335" s="9" t="s">
        <v>196</v>
      </c>
      <c r="G335" s="12">
        <v>2.9</v>
      </c>
      <c r="H335" s="13"/>
      <c r="I335" s="16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8">
        <v>2724.0</v>
      </c>
      <c r="B336" s="9" t="s">
        <v>9</v>
      </c>
      <c r="C336" s="10">
        <f t="shared" si="1"/>
        <v>8004.944824</v>
      </c>
      <c r="D336" s="12">
        <v>7998.29</v>
      </c>
      <c r="E336" s="9" t="s">
        <v>11</v>
      </c>
      <c r="F336" s="9" t="s">
        <v>197</v>
      </c>
      <c r="G336" s="12">
        <v>1.4</v>
      </c>
      <c r="H336" s="13"/>
      <c r="I336" s="14" t="s">
        <v>198</v>
      </c>
    </row>
    <row r="337">
      <c r="A337" s="8">
        <v>2731.0</v>
      </c>
      <c r="B337" s="9" t="s">
        <v>9</v>
      </c>
      <c r="C337" s="10">
        <f t="shared" si="1"/>
        <v>8013.694824</v>
      </c>
      <c r="D337" s="12">
        <v>8008.98</v>
      </c>
      <c r="G337" s="12">
        <v>2.4</v>
      </c>
      <c r="H337" s="17" t="s">
        <v>24</v>
      </c>
      <c r="I337" s="16"/>
    </row>
    <row r="338">
      <c r="A338" s="8">
        <v>2736.0</v>
      </c>
      <c r="B338" s="9" t="s">
        <v>9</v>
      </c>
      <c r="C338" s="10">
        <f t="shared" si="1"/>
        <v>8019.944824</v>
      </c>
      <c r="D338" s="15"/>
      <c r="G338" s="15"/>
      <c r="H338" s="13"/>
      <c r="I338" s="16"/>
    </row>
    <row r="339">
      <c r="A339" s="8">
        <v>2754.0</v>
      </c>
      <c r="B339" s="9" t="s">
        <v>9</v>
      </c>
      <c r="C339" s="10">
        <f t="shared" si="1"/>
        <v>8042.444824</v>
      </c>
      <c r="D339" s="12">
        <v>8038.37</v>
      </c>
      <c r="G339" s="12">
        <v>2.3</v>
      </c>
      <c r="H339" s="17" t="s">
        <v>24</v>
      </c>
      <c r="I339" s="16"/>
    </row>
    <row r="340">
      <c r="A340" s="8">
        <v>2760.0</v>
      </c>
      <c r="B340" s="9" t="s">
        <v>9</v>
      </c>
      <c r="C340" s="10">
        <f t="shared" si="1"/>
        <v>8049.944824</v>
      </c>
      <c r="D340" s="12">
        <v>8045.98</v>
      </c>
      <c r="G340" s="12">
        <v>2.6</v>
      </c>
      <c r="H340" s="17" t="s">
        <v>24</v>
      </c>
      <c r="I340" s="16"/>
    </row>
    <row r="341">
      <c r="A341" s="8">
        <v>2770.0</v>
      </c>
      <c r="B341" s="9" t="s">
        <v>9</v>
      </c>
      <c r="C341" s="10">
        <f t="shared" si="1"/>
        <v>8062.444824</v>
      </c>
      <c r="D341" s="15"/>
      <c r="G341" s="15"/>
      <c r="H341" s="17"/>
      <c r="I341" s="16"/>
    </row>
    <row r="342">
      <c r="A342" s="8">
        <v>2779.0</v>
      </c>
      <c r="B342" s="9" t="s">
        <v>9</v>
      </c>
      <c r="C342" s="10">
        <f t="shared" si="1"/>
        <v>8073.694824</v>
      </c>
      <c r="D342" s="15"/>
      <c r="G342" s="15"/>
      <c r="H342" s="17"/>
      <c r="I342" s="16"/>
    </row>
    <row r="343">
      <c r="A343" s="8">
        <v>2790.0</v>
      </c>
      <c r="B343" s="9" t="s">
        <v>9</v>
      </c>
      <c r="C343" s="10">
        <f t="shared" si="1"/>
        <v>8087.444824</v>
      </c>
      <c r="D343" s="12">
        <v>8082.78</v>
      </c>
      <c r="G343" s="12">
        <v>1.6</v>
      </c>
      <c r="H343" s="17" t="s">
        <v>24</v>
      </c>
      <c r="I343" s="16"/>
    </row>
    <row r="344">
      <c r="A344" s="8">
        <v>2795.0</v>
      </c>
      <c r="B344" s="9" t="s">
        <v>9</v>
      </c>
      <c r="C344" s="10">
        <f t="shared" si="1"/>
        <v>8093.694824</v>
      </c>
      <c r="D344" s="15"/>
      <c r="G344" s="15"/>
      <c r="H344" s="13"/>
      <c r="I344" s="16"/>
    </row>
    <row r="345">
      <c r="A345" s="8">
        <v>2802.0</v>
      </c>
      <c r="B345" s="9" t="s">
        <v>9</v>
      </c>
      <c r="C345" s="10">
        <f t="shared" si="1"/>
        <v>8102.444824</v>
      </c>
      <c r="D345" s="15"/>
      <c r="G345" s="15"/>
      <c r="H345" s="13"/>
      <c r="I345" s="16"/>
    </row>
    <row r="346">
      <c r="A346" s="8">
        <v>2816.0</v>
      </c>
      <c r="B346" s="9" t="s">
        <v>9</v>
      </c>
      <c r="C346" s="10">
        <f t="shared" si="1"/>
        <v>8119.944824</v>
      </c>
      <c r="D346" s="15"/>
      <c r="G346" s="15"/>
      <c r="H346" s="13"/>
      <c r="I346" s="16"/>
    </row>
    <row r="347">
      <c r="A347" s="8">
        <v>2825.0</v>
      </c>
      <c r="B347" s="9" t="s">
        <v>9</v>
      </c>
      <c r="C347" s="10">
        <f t="shared" si="1"/>
        <v>8131.194824</v>
      </c>
      <c r="D347" s="15"/>
      <c r="G347" s="15"/>
      <c r="H347" s="13"/>
      <c r="I347" s="16"/>
    </row>
    <row r="348">
      <c r="A348" s="8">
        <v>2838.0</v>
      </c>
      <c r="B348" s="9" t="s">
        <v>9</v>
      </c>
      <c r="C348" s="10">
        <f t="shared" si="1"/>
        <v>8147.444824</v>
      </c>
      <c r="D348" s="15"/>
      <c r="G348" s="15"/>
      <c r="H348" s="13"/>
      <c r="I348" s="16"/>
    </row>
    <row r="349">
      <c r="A349" s="8">
        <v>2844.0</v>
      </c>
      <c r="B349" s="9" t="s">
        <v>9</v>
      </c>
      <c r="C349" s="10">
        <f t="shared" si="1"/>
        <v>8154.944824</v>
      </c>
      <c r="D349" s="12">
        <v>8150.72</v>
      </c>
      <c r="G349" s="12">
        <v>2.6</v>
      </c>
      <c r="H349" s="17" t="s">
        <v>24</v>
      </c>
      <c r="I349" s="16"/>
    </row>
    <row r="350">
      <c r="A350" s="8">
        <v>2851.0</v>
      </c>
      <c r="B350" s="9" t="s">
        <v>9</v>
      </c>
      <c r="C350" s="10">
        <f t="shared" si="1"/>
        <v>8163.694824</v>
      </c>
      <c r="D350" s="15"/>
      <c r="G350" s="15"/>
      <c r="H350" s="13"/>
      <c r="I350" s="16"/>
    </row>
    <row r="351">
      <c r="A351" s="8">
        <v>2860.0</v>
      </c>
      <c r="B351" s="9" t="s">
        <v>9</v>
      </c>
      <c r="C351" s="10">
        <f t="shared" si="1"/>
        <v>8174.944824</v>
      </c>
      <c r="D351" s="15"/>
      <c r="G351" s="15"/>
      <c r="H351" s="13"/>
      <c r="I351" s="16"/>
    </row>
    <row r="352">
      <c r="A352" s="8">
        <v>2864.0</v>
      </c>
      <c r="B352" s="9" t="s">
        <v>9</v>
      </c>
      <c r="C352" s="10">
        <f t="shared" si="1"/>
        <v>8179.944824</v>
      </c>
      <c r="D352" s="15"/>
      <c r="G352" s="15"/>
      <c r="H352" s="13"/>
      <c r="I352" s="16"/>
    </row>
    <row r="353">
      <c r="A353" s="8">
        <v>2874.0</v>
      </c>
      <c r="B353" s="9" t="s">
        <v>9</v>
      </c>
      <c r="C353" s="10">
        <f t="shared" si="1"/>
        <v>8192.444824</v>
      </c>
      <c r="D353" s="12">
        <v>8187.48</v>
      </c>
      <c r="G353" s="12">
        <v>1.5</v>
      </c>
      <c r="H353" s="17">
        <v>101.0</v>
      </c>
      <c r="I353" s="16"/>
    </row>
    <row r="354">
      <c r="A354" s="8">
        <v>2877.0</v>
      </c>
      <c r="B354" s="9" t="s">
        <v>9</v>
      </c>
      <c r="C354" s="10">
        <f t="shared" si="1"/>
        <v>8196.194824</v>
      </c>
      <c r="D354" s="12">
        <v>8189.52</v>
      </c>
      <c r="E354" s="9" t="s">
        <v>199</v>
      </c>
      <c r="F354" s="9" t="s">
        <v>199</v>
      </c>
      <c r="G354" s="12">
        <v>6.3</v>
      </c>
      <c r="H354" s="17">
        <v>101.0</v>
      </c>
      <c r="I354" s="14" t="s">
        <v>200</v>
      </c>
    </row>
    <row r="355">
      <c r="A355" s="8">
        <v>2889.0</v>
      </c>
      <c r="B355" s="9" t="s">
        <v>9</v>
      </c>
      <c r="C355" s="10">
        <f t="shared" si="1"/>
        <v>8211.194824</v>
      </c>
      <c r="D355" s="15"/>
      <c r="G355" s="15"/>
      <c r="H355" s="13"/>
      <c r="I355" s="16"/>
    </row>
    <row r="356">
      <c r="A356" s="8">
        <v>2897.0</v>
      </c>
      <c r="B356" s="9" t="s">
        <v>9</v>
      </c>
      <c r="C356" s="10">
        <f t="shared" si="1"/>
        <v>8221.194824</v>
      </c>
      <c r="D356" s="12">
        <v>8216.88</v>
      </c>
      <c r="G356" s="12">
        <v>2.1335</v>
      </c>
      <c r="H356" s="17">
        <v>101.0</v>
      </c>
      <c r="I356" s="6" t="s">
        <v>201</v>
      </c>
    </row>
    <row r="357">
      <c r="A357" s="8">
        <v>2902.0</v>
      </c>
      <c r="B357" s="9" t="s">
        <v>9</v>
      </c>
      <c r="C357" s="10">
        <f t="shared" si="1"/>
        <v>8227.444824</v>
      </c>
      <c r="D357" s="15"/>
      <c r="G357" s="15"/>
      <c r="H357" s="13"/>
      <c r="I357" s="16"/>
    </row>
    <row r="358">
      <c r="A358" s="8">
        <v>2907.0</v>
      </c>
      <c r="B358" s="9" t="s">
        <v>9</v>
      </c>
      <c r="C358" s="10">
        <f t="shared" si="1"/>
        <v>8233.694824</v>
      </c>
      <c r="D358" s="15"/>
      <c r="G358" s="15"/>
      <c r="H358" s="13"/>
      <c r="I358" s="16"/>
    </row>
    <row r="359">
      <c r="A359" s="8">
        <v>2918.0</v>
      </c>
      <c r="B359" s="9" t="s">
        <v>9</v>
      </c>
      <c r="C359" s="10">
        <f t="shared" si="1"/>
        <v>8247.444824</v>
      </c>
      <c r="D359" s="15"/>
      <c r="G359" s="15"/>
      <c r="H359" s="13"/>
      <c r="I359" s="16"/>
    </row>
    <row r="360">
      <c r="A360" s="8">
        <v>2932.0</v>
      </c>
      <c r="B360" s="9" t="s">
        <v>9</v>
      </c>
      <c r="C360" s="10">
        <f t="shared" si="1"/>
        <v>8264.944824</v>
      </c>
      <c r="D360" s="15"/>
      <c r="G360" s="15"/>
      <c r="H360" s="13"/>
      <c r="I360" s="16"/>
    </row>
    <row r="361">
      <c r="A361" s="8">
        <v>2937.0</v>
      </c>
      <c r="B361" s="9" t="s">
        <v>9</v>
      </c>
      <c r="C361" s="10">
        <f t="shared" si="1"/>
        <v>8271.194824</v>
      </c>
      <c r="D361" s="12">
        <v>8266.46</v>
      </c>
      <c r="E361" s="9" t="s">
        <v>19</v>
      </c>
      <c r="F361" s="9" t="s">
        <v>202</v>
      </c>
      <c r="G361" s="12">
        <v>6.864</v>
      </c>
      <c r="H361" s="17" t="s">
        <v>24</v>
      </c>
      <c r="I361" s="14" t="s">
        <v>203</v>
      </c>
    </row>
    <row r="362">
      <c r="A362" s="8">
        <v>2942.0</v>
      </c>
      <c r="B362" s="9" t="s">
        <v>9</v>
      </c>
      <c r="C362" s="10">
        <f t="shared" si="1"/>
        <v>8277.444824</v>
      </c>
      <c r="D362" s="12">
        <v>8272.32</v>
      </c>
      <c r="E362" s="9" t="s">
        <v>19</v>
      </c>
      <c r="F362" s="9" t="s">
        <v>204</v>
      </c>
      <c r="G362" s="12">
        <v>4.5099</v>
      </c>
      <c r="H362" s="17" t="s">
        <v>24</v>
      </c>
      <c r="I362" s="14" t="s">
        <v>203</v>
      </c>
    </row>
    <row r="363">
      <c r="A363" s="8">
        <v>2951.0</v>
      </c>
      <c r="B363" s="9" t="s">
        <v>9</v>
      </c>
      <c r="C363" s="10">
        <f t="shared" si="1"/>
        <v>8288.694824</v>
      </c>
      <c r="D363" s="12">
        <v>8285.46</v>
      </c>
      <c r="G363" s="12">
        <v>10.9715</v>
      </c>
      <c r="H363" s="17" t="s">
        <v>24</v>
      </c>
      <c r="I363" s="14" t="s">
        <v>203</v>
      </c>
    </row>
    <row r="364">
      <c r="A364" s="8">
        <v>2954.0</v>
      </c>
      <c r="B364" s="9" t="s">
        <v>9</v>
      </c>
      <c r="C364" s="10">
        <f t="shared" si="1"/>
        <v>8292.444824</v>
      </c>
      <c r="D364" s="12">
        <v>8286.94</v>
      </c>
      <c r="E364" s="9" t="s">
        <v>19</v>
      </c>
      <c r="F364" s="9" t="s">
        <v>205</v>
      </c>
      <c r="G364" s="12">
        <v>1.5553</v>
      </c>
      <c r="H364" s="17" t="s">
        <v>24</v>
      </c>
      <c r="I364" s="6" t="s">
        <v>201</v>
      </c>
    </row>
    <row r="365">
      <c r="A365" s="8">
        <v>2957.0</v>
      </c>
      <c r="B365" s="9" t="s">
        <v>9</v>
      </c>
      <c r="C365" s="10">
        <f t="shared" si="1"/>
        <v>8296.194824</v>
      </c>
      <c r="D365" s="12">
        <v>8292.13</v>
      </c>
      <c r="E365" s="9" t="s">
        <v>19</v>
      </c>
      <c r="F365" s="9" t="s">
        <v>206</v>
      </c>
      <c r="G365" s="12">
        <v>3.1926</v>
      </c>
      <c r="H365" s="17">
        <v>11.0</v>
      </c>
      <c r="I365" s="14" t="s">
        <v>203</v>
      </c>
    </row>
    <row r="366">
      <c r="A366" s="8">
        <v>2963.0</v>
      </c>
      <c r="B366" s="9" t="s">
        <v>9</v>
      </c>
      <c r="C366" s="10">
        <f t="shared" si="1"/>
        <v>8303.694824</v>
      </c>
      <c r="D366" s="12">
        <v>8299.39</v>
      </c>
      <c r="E366" s="9" t="s">
        <v>207</v>
      </c>
      <c r="F366" s="9" t="s">
        <v>208</v>
      </c>
      <c r="G366" s="12">
        <v>6.0488</v>
      </c>
      <c r="H366" s="17">
        <v>101.0</v>
      </c>
      <c r="I366" s="14" t="s">
        <v>203</v>
      </c>
    </row>
    <row r="367">
      <c r="A367" s="8">
        <v>2968.0</v>
      </c>
      <c r="B367" s="9" t="s">
        <v>9</v>
      </c>
      <c r="C367" s="10">
        <f t="shared" si="1"/>
        <v>8309.944824</v>
      </c>
      <c r="D367" s="12">
        <v>8304.75</v>
      </c>
      <c r="E367" s="9" t="s">
        <v>19</v>
      </c>
      <c r="F367" s="9" t="s">
        <v>209</v>
      </c>
      <c r="G367" s="12">
        <v>7.9314</v>
      </c>
      <c r="H367" s="17" t="s">
        <v>24</v>
      </c>
      <c r="I367" s="14" t="s">
        <v>203</v>
      </c>
    </row>
    <row r="368">
      <c r="A368" s="8">
        <v>2975.0</v>
      </c>
      <c r="B368" s="9" t="s">
        <v>9</v>
      </c>
      <c r="C368" s="10">
        <f t="shared" si="1"/>
        <v>8318.694824</v>
      </c>
      <c r="D368" s="12">
        <v>8314.11</v>
      </c>
      <c r="E368" s="9" t="s">
        <v>19</v>
      </c>
      <c r="F368" s="9" t="s">
        <v>210</v>
      </c>
      <c r="G368" s="12">
        <v>6.318</v>
      </c>
      <c r="H368" s="17">
        <v>11.0</v>
      </c>
      <c r="I368" s="14" t="s">
        <v>203</v>
      </c>
    </row>
    <row r="369">
      <c r="A369" s="8">
        <v>2982.0</v>
      </c>
      <c r="B369" s="9" t="s">
        <v>9</v>
      </c>
      <c r="C369" s="10">
        <f t="shared" si="1"/>
        <v>8327.444824</v>
      </c>
      <c r="D369" s="12">
        <v>8323.1</v>
      </c>
      <c r="E369" s="9" t="s">
        <v>19</v>
      </c>
      <c r="F369" s="9" t="s">
        <v>211</v>
      </c>
      <c r="G369" s="12">
        <v>7.3863</v>
      </c>
      <c r="H369" s="17" t="s">
        <v>24</v>
      </c>
      <c r="I369" s="14" t="s">
        <v>203</v>
      </c>
    </row>
    <row r="370">
      <c r="A370" s="8">
        <v>2991.0</v>
      </c>
      <c r="B370" s="9" t="s">
        <v>9</v>
      </c>
      <c r="C370" s="10">
        <f t="shared" si="1"/>
        <v>8338.694824</v>
      </c>
      <c r="D370" s="12">
        <v>8334.06</v>
      </c>
      <c r="E370" s="9" t="s">
        <v>19</v>
      </c>
      <c r="F370" s="9" t="s">
        <v>212</v>
      </c>
      <c r="G370" s="12">
        <v>18.488</v>
      </c>
      <c r="H370" s="17" t="s">
        <v>24</v>
      </c>
      <c r="I370" s="14" t="s">
        <v>203</v>
      </c>
    </row>
    <row r="371">
      <c r="A371" s="8">
        <v>3000.0</v>
      </c>
      <c r="B371" s="9" t="s">
        <v>9</v>
      </c>
      <c r="C371" s="10">
        <f t="shared" si="1"/>
        <v>8349.944824</v>
      </c>
      <c r="D371" s="15"/>
      <c r="G371" s="15"/>
      <c r="H371" s="13"/>
      <c r="I371" s="16"/>
    </row>
    <row r="372">
      <c r="A372" s="8">
        <v>3011.0</v>
      </c>
      <c r="B372" s="9" t="s">
        <v>9</v>
      </c>
      <c r="C372" s="10">
        <f t="shared" si="1"/>
        <v>8363.694824</v>
      </c>
      <c r="D372" s="12">
        <v>8359.15</v>
      </c>
      <c r="E372" s="9" t="s">
        <v>19</v>
      </c>
      <c r="F372" s="9" t="s">
        <v>213</v>
      </c>
      <c r="G372" s="12">
        <v>11.6166</v>
      </c>
      <c r="H372" s="17" t="s">
        <v>24</v>
      </c>
      <c r="I372" s="14" t="s">
        <v>203</v>
      </c>
    </row>
    <row r="373">
      <c r="A373" s="8">
        <v>3023.0</v>
      </c>
      <c r="B373" s="9" t="s">
        <v>9</v>
      </c>
      <c r="C373" s="10">
        <f t="shared" si="1"/>
        <v>8378.694824</v>
      </c>
      <c r="D373" s="12">
        <v>8374.27</v>
      </c>
      <c r="E373" s="9" t="s">
        <v>19</v>
      </c>
      <c r="F373" s="9" t="s">
        <v>214</v>
      </c>
      <c r="G373" s="12">
        <v>12.1106</v>
      </c>
      <c r="H373" s="17" t="s">
        <v>24</v>
      </c>
      <c r="I373" s="14" t="s">
        <v>203</v>
      </c>
    </row>
    <row r="374">
      <c r="A374" s="8">
        <v>3037.0</v>
      </c>
      <c r="B374" s="9" t="s">
        <v>9</v>
      </c>
      <c r="C374" s="10">
        <f t="shared" si="1"/>
        <v>8396.194824</v>
      </c>
      <c r="D374" s="12">
        <v>8392.65</v>
      </c>
      <c r="E374" s="9" t="s">
        <v>19</v>
      </c>
      <c r="F374" s="9" t="s">
        <v>215</v>
      </c>
      <c r="G374" s="12">
        <v>12.8163</v>
      </c>
      <c r="H374" s="17">
        <v>101.0</v>
      </c>
      <c r="I374" s="6" t="s">
        <v>201</v>
      </c>
    </row>
    <row r="375">
      <c r="A375" s="8">
        <v>3044.0</v>
      </c>
      <c r="B375" s="9" t="s">
        <v>9</v>
      </c>
      <c r="C375" s="10">
        <f t="shared" si="1"/>
        <v>8404.944824</v>
      </c>
      <c r="D375" s="15"/>
      <c r="E375" s="9" t="s">
        <v>46</v>
      </c>
      <c r="F375" s="19"/>
      <c r="G375" s="15"/>
      <c r="H375" s="13"/>
      <c r="I375" s="16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8">
        <v>3054.0</v>
      </c>
      <c r="B376" s="9" t="s">
        <v>9</v>
      </c>
      <c r="C376" s="10">
        <f t="shared" si="1"/>
        <v>8417.444824</v>
      </c>
      <c r="D376" s="15"/>
      <c r="G376" s="15"/>
      <c r="H376" s="13"/>
      <c r="I376" s="16"/>
    </row>
    <row r="377">
      <c r="A377" s="8">
        <v>3064.0</v>
      </c>
      <c r="B377" s="9" t="s">
        <v>9</v>
      </c>
      <c r="C377" s="10">
        <f t="shared" si="1"/>
        <v>8429.944824</v>
      </c>
      <c r="D377" s="15"/>
      <c r="G377" s="15"/>
      <c r="H377" s="13"/>
      <c r="I377" s="16"/>
    </row>
    <row r="378">
      <c r="A378" s="8">
        <v>3074.0</v>
      </c>
      <c r="B378" s="9" t="s">
        <v>9</v>
      </c>
      <c r="C378" s="10">
        <f t="shared" si="1"/>
        <v>8442.444824</v>
      </c>
      <c r="D378" s="12">
        <v>8437.8</v>
      </c>
      <c r="E378" s="9" t="s">
        <v>19</v>
      </c>
      <c r="F378" s="9" t="s">
        <v>216</v>
      </c>
      <c r="G378" s="12">
        <v>18.6757</v>
      </c>
      <c r="H378" s="17" t="s">
        <v>24</v>
      </c>
      <c r="I378" s="14" t="s">
        <v>203</v>
      </c>
    </row>
    <row r="379">
      <c r="A379" s="8">
        <v>3081.0</v>
      </c>
      <c r="B379" s="9" t="s">
        <v>9</v>
      </c>
      <c r="C379" s="10">
        <f t="shared" si="1"/>
        <v>8451.194824</v>
      </c>
      <c r="D379" s="12">
        <v>8446.48</v>
      </c>
      <c r="E379" s="9" t="s">
        <v>38</v>
      </c>
      <c r="F379" s="9" t="s">
        <v>217</v>
      </c>
      <c r="G379" s="12">
        <v>10.9372</v>
      </c>
      <c r="H379" s="17" t="s">
        <v>24</v>
      </c>
      <c r="I379" s="14" t="s">
        <v>203</v>
      </c>
    </row>
    <row r="380">
      <c r="A380" s="8">
        <v>3091.0</v>
      </c>
      <c r="B380" s="9" t="s">
        <v>9</v>
      </c>
      <c r="C380" s="10">
        <f t="shared" si="1"/>
        <v>8463.694824</v>
      </c>
      <c r="D380" s="12">
        <v>8459.38</v>
      </c>
      <c r="G380" s="12">
        <v>9.6347</v>
      </c>
      <c r="H380" s="17" t="s">
        <v>24</v>
      </c>
      <c r="I380" s="6" t="s">
        <v>201</v>
      </c>
    </row>
    <row r="381">
      <c r="A381" s="8">
        <v>3098.0</v>
      </c>
      <c r="B381" s="9" t="s">
        <v>9</v>
      </c>
      <c r="C381" s="10">
        <f t="shared" si="1"/>
        <v>8472.444824</v>
      </c>
      <c r="D381" s="12">
        <v>8467.04</v>
      </c>
      <c r="E381" s="9" t="s">
        <v>19</v>
      </c>
      <c r="F381" s="9" t="s">
        <v>218</v>
      </c>
      <c r="G381" s="12">
        <v>20.3892</v>
      </c>
      <c r="H381" s="17" t="s">
        <v>24</v>
      </c>
      <c r="I381" s="14" t="s">
        <v>203</v>
      </c>
    </row>
    <row r="382">
      <c r="A382" s="8">
        <v>3104.0</v>
      </c>
      <c r="B382" s="9" t="s">
        <v>9</v>
      </c>
      <c r="C382" s="10">
        <f t="shared" si="1"/>
        <v>8479.944824</v>
      </c>
      <c r="D382" s="12">
        <v>8475.07</v>
      </c>
      <c r="G382" s="12">
        <v>3.242</v>
      </c>
      <c r="H382" s="17" t="s">
        <v>24</v>
      </c>
      <c r="I382" s="14" t="s">
        <v>203</v>
      </c>
    </row>
    <row r="383">
      <c r="A383" s="8">
        <v>3126.0</v>
      </c>
      <c r="B383" s="9" t="s">
        <v>9</v>
      </c>
      <c r="C383" s="10">
        <f t="shared" si="1"/>
        <v>8507.444824</v>
      </c>
      <c r="D383" s="12">
        <v>8502.05</v>
      </c>
      <c r="E383" s="9" t="s">
        <v>19</v>
      </c>
      <c r="F383" s="9" t="s">
        <v>219</v>
      </c>
      <c r="G383" s="12">
        <v>25.4668</v>
      </c>
      <c r="H383" s="17" t="s">
        <v>24</v>
      </c>
      <c r="I383" s="14" t="s">
        <v>203</v>
      </c>
    </row>
    <row r="384">
      <c r="A384" s="8">
        <v>3142.0</v>
      </c>
      <c r="B384" s="9" t="s">
        <v>9</v>
      </c>
      <c r="C384" s="10">
        <f t="shared" si="1"/>
        <v>8527.444824</v>
      </c>
      <c r="D384" s="12">
        <v>8522.46</v>
      </c>
      <c r="G384" s="12">
        <v>3.3247</v>
      </c>
      <c r="H384" s="17" t="s">
        <v>24</v>
      </c>
      <c r="I384" s="14" t="s">
        <v>203</v>
      </c>
    </row>
    <row r="385">
      <c r="A385" s="8">
        <v>3147.0</v>
      </c>
      <c r="B385" s="9" t="s">
        <v>9</v>
      </c>
      <c r="C385" s="10">
        <f t="shared" si="1"/>
        <v>8533.694824</v>
      </c>
      <c r="D385" s="12">
        <v>8529.34</v>
      </c>
      <c r="E385" s="9" t="s">
        <v>19</v>
      </c>
      <c r="F385" s="9" t="s">
        <v>220</v>
      </c>
      <c r="G385" s="12">
        <v>0.5751</v>
      </c>
      <c r="H385" s="17">
        <v>11.0</v>
      </c>
      <c r="I385" s="6" t="s">
        <v>201</v>
      </c>
    </row>
    <row r="386">
      <c r="A386" s="8">
        <v>3160.0</v>
      </c>
      <c r="B386" s="9" t="s">
        <v>9</v>
      </c>
      <c r="C386" s="10">
        <f t="shared" si="1"/>
        <v>8549.944824</v>
      </c>
      <c r="D386" s="12">
        <v>8545.04</v>
      </c>
      <c r="G386" s="12">
        <v>32.0507</v>
      </c>
      <c r="H386" s="17" t="s">
        <v>24</v>
      </c>
      <c r="I386" s="14" t="s">
        <v>203</v>
      </c>
    </row>
    <row r="387">
      <c r="A387" s="8">
        <v>3164.0</v>
      </c>
      <c r="B387" s="9" t="s">
        <v>9</v>
      </c>
      <c r="C387" s="10">
        <f t="shared" si="1"/>
        <v>8554.944824</v>
      </c>
      <c r="D387" s="12">
        <v>8549.71</v>
      </c>
      <c r="G387" s="12">
        <v>5.7859</v>
      </c>
      <c r="H387" s="17" t="s">
        <v>24</v>
      </c>
      <c r="I387" s="6" t="s">
        <v>201</v>
      </c>
    </row>
    <row r="388">
      <c r="A388" s="8">
        <v>3172.0</v>
      </c>
      <c r="B388" s="9" t="s">
        <v>9</v>
      </c>
      <c r="C388" s="10">
        <f t="shared" si="1"/>
        <v>8564.944824</v>
      </c>
      <c r="D388" s="12">
        <v>8560.31</v>
      </c>
      <c r="G388" s="12">
        <v>3.8417</v>
      </c>
      <c r="H388" s="17" t="s">
        <v>24</v>
      </c>
      <c r="I388" s="14" t="s">
        <v>203</v>
      </c>
    </row>
    <row r="389">
      <c r="A389" s="8">
        <v>3187.0</v>
      </c>
      <c r="B389" s="9" t="s">
        <v>9</v>
      </c>
      <c r="C389" s="10">
        <f t="shared" si="1"/>
        <v>8583.694824</v>
      </c>
      <c r="D389" s="12">
        <v>8578.72</v>
      </c>
      <c r="G389" s="12">
        <v>2.915</v>
      </c>
      <c r="H389" s="17">
        <v>11.0</v>
      </c>
      <c r="I389" s="6" t="s">
        <v>201</v>
      </c>
    </row>
    <row r="390">
      <c r="A390" s="8">
        <v>3202.0</v>
      </c>
      <c r="B390" s="9" t="s">
        <v>9</v>
      </c>
      <c r="C390" s="10">
        <f t="shared" si="1"/>
        <v>8602.444824</v>
      </c>
      <c r="D390" s="12">
        <v>8598.16</v>
      </c>
      <c r="G390" s="12">
        <v>19.2311</v>
      </c>
      <c r="H390" s="17" t="s">
        <v>24</v>
      </c>
      <c r="I390" s="6" t="s">
        <v>201</v>
      </c>
    </row>
    <row r="391">
      <c r="A391" s="8">
        <v>3213.0</v>
      </c>
      <c r="B391" s="9" t="s">
        <v>9</v>
      </c>
      <c r="C391" s="10">
        <f t="shared" si="1"/>
        <v>8616.194824</v>
      </c>
      <c r="D391" s="12">
        <v>8610.91</v>
      </c>
      <c r="G391" s="12">
        <v>2.878</v>
      </c>
      <c r="H391" s="17">
        <v>11.0</v>
      </c>
      <c r="I391" s="6" t="s">
        <v>201</v>
      </c>
    </row>
    <row r="392">
      <c r="A392" s="8">
        <v>3218.0</v>
      </c>
      <c r="B392" s="9" t="s">
        <v>9</v>
      </c>
      <c r="C392" s="10">
        <f t="shared" si="1"/>
        <v>8622.444824</v>
      </c>
      <c r="D392" s="15"/>
      <c r="G392" s="15"/>
      <c r="H392" s="13"/>
      <c r="I392" s="16"/>
    </row>
    <row r="393">
      <c r="A393" s="8">
        <v>3221.0</v>
      </c>
      <c r="B393" s="9" t="s">
        <v>9</v>
      </c>
      <c r="C393" s="10">
        <f t="shared" si="1"/>
        <v>8626.194824</v>
      </c>
      <c r="D393" s="15"/>
      <c r="G393" s="15"/>
      <c r="H393" s="13"/>
      <c r="I393" s="16"/>
    </row>
    <row r="394">
      <c r="A394" s="8">
        <v>3226.0</v>
      </c>
      <c r="B394" s="9" t="s">
        <v>9</v>
      </c>
      <c r="C394" s="10">
        <f t="shared" si="1"/>
        <v>8632.444824</v>
      </c>
      <c r="D394" s="15"/>
      <c r="G394" s="15"/>
      <c r="H394" s="13"/>
      <c r="I394" s="16"/>
    </row>
    <row r="395">
      <c r="A395" s="8">
        <v>3234.0</v>
      </c>
      <c r="B395" s="9" t="s">
        <v>9</v>
      </c>
      <c r="C395" s="10">
        <f t="shared" si="1"/>
        <v>8642.444824</v>
      </c>
      <c r="D395" s="15"/>
      <c r="G395" s="15"/>
      <c r="H395" s="13"/>
      <c r="I395" s="16"/>
    </row>
    <row r="396">
      <c r="A396" s="8">
        <v>3244.0</v>
      </c>
      <c r="B396" s="9" t="s">
        <v>9</v>
      </c>
      <c r="C396" s="10">
        <f t="shared" si="1"/>
        <v>8654.944824</v>
      </c>
      <c r="D396" s="12">
        <v>8650.36</v>
      </c>
      <c r="G396" s="12">
        <v>5.9669</v>
      </c>
      <c r="H396" s="17" t="s">
        <v>24</v>
      </c>
      <c r="I396" s="14" t="s">
        <v>203</v>
      </c>
    </row>
    <row r="397">
      <c r="A397" s="8">
        <v>3256.0</v>
      </c>
      <c r="B397" s="9" t="s">
        <v>9</v>
      </c>
      <c r="C397" s="10">
        <f t="shared" si="1"/>
        <v>8669.944824</v>
      </c>
      <c r="D397" s="12">
        <v>8664.68</v>
      </c>
      <c r="E397" s="9" t="s">
        <v>19</v>
      </c>
      <c r="F397" s="9" t="s">
        <v>221</v>
      </c>
      <c r="G397" s="12">
        <v>48.0993</v>
      </c>
      <c r="H397" s="17" t="s">
        <v>24</v>
      </c>
      <c r="I397" s="14" t="s">
        <v>203</v>
      </c>
    </row>
    <row r="398">
      <c r="A398" s="8">
        <v>3263.0</v>
      </c>
      <c r="B398" s="9" t="s">
        <v>9</v>
      </c>
      <c r="C398" s="10">
        <f t="shared" si="1"/>
        <v>8678.694824</v>
      </c>
      <c r="D398" s="15"/>
      <c r="G398" s="15"/>
      <c r="H398" s="13"/>
      <c r="I398" s="16"/>
    </row>
    <row r="399">
      <c r="A399" s="8">
        <v>3272.0</v>
      </c>
      <c r="B399" s="9" t="s">
        <v>9</v>
      </c>
      <c r="C399" s="10">
        <f t="shared" si="1"/>
        <v>8689.944824</v>
      </c>
      <c r="D399" s="12">
        <v>8684.99</v>
      </c>
      <c r="G399" s="12">
        <v>3.105</v>
      </c>
      <c r="H399" s="17">
        <v>11.0</v>
      </c>
      <c r="I399" s="14" t="s">
        <v>203</v>
      </c>
    </row>
    <row r="400">
      <c r="A400" s="8">
        <v>3280.0</v>
      </c>
      <c r="B400" s="9" t="s">
        <v>9</v>
      </c>
      <c r="C400" s="10">
        <f t="shared" si="1"/>
        <v>8699.944824</v>
      </c>
      <c r="D400" s="15"/>
      <c r="G400" s="15"/>
      <c r="H400" s="13"/>
      <c r="I400" s="16"/>
    </row>
    <row r="401">
      <c r="A401" s="8">
        <v>3286.0</v>
      </c>
      <c r="B401" s="9" t="s">
        <v>9</v>
      </c>
      <c r="C401" s="10">
        <f t="shared" si="1"/>
        <v>8707.444824</v>
      </c>
      <c r="D401" s="15"/>
      <c r="G401" s="15"/>
      <c r="H401" s="13"/>
      <c r="I401" s="16"/>
    </row>
    <row r="402">
      <c r="A402" s="8">
        <v>3293.0</v>
      </c>
      <c r="B402" s="9" t="s">
        <v>9</v>
      </c>
      <c r="C402" s="10">
        <f t="shared" si="1"/>
        <v>8716.194824</v>
      </c>
      <c r="D402" s="15"/>
      <c r="G402" s="15"/>
      <c r="H402" s="13"/>
      <c r="I402" s="16"/>
    </row>
    <row r="403">
      <c r="A403" s="8">
        <v>3299.0</v>
      </c>
      <c r="B403" s="9" t="s">
        <v>9</v>
      </c>
      <c r="C403" s="10">
        <f t="shared" si="1"/>
        <v>8723.694824</v>
      </c>
      <c r="D403" s="15"/>
      <c r="G403" s="15"/>
      <c r="H403" s="13"/>
      <c r="I403" s="16"/>
    </row>
    <row r="404">
      <c r="A404" s="8">
        <v>3306.0</v>
      </c>
      <c r="B404" s="9" t="s">
        <v>9</v>
      </c>
      <c r="C404" s="10">
        <f t="shared" si="1"/>
        <v>8732.444824</v>
      </c>
      <c r="D404" s="12">
        <v>8726.92</v>
      </c>
      <c r="E404" s="9" t="s">
        <v>63</v>
      </c>
      <c r="F404" s="9" t="s">
        <v>222</v>
      </c>
      <c r="G404" s="12">
        <v>9.4181</v>
      </c>
      <c r="H404" s="17" t="s">
        <v>24</v>
      </c>
      <c r="I404" s="14" t="s">
        <v>203</v>
      </c>
    </row>
    <row r="405">
      <c r="A405" s="8">
        <v>3311.0</v>
      </c>
      <c r="B405" s="9" t="s">
        <v>9</v>
      </c>
      <c r="C405" s="10">
        <f t="shared" si="1"/>
        <v>8738.694824</v>
      </c>
      <c r="D405" s="15"/>
      <c r="G405" s="15"/>
      <c r="H405" s="13"/>
      <c r="I405" s="16"/>
    </row>
    <row r="406">
      <c r="A406" s="8">
        <v>3315.0</v>
      </c>
      <c r="B406" s="9" t="s">
        <v>9</v>
      </c>
      <c r="C406" s="10">
        <f t="shared" si="1"/>
        <v>8743.694824</v>
      </c>
      <c r="D406" s="12">
        <v>8738.39</v>
      </c>
      <c r="E406" s="9" t="s">
        <v>19</v>
      </c>
      <c r="F406" s="9" t="s">
        <v>223</v>
      </c>
      <c r="G406" s="12">
        <v>2.0595</v>
      </c>
      <c r="H406" s="17">
        <v>11.0</v>
      </c>
      <c r="I406" s="6" t="s">
        <v>201</v>
      </c>
    </row>
    <row r="407">
      <c r="A407" s="8">
        <v>3324.0</v>
      </c>
      <c r="B407" s="9" t="s">
        <v>9</v>
      </c>
      <c r="C407" s="10">
        <f t="shared" si="1"/>
        <v>8754.944824</v>
      </c>
      <c r="D407" s="12">
        <v>8750.17</v>
      </c>
      <c r="E407" s="9" t="s">
        <v>19</v>
      </c>
      <c r="F407" s="9" t="s">
        <v>224</v>
      </c>
      <c r="G407" s="12">
        <v>58.8634</v>
      </c>
      <c r="H407" s="17" t="s">
        <v>24</v>
      </c>
      <c r="I407" s="14" t="s">
        <v>203</v>
      </c>
    </row>
    <row r="408">
      <c r="A408" s="8">
        <v>3330.0</v>
      </c>
      <c r="B408" s="9" t="s">
        <v>9</v>
      </c>
      <c r="C408" s="10">
        <f t="shared" si="1"/>
        <v>8762.444824</v>
      </c>
      <c r="D408" s="15"/>
      <c r="G408" s="15"/>
      <c r="H408" s="13"/>
      <c r="I408" s="16"/>
    </row>
    <row r="409">
      <c r="A409" s="8">
        <v>3335.0</v>
      </c>
      <c r="B409" s="9" t="s">
        <v>9</v>
      </c>
      <c r="C409" s="10">
        <f t="shared" si="1"/>
        <v>8768.694824</v>
      </c>
      <c r="D409" s="15"/>
      <c r="G409" s="15"/>
      <c r="H409" s="13"/>
      <c r="I409" s="16"/>
    </row>
    <row r="410">
      <c r="A410" s="8">
        <v>3343.0</v>
      </c>
      <c r="B410" s="9" t="s">
        <v>9</v>
      </c>
      <c r="C410" s="10">
        <f t="shared" si="1"/>
        <v>8778.694824</v>
      </c>
      <c r="D410" s="15"/>
      <c r="G410" s="15"/>
      <c r="H410" s="13"/>
      <c r="I410" s="16"/>
    </row>
    <row r="411">
      <c r="A411" s="8">
        <v>3355.0</v>
      </c>
      <c r="B411" s="9" t="s">
        <v>9</v>
      </c>
      <c r="C411" s="10">
        <f t="shared" si="1"/>
        <v>8793.694824</v>
      </c>
      <c r="D411" s="12">
        <v>8789.03</v>
      </c>
      <c r="G411" s="12">
        <v>8.0066</v>
      </c>
      <c r="H411" s="17" t="s">
        <v>24</v>
      </c>
      <c r="I411" s="14" t="s">
        <v>203</v>
      </c>
    </row>
    <row r="412">
      <c r="A412" s="8">
        <v>3362.0</v>
      </c>
      <c r="B412" s="9" t="s">
        <v>9</v>
      </c>
      <c r="C412" s="10">
        <f t="shared" si="1"/>
        <v>8802.444824</v>
      </c>
      <c r="D412" s="15"/>
      <c r="G412" s="15"/>
      <c r="H412" s="13"/>
      <c r="I412" s="16"/>
    </row>
    <row r="413">
      <c r="A413" s="8">
        <v>3372.0</v>
      </c>
      <c r="B413" s="9" t="s">
        <v>9</v>
      </c>
      <c r="C413" s="10">
        <f t="shared" si="1"/>
        <v>8814.944824</v>
      </c>
      <c r="D413" s="12">
        <v>8809.78</v>
      </c>
      <c r="E413" s="9" t="s">
        <v>63</v>
      </c>
      <c r="F413" s="9" t="s">
        <v>225</v>
      </c>
      <c r="G413" s="12">
        <v>2.9591</v>
      </c>
      <c r="H413" s="17">
        <v>11.0</v>
      </c>
      <c r="I413" s="6" t="s">
        <v>201</v>
      </c>
    </row>
    <row r="414">
      <c r="A414" s="8">
        <v>3378.0</v>
      </c>
      <c r="B414" s="9" t="s">
        <v>9</v>
      </c>
      <c r="C414" s="10">
        <f t="shared" si="1"/>
        <v>8822.444824</v>
      </c>
      <c r="D414" s="15"/>
      <c r="G414" s="15"/>
      <c r="H414" s="13"/>
      <c r="I414" s="16"/>
    </row>
    <row r="415">
      <c r="A415" s="8">
        <v>3382.0</v>
      </c>
      <c r="B415" s="9" t="s">
        <v>9</v>
      </c>
      <c r="C415" s="10">
        <f t="shared" si="1"/>
        <v>8827.444824</v>
      </c>
      <c r="D415" s="15"/>
      <c r="G415" s="15"/>
      <c r="H415" s="13"/>
      <c r="I415" s="16"/>
    </row>
    <row r="416">
      <c r="A416" s="8">
        <v>3401.0</v>
      </c>
      <c r="B416" s="9" t="s">
        <v>9</v>
      </c>
      <c r="C416" s="10">
        <f t="shared" si="1"/>
        <v>8851.194824</v>
      </c>
      <c r="D416" s="15"/>
      <c r="G416" s="15"/>
      <c r="H416" s="13"/>
      <c r="I416" s="16"/>
    </row>
    <row r="417">
      <c r="A417" s="8">
        <v>3405.0</v>
      </c>
      <c r="B417" s="9" t="s">
        <v>9</v>
      </c>
      <c r="C417" s="10">
        <f t="shared" si="1"/>
        <v>8856.194824</v>
      </c>
      <c r="D417" s="12">
        <v>8850.63</v>
      </c>
      <c r="E417" s="9" t="s">
        <v>19</v>
      </c>
      <c r="F417" s="9" t="s">
        <v>226</v>
      </c>
      <c r="G417" s="12">
        <v>8.3094</v>
      </c>
      <c r="H417" s="17" t="s">
        <v>24</v>
      </c>
      <c r="I417" s="14" t="s">
        <v>203</v>
      </c>
    </row>
    <row r="418">
      <c r="A418" s="8">
        <v>3414.0</v>
      </c>
      <c r="B418" s="9" t="s">
        <v>9</v>
      </c>
      <c r="C418" s="10">
        <f t="shared" si="1"/>
        <v>8867.444824</v>
      </c>
      <c r="D418" s="12">
        <v>8862.5</v>
      </c>
      <c r="E418" s="9" t="s">
        <v>19</v>
      </c>
      <c r="F418" s="9" t="s">
        <v>227</v>
      </c>
      <c r="G418" s="12">
        <v>84.8766</v>
      </c>
      <c r="H418" s="17" t="s">
        <v>24</v>
      </c>
      <c r="I418" s="14" t="s">
        <v>203</v>
      </c>
    </row>
    <row r="419">
      <c r="A419" s="8">
        <v>3435.0</v>
      </c>
      <c r="B419" s="9" t="s">
        <v>9</v>
      </c>
      <c r="C419" s="10">
        <f t="shared" si="1"/>
        <v>8893.694824</v>
      </c>
      <c r="D419" s="15"/>
      <c r="G419" s="15"/>
      <c r="H419" s="13"/>
      <c r="I419" s="16"/>
    </row>
    <row r="420">
      <c r="A420" s="8">
        <v>3439.0</v>
      </c>
      <c r="B420" s="9" t="s">
        <v>9</v>
      </c>
      <c r="C420" s="10">
        <f t="shared" si="1"/>
        <v>8898.694824</v>
      </c>
      <c r="D420" s="12">
        <v>8893.72</v>
      </c>
      <c r="E420" s="9" t="s">
        <v>228</v>
      </c>
      <c r="F420" s="9" t="s">
        <v>229</v>
      </c>
      <c r="G420" s="12">
        <v>10.9281</v>
      </c>
      <c r="H420" s="17" t="s">
        <v>24</v>
      </c>
      <c r="I420" s="14" t="s">
        <v>203</v>
      </c>
    </row>
    <row r="421">
      <c r="A421" s="8">
        <v>3444.0</v>
      </c>
      <c r="B421" s="9" t="s">
        <v>9</v>
      </c>
      <c r="C421" s="10">
        <f t="shared" si="1"/>
        <v>8904.944824</v>
      </c>
      <c r="D421" s="15"/>
      <c r="G421" s="15"/>
      <c r="H421" s="13"/>
      <c r="I421" s="16"/>
    </row>
    <row r="422">
      <c r="A422" s="8">
        <v>3448.0</v>
      </c>
      <c r="B422" s="9" t="s">
        <v>9</v>
      </c>
      <c r="C422" s="10">
        <f t="shared" si="1"/>
        <v>8909.944824</v>
      </c>
      <c r="D422" s="15"/>
      <c r="G422" s="15"/>
      <c r="H422" s="13"/>
      <c r="I422" s="16"/>
    </row>
    <row r="423">
      <c r="A423" s="8">
        <v>3456.0</v>
      </c>
      <c r="B423" s="9" t="s">
        <v>9</v>
      </c>
      <c r="C423" s="10">
        <f t="shared" si="1"/>
        <v>8919.944824</v>
      </c>
      <c r="D423" s="15"/>
      <c r="G423" s="15"/>
      <c r="H423" s="13"/>
      <c r="I423" s="16"/>
    </row>
    <row r="424">
      <c r="A424" s="8">
        <v>3463.0</v>
      </c>
      <c r="B424" s="9" t="s">
        <v>9</v>
      </c>
      <c r="C424" s="10">
        <f t="shared" si="1"/>
        <v>8928.694824</v>
      </c>
      <c r="D424" s="15"/>
      <c r="G424" s="15"/>
      <c r="H424" s="13"/>
      <c r="I424" s="16"/>
    </row>
    <row r="425">
      <c r="A425" s="8">
        <v>3470.0</v>
      </c>
      <c r="B425" s="9" t="s">
        <v>9</v>
      </c>
      <c r="C425" s="10">
        <f t="shared" si="1"/>
        <v>8937.444824</v>
      </c>
      <c r="D425" s="15"/>
      <c r="G425" s="15"/>
      <c r="H425" s="13"/>
      <c r="I425" s="16"/>
    </row>
    <row r="426">
      <c r="A426" s="8">
        <v>3476.0</v>
      </c>
      <c r="B426" s="9" t="s">
        <v>9</v>
      </c>
      <c r="C426" s="10">
        <f t="shared" si="1"/>
        <v>8944.944824</v>
      </c>
      <c r="D426" s="15"/>
      <c r="G426" s="15"/>
      <c r="H426" s="13"/>
      <c r="I426" s="16"/>
    </row>
    <row r="427">
      <c r="A427" s="8">
        <v>3481.0</v>
      </c>
      <c r="B427" s="9" t="s">
        <v>9</v>
      </c>
      <c r="C427" s="10">
        <f t="shared" si="1"/>
        <v>8951.194824</v>
      </c>
      <c r="D427" s="12">
        <v>8945.37</v>
      </c>
      <c r="G427" s="12">
        <v>6.4582</v>
      </c>
      <c r="H427" s="17">
        <v>101.0</v>
      </c>
      <c r="I427" s="14" t="s">
        <v>203</v>
      </c>
    </row>
    <row r="428">
      <c r="A428" s="8">
        <v>3487.0</v>
      </c>
      <c r="B428" s="9" t="s">
        <v>9</v>
      </c>
      <c r="C428" s="10">
        <f t="shared" si="1"/>
        <v>8958.694824</v>
      </c>
      <c r="D428" s="15"/>
      <c r="G428" s="15"/>
      <c r="H428" s="13"/>
      <c r="I428" s="16"/>
    </row>
    <row r="429">
      <c r="A429" s="8">
        <v>3494.0</v>
      </c>
      <c r="B429" s="9" t="s">
        <v>9</v>
      </c>
      <c r="C429" s="10">
        <f t="shared" si="1"/>
        <v>8967.444824</v>
      </c>
      <c r="D429" s="15"/>
      <c r="G429" s="15"/>
      <c r="H429" s="13"/>
      <c r="I429" s="16"/>
    </row>
    <row r="430">
      <c r="A430" s="8">
        <v>3503.0</v>
      </c>
      <c r="B430" s="9" t="s">
        <v>9</v>
      </c>
      <c r="C430" s="10">
        <f t="shared" si="1"/>
        <v>8978.694824</v>
      </c>
      <c r="D430" s="15"/>
      <c r="G430" s="15"/>
      <c r="H430" s="13"/>
      <c r="I430" s="16"/>
    </row>
    <row r="431">
      <c r="A431" s="8">
        <v>3511.0</v>
      </c>
      <c r="B431" s="9" t="s">
        <v>9</v>
      </c>
      <c r="C431" s="10">
        <f t="shared" si="1"/>
        <v>8988.694824</v>
      </c>
      <c r="D431" s="15"/>
      <c r="E431" s="9" t="s">
        <v>66</v>
      </c>
      <c r="F431" s="9" t="s">
        <v>230</v>
      </c>
      <c r="G431" s="15"/>
      <c r="H431" s="13"/>
      <c r="I431" s="16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8">
        <v>3522.0</v>
      </c>
      <c r="B432" s="9" t="s">
        <v>9</v>
      </c>
      <c r="C432" s="10">
        <f t="shared" si="1"/>
        <v>9002.444824</v>
      </c>
      <c r="D432" s="12">
        <v>8997.12</v>
      </c>
      <c r="E432" s="9" t="s">
        <v>66</v>
      </c>
      <c r="F432" s="9" t="s">
        <v>231</v>
      </c>
      <c r="G432" s="15"/>
      <c r="H432" s="13"/>
      <c r="I432" s="14" t="s">
        <v>232</v>
      </c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8">
        <v>3536.0</v>
      </c>
      <c r="B433" s="9" t="s">
        <v>9</v>
      </c>
      <c r="C433" s="10">
        <f t="shared" si="1"/>
        <v>9019.944824</v>
      </c>
      <c r="D433" s="12">
        <v>9014.62</v>
      </c>
      <c r="E433" s="9" t="s">
        <v>19</v>
      </c>
      <c r="F433" s="9" t="s">
        <v>233</v>
      </c>
      <c r="G433" s="12">
        <v>59.0</v>
      </c>
      <c r="H433" s="17" t="s">
        <v>24</v>
      </c>
      <c r="I433" s="14"/>
    </row>
    <row r="434">
      <c r="A434" s="8">
        <v>3539.0</v>
      </c>
      <c r="B434" s="9" t="s">
        <v>9</v>
      </c>
      <c r="C434" s="10">
        <f t="shared" si="1"/>
        <v>9023.694824</v>
      </c>
      <c r="D434" s="12">
        <v>9019.07</v>
      </c>
      <c r="E434" s="9" t="s">
        <v>63</v>
      </c>
      <c r="F434" s="9" t="s">
        <v>64</v>
      </c>
      <c r="G434" s="12">
        <v>7.2</v>
      </c>
      <c r="H434" s="17" t="s">
        <v>24</v>
      </c>
      <c r="I434" s="16"/>
    </row>
    <row r="435">
      <c r="A435" s="8">
        <v>3548.0</v>
      </c>
      <c r="B435" s="9" t="s">
        <v>9</v>
      </c>
      <c r="C435" s="10">
        <f t="shared" si="1"/>
        <v>9034.944824</v>
      </c>
      <c r="D435" s="12">
        <v>9029.2</v>
      </c>
      <c r="E435" s="9" t="s">
        <v>63</v>
      </c>
      <c r="F435" s="9" t="s">
        <v>64</v>
      </c>
      <c r="G435" s="12">
        <v>11.1</v>
      </c>
      <c r="H435" s="17" t="s">
        <v>24</v>
      </c>
      <c r="I435" s="14"/>
    </row>
    <row r="436">
      <c r="A436" s="8">
        <v>3552.0</v>
      </c>
      <c r="B436" s="9" t="s">
        <v>9</v>
      </c>
      <c r="C436" s="10">
        <f t="shared" si="1"/>
        <v>9039.944824</v>
      </c>
      <c r="D436" s="15"/>
      <c r="E436" s="9" t="s">
        <v>234</v>
      </c>
      <c r="G436" s="15"/>
      <c r="H436" s="13"/>
      <c r="I436" s="16"/>
    </row>
    <row r="437">
      <c r="A437" s="8">
        <v>3557.0</v>
      </c>
      <c r="B437" s="9" t="s">
        <v>9</v>
      </c>
      <c r="C437" s="10">
        <f t="shared" si="1"/>
        <v>9046.194824</v>
      </c>
      <c r="D437" s="15"/>
      <c r="E437" s="9" t="s">
        <v>235</v>
      </c>
      <c r="G437" s="15"/>
      <c r="H437" s="13"/>
      <c r="I437" s="16"/>
    </row>
    <row r="438">
      <c r="A438" s="8">
        <v>3561.0</v>
      </c>
      <c r="B438" s="9" t="s">
        <v>9</v>
      </c>
      <c r="C438" s="10">
        <f t="shared" si="1"/>
        <v>9051.194824</v>
      </c>
      <c r="D438" s="15"/>
      <c r="E438" s="9" t="s">
        <v>234</v>
      </c>
      <c r="G438" s="15"/>
      <c r="H438" s="13"/>
      <c r="I438" s="16"/>
    </row>
    <row r="439">
      <c r="A439" s="8">
        <v>3570.0</v>
      </c>
      <c r="B439" s="9" t="s">
        <v>9</v>
      </c>
      <c r="C439" s="10">
        <f t="shared" si="1"/>
        <v>9062.444824</v>
      </c>
      <c r="D439" s="12">
        <v>9057.14</v>
      </c>
      <c r="E439" s="9" t="s">
        <v>63</v>
      </c>
      <c r="F439" s="9" t="s">
        <v>64</v>
      </c>
      <c r="G439" s="12">
        <v>6.7</v>
      </c>
      <c r="H439" s="17" t="s">
        <v>24</v>
      </c>
      <c r="I439" s="14"/>
    </row>
    <row r="440">
      <c r="A440" s="8">
        <v>3574.0</v>
      </c>
      <c r="B440" s="9" t="s">
        <v>9</v>
      </c>
      <c r="C440" s="10">
        <f t="shared" si="1"/>
        <v>9067.444824</v>
      </c>
      <c r="D440" s="12">
        <v>9061.97</v>
      </c>
      <c r="E440" s="9" t="s">
        <v>19</v>
      </c>
      <c r="F440" s="9" t="s">
        <v>236</v>
      </c>
      <c r="G440" s="12">
        <v>1.5067</v>
      </c>
      <c r="H440" s="17">
        <v>101.0</v>
      </c>
      <c r="I440" s="6"/>
    </row>
    <row r="441">
      <c r="A441" s="8">
        <v>3579.0</v>
      </c>
      <c r="B441" s="9" t="s">
        <v>9</v>
      </c>
      <c r="C441" s="10">
        <f t="shared" si="1"/>
        <v>9073.694824</v>
      </c>
      <c r="D441" s="12">
        <v>9068.7</v>
      </c>
      <c r="E441" s="9" t="s">
        <v>19</v>
      </c>
      <c r="F441" s="9" t="s">
        <v>237</v>
      </c>
      <c r="G441" s="12">
        <v>260.0</v>
      </c>
      <c r="H441" s="17" t="s">
        <v>24</v>
      </c>
      <c r="I441" s="14"/>
    </row>
    <row r="442">
      <c r="A442" s="8">
        <v>3587.0</v>
      </c>
      <c r="B442" s="9" t="s">
        <v>9</v>
      </c>
      <c r="C442" s="10">
        <f t="shared" si="1"/>
        <v>9083.694824</v>
      </c>
      <c r="D442" s="15"/>
      <c r="E442" s="9" t="s">
        <v>46</v>
      </c>
      <c r="F442" s="19"/>
      <c r="G442" s="15"/>
      <c r="H442" s="13"/>
      <c r="I442" s="16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8">
        <v>3591.0</v>
      </c>
      <c r="B443" s="9" t="s">
        <v>9</v>
      </c>
      <c r="C443" s="10">
        <f t="shared" si="1"/>
        <v>9088.694824</v>
      </c>
      <c r="D443" s="12">
        <v>9084.0</v>
      </c>
      <c r="E443" s="9" t="s">
        <v>69</v>
      </c>
      <c r="F443" s="9" t="s">
        <v>64</v>
      </c>
      <c r="G443" s="12">
        <v>2.2</v>
      </c>
      <c r="H443" s="17" t="s">
        <v>67</v>
      </c>
      <c r="I443" s="16"/>
    </row>
    <row r="444">
      <c r="A444" s="8">
        <v>3603.0</v>
      </c>
      <c r="B444" s="9" t="s">
        <v>9</v>
      </c>
      <c r="C444" s="10">
        <f t="shared" si="1"/>
        <v>9103.694824</v>
      </c>
      <c r="D444" s="12">
        <v>9099.09</v>
      </c>
      <c r="E444" s="9" t="s">
        <v>63</v>
      </c>
      <c r="F444" s="9" t="s">
        <v>64</v>
      </c>
      <c r="G444" s="12">
        <v>8.0</v>
      </c>
      <c r="H444" s="17" t="s">
        <v>67</v>
      </c>
      <c r="I444" s="14"/>
    </row>
    <row r="445">
      <c r="A445" s="8">
        <v>3615.0</v>
      </c>
      <c r="B445" s="9" t="s">
        <v>9</v>
      </c>
      <c r="C445" s="10">
        <f t="shared" si="1"/>
        <v>9118.694824</v>
      </c>
      <c r="D445" s="12">
        <v>9113.52</v>
      </c>
      <c r="E445" s="9" t="s">
        <v>63</v>
      </c>
      <c r="F445" s="9" t="s">
        <v>64</v>
      </c>
      <c r="G445" s="12">
        <v>5.4</v>
      </c>
      <c r="H445" s="17" t="s">
        <v>67</v>
      </c>
      <c r="I445" s="14"/>
    </row>
    <row r="446">
      <c r="A446" s="8">
        <v>3622.0</v>
      </c>
      <c r="B446" s="9" t="s">
        <v>9</v>
      </c>
      <c r="C446" s="10">
        <f t="shared" si="1"/>
        <v>9127.444824</v>
      </c>
      <c r="D446" s="12">
        <v>9121.74</v>
      </c>
      <c r="E446" s="9" t="s">
        <v>88</v>
      </c>
      <c r="F446" s="18" t="s">
        <v>238</v>
      </c>
      <c r="G446" s="12">
        <v>0.6</v>
      </c>
      <c r="H446" s="17" t="s">
        <v>67</v>
      </c>
      <c r="I446" s="14" t="s">
        <v>239</v>
      </c>
    </row>
    <row r="447">
      <c r="A447" s="8">
        <v>3627.0</v>
      </c>
      <c r="B447" s="9" t="s">
        <v>9</v>
      </c>
      <c r="C447" s="10">
        <f t="shared" si="1"/>
        <v>9133.694824</v>
      </c>
      <c r="D447" s="15"/>
      <c r="E447" s="9" t="s">
        <v>46</v>
      </c>
      <c r="F447" s="19"/>
      <c r="G447" s="15"/>
      <c r="H447" s="17" t="s">
        <v>67</v>
      </c>
      <c r="I447" s="16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8">
        <v>3631.0</v>
      </c>
      <c r="B448" s="9" t="s">
        <v>9</v>
      </c>
      <c r="C448" s="10">
        <f t="shared" si="1"/>
        <v>9138.694824</v>
      </c>
      <c r="D448" s="15"/>
      <c r="E448" s="9" t="s">
        <v>46</v>
      </c>
      <c r="F448" s="19"/>
      <c r="G448" s="15"/>
      <c r="H448" s="13"/>
      <c r="I448" s="16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8">
        <v>3640.0</v>
      </c>
      <c r="B449" s="9" t="s">
        <v>9</v>
      </c>
      <c r="C449" s="10">
        <f t="shared" si="1"/>
        <v>9149.944824</v>
      </c>
      <c r="D449" s="12">
        <v>9144.31</v>
      </c>
      <c r="E449" s="9" t="s">
        <v>63</v>
      </c>
      <c r="F449" s="9" t="s">
        <v>64</v>
      </c>
      <c r="G449" s="12">
        <v>5.7</v>
      </c>
      <c r="H449" s="17" t="s">
        <v>24</v>
      </c>
      <c r="I449" s="14" t="s">
        <v>240</v>
      </c>
    </row>
    <row r="450">
      <c r="A450" s="8">
        <v>3649.0</v>
      </c>
      <c r="B450" s="9" t="s">
        <v>9</v>
      </c>
      <c r="C450" s="10">
        <f t="shared" si="1"/>
        <v>9161.194824</v>
      </c>
      <c r="D450" s="12">
        <v>9158.57</v>
      </c>
      <c r="E450" s="9" t="s">
        <v>69</v>
      </c>
      <c r="F450" s="9" t="s">
        <v>64</v>
      </c>
      <c r="G450" s="12">
        <v>4.4</v>
      </c>
      <c r="H450" s="17" t="s">
        <v>24</v>
      </c>
      <c r="I450" s="14" t="s">
        <v>241</v>
      </c>
    </row>
    <row r="451">
      <c r="A451" s="8">
        <v>3664.0</v>
      </c>
      <c r="B451" s="9" t="s">
        <v>9</v>
      </c>
      <c r="C451" s="10">
        <f t="shared" si="1"/>
        <v>9179.944824</v>
      </c>
      <c r="D451" s="12">
        <v>9175.76</v>
      </c>
      <c r="E451" s="9" t="s">
        <v>93</v>
      </c>
      <c r="G451" s="15"/>
      <c r="H451" s="13"/>
      <c r="I451" s="14" t="s">
        <v>242</v>
      </c>
    </row>
    <row r="452">
      <c r="A452" s="8">
        <v>3679.0</v>
      </c>
      <c r="B452" s="9" t="s">
        <v>9</v>
      </c>
      <c r="C452" s="10">
        <f t="shared" si="1"/>
        <v>9198.694824</v>
      </c>
      <c r="D452" s="15"/>
      <c r="E452" s="9" t="s">
        <v>46</v>
      </c>
      <c r="F452" s="19"/>
      <c r="G452" s="15"/>
      <c r="H452" s="13"/>
      <c r="I452" s="16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8">
        <v>3687.0</v>
      </c>
      <c r="B453" s="9" t="s">
        <v>9</v>
      </c>
      <c r="C453" s="10">
        <f t="shared" si="1"/>
        <v>9208.694824</v>
      </c>
      <c r="D453" s="12">
        <v>9204.18</v>
      </c>
      <c r="E453" s="9" t="s">
        <v>38</v>
      </c>
      <c r="F453" s="9" t="s">
        <v>243</v>
      </c>
      <c r="G453" s="12">
        <v>1.0</v>
      </c>
      <c r="H453" s="17" t="s">
        <v>31</v>
      </c>
      <c r="I453" s="16"/>
    </row>
    <row r="454">
      <c r="A454" s="8">
        <v>3692.0</v>
      </c>
      <c r="B454" s="9" t="s">
        <v>9</v>
      </c>
      <c r="C454" s="10">
        <f t="shared" si="1"/>
        <v>9214.944824</v>
      </c>
      <c r="D454" s="12">
        <v>9210.11</v>
      </c>
      <c r="E454" s="9" t="s">
        <v>19</v>
      </c>
      <c r="F454" s="9" t="s">
        <v>244</v>
      </c>
      <c r="G454" s="12">
        <v>1.3</v>
      </c>
      <c r="H454" s="17" t="s">
        <v>24</v>
      </c>
      <c r="I454" s="14"/>
    </row>
    <row r="455">
      <c r="A455" s="8">
        <v>3699.0</v>
      </c>
      <c r="B455" s="9" t="s">
        <v>9</v>
      </c>
      <c r="C455" s="10">
        <f t="shared" si="1"/>
        <v>9223.694824</v>
      </c>
      <c r="D455" s="12">
        <v>9217.98</v>
      </c>
      <c r="E455" s="9" t="s">
        <v>82</v>
      </c>
      <c r="F455" s="9" t="s">
        <v>64</v>
      </c>
      <c r="G455" s="12">
        <v>1.0</v>
      </c>
      <c r="H455" s="17">
        <v>11.0</v>
      </c>
      <c r="I455" s="16"/>
    </row>
    <row r="456">
      <c r="A456" s="8">
        <v>3707.0</v>
      </c>
      <c r="B456" s="9" t="s">
        <v>9</v>
      </c>
      <c r="C456" s="10">
        <f t="shared" si="1"/>
        <v>9233.694824</v>
      </c>
      <c r="D456" s="12">
        <v>9228.82</v>
      </c>
      <c r="E456" s="9" t="s">
        <v>19</v>
      </c>
      <c r="F456" s="9" t="s">
        <v>245</v>
      </c>
      <c r="G456" s="12">
        <v>92.0</v>
      </c>
      <c r="H456" s="17" t="s">
        <v>24</v>
      </c>
      <c r="I456" s="14"/>
    </row>
    <row r="457">
      <c r="A457" s="8">
        <v>3720.0</v>
      </c>
      <c r="B457" s="9" t="s">
        <v>9</v>
      </c>
      <c r="C457" s="10">
        <f t="shared" si="1"/>
        <v>9249.944824</v>
      </c>
      <c r="D457" s="12">
        <v>9244.4</v>
      </c>
      <c r="E457" s="9" t="s">
        <v>38</v>
      </c>
      <c r="F457" s="9" t="s">
        <v>246</v>
      </c>
      <c r="G457" s="12">
        <v>1.4</v>
      </c>
      <c r="H457" s="17">
        <v>11.0</v>
      </c>
      <c r="I457" s="16"/>
    </row>
    <row r="458">
      <c r="A458" s="8">
        <v>3736.0</v>
      </c>
      <c r="B458" s="9" t="s">
        <v>9</v>
      </c>
      <c r="C458" s="10">
        <f t="shared" si="1"/>
        <v>9269.944824</v>
      </c>
      <c r="D458" s="12">
        <v>9262.16</v>
      </c>
      <c r="E458" s="9" t="s">
        <v>125</v>
      </c>
      <c r="F458" s="9" t="s">
        <v>64</v>
      </c>
      <c r="G458" s="12">
        <v>1.0</v>
      </c>
      <c r="H458" s="17" t="s">
        <v>67</v>
      </c>
      <c r="I458" s="14" t="s">
        <v>247</v>
      </c>
    </row>
    <row r="459">
      <c r="A459" s="8">
        <v>3745.0</v>
      </c>
      <c r="B459" s="9" t="s">
        <v>9</v>
      </c>
      <c r="C459" s="10">
        <f t="shared" si="1"/>
        <v>9281.194824</v>
      </c>
      <c r="D459" s="12"/>
      <c r="E459" s="9" t="s">
        <v>235</v>
      </c>
      <c r="G459" s="12"/>
      <c r="H459" s="13"/>
      <c r="I459" s="16"/>
    </row>
    <row r="460">
      <c r="A460" s="8">
        <v>3750.0</v>
      </c>
      <c r="B460" s="9" t="s">
        <v>9</v>
      </c>
      <c r="C460" s="10">
        <f t="shared" si="1"/>
        <v>9287.444824</v>
      </c>
      <c r="D460" s="12"/>
      <c r="E460" s="9" t="s">
        <v>235</v>
      </c>
      <c r="G460" s="12"/>
      <c r="H460" s="13"/>
      <c r="I460" s="16"/>
    </row>
    <row r="461">
      <c r="A461" s="8">
        <v>3755.0</v>
      </c>
      <c r="B461" s="9" t="s">
        <v>9</v>
      </c>
      <c r="C461" s="10">
        <f t="shared" si="1"/>
        <v>9293.694824</v>
      </c>
      <c r="D461" s="12"/>
      <c r="E461" s="9" t="s">
        <v>235</v>
      </c>
      <c r="G461" s="12"/>
      <c r="H461" s="13"/>
      <c r="I461" s="16"/>
    </row>
    <row r="462">
      <c r="A462" s="8">
        <v>3762.0</v>
      </c>
      <c r="B462" s="9" t="s">
        <v>9</v>
      </c>
      <c r="C462" s="10">
        <f t="shared" si="1"/>
        <v>9302.444824</v>
      </c>
      <c r="D462" s="12">
        <v>9297.64</v>
      </c>
      <c r="E462" s="9" t="s">
        <v>69</v>
      </c>
      <c r="F462" s="9" t="s">
        <v>64</v>
      </c>
      <c r="G462" s="12">
        <v>10.2</v>
      </c>
      <c r="H462" s="17" t="s">
        <v>24</v>
      </c>
      <c r="I462" s="14"/>
    </row>
    <row r="463">
      <c r="A463" s="8">
        <v>3767.0</v>
      </c>
      <c r="B463" s="9" t="s">
        <v>9</v>
      </c>
      <c r="C463" s="10">
        <f t="shared" si="1"/>
        <v>9308.694824</v>
      </c>
      <c r="D463" s="12"/>
      <c r="E463" s="9" t="s">
        <v>235</v>
      </c>
      <c r="G463" s="12"/>
      <c r="H463" s="13"/>
      <c r="I463" s="14" t="s">
        <v>248</v>
      </c>
    </row>
    <row r="464">
      <c r="A464" s="8">
        <v>3774.0</v>
      </c>
      <c r="B464" s="9" t="s">
        <v>9</v>
      </c>
      <c r="C464" s="10">
        <f t="shared" si="1"/>
        <v>9317.444824</v>
      </c>
      <c r="D464" s="12"/>
      <c r="E464" s="9" t="s">
        <v>235</v>
      </c>
      <c r="G464" s="12"/>
      <c r="H464" s="13"/>
      <c r="I464" s="16"/>
    </row>
    <row r="465">
      <c r="A465" s="8">
        <v>3779.0</v>
      </c>
      <c r="B465" s="9" t="s">
        <v>9</v>
      </c>
      <c r="C465" s="10">
        <f t="shared" si="1"/>
        <v>9323.694824</v>
      </c>
      <c r="D465" s="12"/>
      <c r="E465" s="9" t="s">
        <v>235</v>
      </c>
      <c r="G465" s="12"/>
      <c r="H465" s="13"/>
      <c r="I465" s="16"/>
    </row>
    <row r="466">
      <c r="A466" s="20">
        <v>3785.0</v>
      </c>
      <c r="B466" s="9" t="s">
        <v>9</v>
      </c>
      <c r="C466" s="10">
        <f t="shared" si="1"/>
        <v>9331.194824</v>
      </c>
      <c r="D466" s="12"/>
      <c r="E466" s="9" t="s">
        <v>235</v>
      </c>
      <c r="G466" s="12"/>
      <c r="H466" s="13"/>
      <c r="I466" s="16"/>
    </row>
    <row r="467">
      <c r="A467" s="20">
        <v>3790.0</v>
      </c>
      <c r="B467" s="9" t="s">
        <v>9</v>
      </c>
      <c r="C467" s="10">
        <f t="shared" si="1"/>
        <v>9337.444824</v>
      </c>
      <c r="D467" s="12"/>
      <c r="E467" s="9" t="s">
        <v>235</v>
      </c>
      <c r="G467" s="12"/>
      <c r="H467" s="13"/>
      <c r="I467" s="16"/>
    </row>
    <row r="468">
      <c r="A468" s="8">
        <v>3817.00564366942</v>
      </c>
      <c r="B468" s="9" t="s">
        <v>9</v>
      </c>
      <c r="C468" s="10">
        <f t="shared" si="1"/>
        <v>9371.201879</v>
      </c>
      <c r="D468" s="15"/>
      <c r="E468" s="9" t="s">
        <v>93</v>
      </c>
      <c r="G468" s="15"/>
      <c r="H468" s="13"/>
      <c r="I468" s="16"/>
    </row>
    <row r="469">
      <c r="A469" s="8">
        <v>3825.19779917114</v>
      </c>
      <c r="B469" s="9" t="s">
        <v>9</v>
      </c>
      <c r="C469" s="10">
        <f t="shared" si="1"/>
        <v>9381.442073</v>
      </c>
      <c r="D469" s="15"/>
      <c r="E469" s="9" t="s">
        <v>93</v>
      </c>
      <c r="G469" s="15"/>
      <c r="H469" s="13"/>
      <c r="I469" s="16"/>
    </row>
    <row r="470">
      <c r="A470" s="8"/>
      <c r="C470" s="25"/>
      <c r="D470" s="15"/>
      <c r="G470" s="15"/>
      <c r="H470" s="13"/>
      <c r="I470" s="16"/>
    </row>
    <row r="471">
      <c r="A471" s="8"/>
      <c r="C471" s="25"/>
      <c r="D471" s="15"/>
      <c r="G471" s="15"/>
      <c r="H471" s="13"/>
      <c r="I471" s="16"/>
    </row>
    <row r="472">
      <c r="A472" s="8"/>
      <c r="C472" s="25"/>
      <c r="D472" s="15"/>
      <c r="G472" s="15"/>
      <c r="H472" s="13"/>
      <c r="I472" s="16"/>
    </row>
    <row r="473">
      <c r="A473" s="8"/>
      <c r="C473" s="25"/>
      <c r="D473" s="15"/>
      <c r="G473" s="15"/>
      <c r="H473" s="13"/>
      <c r="I473" s="16"/>
    </row>
    <row r="474">
      <c r="A474" s="8"/>
      <c r="C474" s="25"/>
      <c r="D474" s="15"/>
      <c r="G474" s="15"/>
      <c r="H474" s="13"/>
      <c r="I474" s="16"/>
    </row>
    <row r="475">
      <c r="A475" s="8"/>
      <c r="C475" s="25"/>
      <c r="D475" s="15"/>
      <c r="G475" s="15"/>
      <c r="H475" s="13"/>
      <c r="I475" s="16"/>
    </row>
    <row r="476">
      <c r="A476" s="8"/>
      <c r="C476" s="25"/>
      <c r="D476" s="15"/>
      <c r="G476" s="15"/>
      <c r="H476" s="13"/>
      <c r="I476" s="16"/>
    </row>
    <row r="477">
      <c r="A477" s="8"/>
      <c r="C477" s="25"/>
      <c r="D477" s="15"/>
      <c r="G477" s="15"/>
      <c r="H477" s="13"/>
      <c r="I477" s="16"/>
    </row>
    <row r="478">
      <c r="A478" s="8"/>
      <c r="C478" s="25"/>
      <c r="D478" s="15"/>
      <c r="G478" s="15"/>
      <c r="H478" s="13"/>
      <c r="I478" s="16"/>
    </row>
    <row r="479">
      <c r="A479" s="8"/>
      <c r="C479" s="25"/>
      <c r="D479" s="15"/>
      <c r="G479" s="15"/>
      <c r="H479" s="13"/>
      <c r="I479" s="16"/>
    </row>
    <row r="480">
      <c r="A480" s="8"/>
      <c r="C480" s="25"/>
      <c r="D480" s="15"/>
      <c r="G480" s="15"/>
      <c r="H480" s="13"/>
      <c r="I480" s="16"/>
    </row>
    <row r="481">
      <c r="A481" s="8"/>
      <c r="C481" s="25"/>
      <c r="D481" s="15"/>
      <c r="G481" s="15"/>
      <c r="H481" s="13"/>
      <c r="I481" s="16"/>
    </row>
    <row r="482">
      <c r="A482" s="8"/>
      <c r="C482" s="25"/>
      <c r="D482" s="15"/>
      <c r="G482" s="15"/>
      <c r="H482" s="13"/>
      <c r="I482" s="16"/>
    </row>
    <row r="483">
      <c r="A483" s="8"/>
      <c r="C483" s="25"/>
      <c r="D483" s="15"/>
      <c r="G483" s="15"/>
      <c r="H483" s="13"/>
      <c r="I483" s="16"/>
    </row>
    <row r="484">
      <c r="A484" s="8"/>
      <c r="C484" s="25"/>
      <c r="D484" s="15"/>
      <c r="G484" s="15"/>
      <c r="H484" s="13"/>
      <c r="I484" s="16"/>
    </row>
    <row r="485">
      <c r="A485" s="8"/>
      <c r="C485" s="25"/>
      <c r="D485" s="15"/>
      <c r="G485" s="15"/>
      <c r="H485" s="13"/>
      <c r="I485" s="16"/>
    </row>
    <row r="486">
      <c r="A486" s="8"/>
      <c r="C486" s="25"/>
      <c r="D486" s="15"/>
      <c r="G486" s="15"/>
      <c r="H486" s="13"/>
      <c r="I486" s="16"/>
    </row>
    <row r="487">
      <c r="A487" s="8"/>
      <c r="C487" s="25"/>
      <c r="D487" s="15"/>
      <c r="G487" s="15"/>
      <c r="H487" s="13"/>
      <c r="I487" s="16"/>
    </row>
    <row r="488">
      <c r="A488" s="8"/>
      <c r="C488" s="25"/>
      <c r="D488" s="15"/>
      <c r="G488" s="15"/>
      <c r="H488" s="13"/>
      <c r="I488" s="16"/>
    </row>
    <row r="489">
      <c r="A489" s="8"/>
      <c r="C489" s="25"/>
      <c r="D489" s="15"/>
      <c r="G489" s="15"/>
      <c r="H489" s="13"/>
      <c r="I489" s="16"/>
    </row>
    <row r="490">
      <c r="A490" s="8"/>
      <c r="C490" s="25"/>
      <c r="D490" s="15"/>
      <c r="G490" s="15"/>
      <c r="H490" s="13"/>
      <c r="I490" s="16"/>
    </row>
    <row r="491">
      <c r="A491" s="8"/>
      <c r="C491" s="25"/>
      <c r="D491" s="15"/>
      <c r="G491" s="15"/>
      <c r="H491" s="13"/>
      <c r="I491" s="16"/>
    </row>
    <row r="492">
      <c r="A492" s="8"/>
      <c r="C492" s="25"/>
      <c r="D492" s="15"/>
      <c r="G492" s="15"/>
      <c r="H492" s="13"/>
      <c r="I492" s="16"/>
    </row>
    <row r="493">
      <c r="A493" s="8"/>
      <c r="C493" s="25"/>
      <c r="D493" s="15"/>
      <c r="G493" s="15"/>
      <c r="H493" s="13"/>
      <c r="I493" s="16"/>
    </row>
    <row r="494">
      <c r="A494" s="8"/>
      <c r="C494" s="25"/>
      <c r="D494" s="15"/>
      <c r="G494" s="15"/>
      <c r="H494" s="13"/>
      <c r="I494" s="16"/>
    </row>
    <row r="495">
      <c r="A495" s="8"/>
      <c r="C495" s="25"/>
      <c r="D495" s="15"/>
      <c r="G495" s="15"/>
      <c r="H495" s="13"/>
      <c r="I495" s="16"/>
    </row>
    <row r="496">
      <c r="A496" s="8"/>
      <c r="C496" s="25"/>
      <c r="D496" s="15"/>
      <c r="G496" s="15"/>
      <c r="H496" s="13"/>
      <c r="I496" s="16"/>
    </row>
    <row r="497">
      <c r="A497" s="8"/>
      <c r="C497" s="25"/>
      <c r="D497" s="15"/>
      <c r="G497" s="15"/>
      <c r="H497" s="13"/>
      <c r="I497" s="16"/>
    </row>
    <row r="498">
      <c r="A498" s="8"/>
      <c r="C498" s="25"/>
      <c r="D498" s="15"/>
      <c r="G498" s="15"/>
      <c r="H498" s="13"/>
      <c r="I498" s="16"/>
    </row>
    <row r="499">
      <c r="A499" s="8"/>
      <c r="C499" s="25"/>
      <c r="D499" s="15"/>
      <c r="G499" s="15"/>
      <c r="H499" s="13"/>
      <c r="I499" s="16"/>
    </row>
    <row r="500">
      <c r="A500" s="8"/>
      <c r="C500" s="25"/>
      <c r="D500" s="15"/>
      <c r="G500" s="15"/>
      <c r="H500" s="13"/>
      <c r="I500" s="16"/>
    </row>
    <row r="501">
      <c r="A501" s="8"/>
      <c r="C501" s="25"/>
      <c r="D501" s="15"/>
      <c r="G501" s="15"/>
      <c r="H501" s="13"/>
      <c r="I501" s="16"/>
    </row>
    <row r="502">
      <c r="A502" s="8"/>
      <c r="C502" s="25"/>
      <c r="D502" s="15"/>
      <c r="G502" s="15"/>
      <c r="H502" s="13"/>
      <c r="I502" s="16"/>
    </row>
    <row r="503">
      <c r="A503" s="8"/>
      <c r="C503" s="25"/>
      <c r="D503" s="15"/>
      <c r="G503" s="15"/>
      <c r="H503" s="13"/>
      <c r="I503" s="16"/>
    </row>
    <row r="504">
      <c r="A504" s="8"/>
      <c r="C504" s="25"/>
      <c r="D504" s="15"/>
      <c r="G504" s="15"/>
      <c r="H504" s="13"/>
      <c r="I504" s="16"/>
    </row>
    <row r="505">
      <c r="A505" s="8"/>
      <c r="C505" s="25"/>
      <c r="D505" s="15"/>
      <c r="G505" s="15"/>
      <c r="H505" s="13"/>
      <c r="I505" s="16"/>
    </row>
    <row r="506">
      <c r="A506" s="8"/>
      <c r="C506" s="25"/>
      <c r="D506" s="15"/>
      <c r="G506" s="15"/>
      <c r="H506" s="13"/>
      <c r="I506" s="16"/>
    </row>
    <row r="507">
      <c r="A507" s="8"/>
      <c r="C507" s="25"/>
      <c r="D507" s="15"/>
      <c r="G507" s="15"/>
      <c r="H507" s="13"/>
      <c r="I507" s="16"/>
    </row>
    <row r="508">
      <c r="A508" s="8"/>
      <c r="C508" s="25"/>
      <c r="D508" s="15"/>
      <c r="G508" s="15"/>
      <c r="H508" s="13"/>
      <c r="I508" s="16"/>
    </row>
    <row r="509">
      <c r="A509" s="8"/>
      <c r="C509" s="25"/>
      <c r="D509" s="15"/>
      <c r="G509" s="15"/>
      <c r="H509" s="13"/>
      <c r="I509" s="16"/>
    </row>
    <row r="510">
      <c r="A510" s="8"/>
      <c r="C510" s="25"/>
      <c r="D510" s="15"/>
      <c r="G510" s="15"/>
      <c r="H510" s="13"/>
      <c r="I510" s="16"/>
    </row>
    <row r="511">
      <c r="A511" s="8"/>
      <c r="C511" s="25"/>
      <c r="D511" s="15"/>
      <c r="G511" s="15"/>
      <c r="H511" s="13"/>
      <c r="I511" s="16"/>
    </row>
    <row r="512">
      <c r="A512" s="8"/>
      <c r="C512" s="25"/>
      <c r="D512" s="15"/>
      <c r="G512" s="15"/>
      <c r="H512" s="13"/>
      <c r="I512" s="16"/>
    </row>
    <row r="513">
      <c r="A513" s="8"/>
      <c r="C513" s="25"/>
      <c r="D513" s="15"/>
      <c r="G513" s="15"/>
      <c r="H513" s="13"/>
      <c r="I513" s="16"/>
    </row>
    <row r="514">
      <c r="A514" s="8"/>
      <c r="C514" s="25"/>
      <c r="D514" s="15"/>
      <c r="G514" s="15"/>
      <c r="H514" s="13"/>
      <c r="I514" s="16"/>
    </row>
    <row r="515">
      <c r="A515" s="8"/>
      <c r="C515" s="25"/>
      <c r="D515" s="15"/>
      <c r="G515" s="15"/>
      <c r="H515" s="13"/>
      <c r="I515" s="16"/>
    </row>
    <row r="516">
      <c r="A516" s="8"/>
      <c r="C516" s="25"/>
      <c r="D516" s="15"/>
      <c r="G516" s="15"/>
      <c r="H516" s="13"/>
      <c r="I516" s="16"/>
    </row>
    <row r="517">
      <c r="A517" s="8"/>
      <c r="C517" s="25"/>
      <c r="D517" s="15"/>
      <c r="G517" s="15"/>
      <c r="H517" s="13"/>
      <c r="I517" s="16"/>
    </row>
    <row r="518">
      <c r="A518" s="8"/>
      <c r="C518" s="25"/>
      <c r="D518" s="15"/>
      <c r="G518" s="15"/>
      <c r="H518" s="13"/>
      <c r="I518" s="16"/>
    </row>
    <row r="519">
      <c r="A519" s="8"/>
      <c r="C519" s="25"/>
      <c r="D519" s="15"/>
      <c r="G519" s="15"/>
      <c r="H519" s="13"/>
      <c r="I519" s="16"/>
    </row>
    <row r="520">
      <c r="A520" s="8"/>
      <c r="C520" s="25"/>
      <c r="D520" s="15"/>
      <c r="G520" s="15"/>
      <c r="H520" s="13"/>
      <c r="I520" s="16"/>
    </row>
    <row r="521">
      <c r="A521" s="8"/>
      <c r="C521" s="25"/>
      <c r="D521" s="15"/>
      <c r="G521" s="15"/>
      <c r="H521" s="13"/>
      <c r="I521" s="16"/>
    </row>
    <row r="522">
      <c r="A522" s="8"/>
      <c r="C522" s="25"/>
      <c r="D522" s="15"/>
      <c r="G522" s="15"/>
      <c r="H522" s="13"/>
      <c r="I522" s="16"/>
    </row>
    <row r="523">
      <c r="A523" s="8"/>
      <c r="C523" s="25"/>
      <c r="D523" s="15"/>
      <c r="G523" s="15"/>
      <c r="H523" s="13"/>
      <c r="I523" s="16"/>
    </row>
    <row r="524">
      <c r="A524" s="8"/>
      <c r="C524" s="25"/>
      <c r="D524" s="15"/>
      <c r="G524" s="15"/>
      <c r="H524" s="13"/>
      <c r="I524" s="16"/>
    </row>
    <row r="525">
      <c r="A525" s="8"/>
      <c r="C525" s="25"/>
      <c r="D525" s="15"/>
      <c r="G525" s="15"/>
      <c r="H525" s="13"/>
      <c r="I525" s="16"/>
    </row>
    <row r="526">
      <c r="A526" s="8"/>
      <c r="C526" s="25"/>
      <c r="D526" s="15"/>
      <c r="G526" s="15"/>
      <c r="H526" s="13"/>
      <c r="I526" s="16"/>
    </row>
    <row r="527">
      <c r="A527" s="8"/>
      <c r="C527" s="25"/>
      <c r="D527" s="15"/>
      <c r="G527" s="15"/>
      <c r="H527" s="13"/>
      <c r="I527" s="16"/>
    </row>
    <row r="528">
      <c r="A528" s="8"/>
      <c r="C528" s="25"/>
      <c r="D528" s="15"/>
      <c r="G528" s="15"/>
      <c r="H528" s="13"/>
      <c r="I528" s="16"/>
    </row>
    <row r="529">
      <c r="A529" s="8"/>
      <c r="C529" s="25"/>
      <c r="D529" s="15"/>
      <c r="G529" s="15"/>
      <c r="H529" s="13"/>
      <c r="I529" s="16"/>
    </row>
    <row r="530">
      <c r="A530" s="8"/>
      <c r="C530" s="25"/>
      <c r="D530" s="15"/>
      <c r="G530" s="15"/>
      <c r="H530" s="13"/>
      <c r="I530" s="16"/>
    </row>
    <row r="531">
      <c r="A531" s="8"/>
      <c r="C531" s="25"/>
      <c r="D531" s="15"/>
      <c r="G531" s="15"/>
      <c r="H531" s="13"/>
      <c r="I531" s="16"/>
    </row>
    <row r="532">
      <c r="A532" s="8"/>
      <c r="C532" s="25"/>
      <c r="D532" s="15"/>
      <c r="G532" s="15"/>
      <c r="H532" s="13"/>
      <c r="I532" s="16"/>
    </row>
    <row r="533">
      <c r="A533" s="8"/>
      <c r="C533" s="25"/>
      <c r="D533" s="15"/>
      <c r="G533" s="15"/>
      <c r="H533" s="13"/>
      <c r="I533" s="16"/>
    </row>
    <row r="534">
      <c r="A534" s="8"/>
      <c r="C534" s="25"/>
      <c r="D534" s="15"/>
      <c r="G534" s="15"/>
      <c r="H534" s="13"/>
      <c r="I534" s="16"/>
    </row>
    <row r="535">
      <c r="A535" s="8"/>
      <c r="C535" s="25"/>
      <c r="D535" s="15"/>
      <c r="G535" s="15"/>
      <c r="H535" s="13"/>
      <c r="I535" s="16"/>
    </row>
    <row r="536">
      <c r="A536" s="8"/>
      <c r="C536" s="25"/>
      <c r="D536" s="15"/>
      <c r="G536" s="15"/>
      <c r="H536" s="13"/>
      <c r="I536" s="16"/>
    </row>
    <row r="537">
      <c r="A537" s="8"/>
      <c r="C537" s="25"/>
      <c r="D537" s="15"/>
      <c r="G537" s="15"/>
      <c r="H537" s="13"/>
      <c r="I537" s="16"/>
    </row>
    <row r="538">
      <c r="A538" s="8"/>
      <c r="C538" s="25"/>
      <c r="D538" s="15"/>
      <c r="G538" s="15"/>
      <c r="H538" s="13"/>
      <c r="I538" s="16"/>
    </row>
    <row r="539">
      <c r="A539" s="8"/>
      <c r="C539" s="25"/>
      <c r="D539" s="15"/>
      <c r="G539" s="15"/>
      <c r="H539" s="13"/>
      <c r="I539" s="16"/>
    </row>
    <row r="540">
      <c r="A540" s="8"/>
      <c r="C540" s="25"/>
      <c r="D540" s="15"/>
      <c r="G540" s="15"/>
      <c r="H540" s="13"/>
      <c r="I540" s="16"/>
    </row>
    <row r="541">
      <c r="A541" s="8"/>
      <c r="C541" s="25"/>
      <c r="D541" s="15"/>
      <c r="G541" s="15"/>
      <c r="H541" s="13"/>
      <c r="I541" s="16"/>
    </row>
    <row r="542">
      <c r="A542" s="8"/>
      <c r="C542" s="25"/>
      <c r="D542" s="15"/>
      <c r="G542" s="15"/>
      <c r="H542" s="13"/>
      <c r="I542" s="16"/>
    </row>
    <row r="543">
      <c r="A543" s="8"/>
      <c r="C543" s="25"/>
      <c r="D543" s="15"/>
      <c r="G543" s="15"/>
      <c r="H543" s="13"/>
      <c r="I543" s="16"/>
    </row>
    <row r="544">
      <c r="A544" s="8"/>
      <c r="C544" s="25"/>
      <c r="D544" s="15"/>
      <c r="G544" s="15"/>
      <c r="H544" s="13"/>
      <c r="I544" s="16"/>
    </row>
    <row r="545">
      <c r="A545" s="8"/>
      <c r="C545" s="25"/>
      <c r="D545" s="15"/>
      <c r="G545" s="15"/>
      <c r="H545" s="13"/>
      <c r="I545" s="16"/>
    </row>
    <row r="546">
      <c r="A546" s="8"/>
      <c r="C546" s="25"/>
      <c r="D546" s="15"/>
      <c r="G546" s="15"/>
      <c r="H546" s="13"/>
      <c r="I546" s="16"/>
    </row>
    <row r="547">
      <c r="A547" s="8"/>
      <c r="C547" s="25"/>
      <c r="D547" s="15"/>
      <c r="G547" s="15"/>
      <c r="H547" s="13"/>
      <c r="I547" s="16"/>
    </row>
    <row r="548">
      <c r="A548" s="8"/>
      <c r="C548" s="25"/>
      <c r="D548" s="15"/>
      <c r="G548" s="15"/>
      <c r="H548" s="13"/>
      <c r="I548" s="16"/>
    </row>
    <row r="549">
      <c r="A549" s="8"/>
      <c r="C549" s="25"/>
      <c r="D549" s="15"/>
      <c r="G549" s="15"/>
      <c r="H549" s="13"/>
      <c r="I549" s="16"/>
    </row>
    <row r="550">
      <c r="A550" s="8"/>
      <c r="C550" s="25"/>
      <c r="D550" s="15"/>
      <c r="G550" s="15"/>
      <c r="H550" s="13"/>
      <c r="I550" s="16"/>
    </row>
    <row r="551">
      <c r="A551" s="8"/>
      <c r="C551" s="25"/>
      <c r="D551" s="15"/>
      <c r="G551" s="15"/>
      <c r="H551" s="13"/>
      <c r="I551" s="16"/>
    </row>
    <row r="552">
      <c r="A552" s="8"/>
      <c r="C552" s="25"/>
      <c r="D552" s="15"/>
      <c r="G552" s="15"/>
      <c r="H552" s="13"/>
      <c r="I552" s="16"/>
    </row>
    <row r="553">
      <c r="A553" s="8"/>
      <c r="C553" s="25"/>
      <c r="D553" s="15"/>
      <c r="G553" s="15"/>
      <c r="H553" s="13"/>
      <c r="I553" s="16"/>
    </row>
    <row r="554">
      <c r="A554" s="8"/>
      <c r="C554" s="25"/>
      <c r="D554" s="15"/>
      <c r="G554" s="15"/>
      <c r="H554" s="13"/>
      <c r="I554" s="16"/>
    </row>
    <row r="555">
      <c r="A555" s="8"/>
      <c r="C555" s="25"/>
      <c r="D555" s="15"/>
      <c r="G555" s="15"/>
      <c r="H555" s="13"/>
      <c r="I555" s="16"/>
    </row>
    <row r="556">
      <c r="A556" s="8"/>
      <c r="C556" s="25"/>
      <c r="D556" s="15"/>
      <c r="G556" s="15"/>
      <c r="H556" s="13"/>
      <c r="I556" s="16"/>
    </row>
    <row r="557">
      <c r="A557" s="8"/>
      <c r="C557" s="25"/>
      <c r="D557" s="15"/>
      <c r="G557" s="15"/>
      <c r="H557" s="13"/>
      <c r="I557" s="16"/>
    </row>
    <row r="558">
      <c r="A558" s="8"/>
      <c r="C558" s="25"/>
      <c r="D558" s="15"/>
      <c r="G558" s="15"/>
      <c r="H558" s="13"/>
      <c r="I558" s="16"/>
    </row>
    <row r="559">
      <c r="A559" s="8"/>
      <c r="C559" s="25"/>
      <c r="D559" s="15"/>
      <c r="G559" s="15"/>
      <c r="H559" s="13"/>
      <c r="I559" s="16"/>
    </row>
    <row r="560">
      <c r="A560" s="8"/>
      <c r="C560" s="25"/>
      <c r="D560" s="15"/>
      <c r="G560" s="15"/>
      <c r="H560" s="13"/>
      <c r="I560" s="16"/>
    </row>
    <row r="561">
      <c r="A561" s="8"/>
      <c r="C561" s="25"/>
      <c r="D561" s="15"/>
      <c r="G561" s="15"/>
      <c r="H561" s="13"/>
      <c r="I561" s="16"/>
    </row>
    <row r="562">
      <c r="A562" s="8"/>
      <c r="C562" s="25"/>
      <c r="D562" s="15"/>
      <c r="G562" s="15"/>
      <c r="H562" s="13"/>
      <c r="I562" s="16"/>
    </row>
    <row r="563">
      <c r="A563" s="8"/>
      <c r="C563" s="25"/>
      <c r="D563" s="15"/>
      <c r="G563" s="15"/>
      <c r="H563" s="13"/>
      <c r="I563" s="16"/>
    </row>
    <row r="564">
      <c r="A564" s="8"/>
      <c r="C564" s="25"/>
      <c r="D564" s="15"/>
      <c r="G564" s="15"/>
      <c r="H564" s="13"/>
      <c r="I564" s="16"/>
    </row>
    <row r="565">
      <c r="A565" s="8"/>
      <c r="C565" s="25"/>
      <c r="D565" s="15"/>
      <c r="G565" s="15"/>
      <c r="H565" s="13"/>
      <c r="I565" s="16"/>
    </row>
    <row r="566">
      <c r="A566" s="8"/>
      <c r="C566" s="25"/>
      <c r="D566" s="15"/>
      <c r="G566" s="15"/>
      <c r="H566" s="13"/>
      <c r="I566" s="16"/>
    </row>
    <row r="567">
      <c r="A567" s="8"/>
      <c r="C567" s="25"/>
      <c r="D567" s="15"/>
      <c r="G567" s="15"/>
      <c r="H567" s="13"/>
      <c r="I567" s="16"/>
    </row>
    <row r="568">
      <c r="A568" s="8"/>
      <c r="C568" s="25"/>
      <c r="D568" s="15"/>
      <c r="G568" s="15"/>
      <c r="H568" s="13"/>
      <c r="I568" s="16"/>
    </row>
    <row r="569">
      <c r="A569" s="8"/>
      <c r="C569" s="25"/>
      <c r="D569" s="15"/>
      <c r="G569" s="15"/>
      <c r="H569" s="13"/>
      <c r="I569" s="16"/>
    </row>
    <row r="570">
      <c r="A570" s="8"/>
      <c r="C570" s="25"/>
      <c r="D570" s="15"/>
      <c r="G570" s="15"/>
      <c r="H570" s="13"/>
      <c r="I570" s="16"/>
    </row>
    <row r="571">
      <c r="A571" s="8"/>
      <c r="C571" s="25"/>
      <c r="D571" s="15"/>
      <c r="G571" s="15"/>
      <c r="H571" s="13"/>
      <c r="I571" s="16"/>
    </row>
    <row r="572">
      <c r="A572" s="8"/>
      <c r="C572" s="25"/>
      <c r="D572" s="15"/>
      <c r="G572" s="15"/>
      <c r="H572" s="13"/>
      <c r="I572" s="16"/>
    </row>
    <row r="573">
      <c r="A573" s="8"/>
      <c r="C573" s="25"/>
      <c r="D573" s="15"/>
      <c r="G573" s="15"/>
      <c r="H573" s="13"/>
      <c r="I573" s="16"/>
    </row>
    <row r="574">
      <c r="A574" s="8"/>
      <c r="C574" s="25"/>
      <c r="D574" s="15"/>
      <c r="G574" s="15"/>
      <c r="H574" s="13"/>
      <c r="I574" s="16"/>
    </row>
    <row r="575">
      <c r="A575" s="8"/>
      <c r="C575" s="25"/>
      <c r="D575" s="15"/>
      <c r="G575" s="15"/>
      <c r="H575" s="13"/>
      <c r="I575" s="16"/>
    </row>
    <row r="576">
      <c r="A576" s="8"/>
      <c r="C576" s="25"/>
      <c r="D576" s="15"/>
      <c r="G576" s="15"/>
      <c r="H576" s="13"/>
      <c r="I576" s="16"/>
    </row>
    <row r="577">
      <c r="A577" s="8"/>
      <c r="C577" s="25"/>
      <c r="D577" s="15"/>
      <c r="G577" s="15"/>
      <c r="H577" s="13"/>
      <c r="I577" s="16"/>
    </row>
    <row r="578">
      <c r="A578" s="8"/>
      <c r="C578" s="25"/>
      <c r="D578" s="15"/>
      <c r="G578" s="15"/>
      <c r="H578" s="13"/>
      <c r="I578" s="16"/>
    </row>
    <row r="579">
      <c r="A579" s="8"/>
      <c r="C579" s="25"/>
      <c r="D579" s="15"/>
      <c r="G579" s="15"/>
      <c r="H579" s="13"/>
      <c r="I579" s="16"/>
    </row>
    <row r="580">
      <c r="A580" s="8"/>
      <c r="C580" s="25"/>
      <c r="D580" s="15"/>
      <c r="G580" s="15"/>
      <c r="H580" s="13"/>
      <c r="I580" s="16"/>
    </row>
    <row r="581">
      <c r="A581" s="8"/>
      <c r="C581" s="25"/>
      <c r="D581" s="15"/>
      <c r="G581" s="15"/>
      <c r="H581" s="13"/>
      <c r="I581" s="16"/>
    </row>
    <row r="582">
      <c r="A582" s="8"/>
      <c r="C582" s="25"/>
      <c r="D582" s="15"/>
      <c r="G582" s="15"/>
      <c r="H582" s="13"/>
      <c r="I582" s="16"/>
    </row>
    <row r="583">
      <c r="A583" s="8"/>
      <c r="C583" s="25"/>
      <c r="D583" s="15"/>
      <c r="G583" s="15"/>
      <c r="H583" s="13"/>
      <c r="I583" s="16"/>
    </row>
    <row r="584">
      <c r="A584" s="8"/>
      <c r="C584" s="25"/>
      <c r="D584" s="15"/>
      <c r="G584" s="15"/>
      <c r="H584" s="13"/>
      <c r="I584" s="16"/>
    </row>
    <row r="585">
      <c r="A585" s="8"/>
      <c r="C585" s="25"/>
      <c r="D585" s="15"/>
      <c r="G585" s="15"/>
      <c r="H585" s="13"/>
      <c r="I585" s="16"/>
    </row>
    <row r="586">
      <c r="A586" s="8"/>
      <c r="C586" s="25"/>
      <c r="D586" s="15"/>
      <c r="G586" s="15"/>
      <c r="H586" s="13"/>
      <c r="I586" s="16"/>
    </row>
    <row r="587">
      <c r="A587" s="8"/>
      <c r="C587" s="25"/>
      <c r="D587" s="15"/>
      <c r="G587" s="15"/>
      <c r="H587" s="13"/>
      <c r="I587" s="16"/>
    </row>
    <row r="588">
      <c r="A588" s="8"/>
      <c r="C588" s="25"/>
      <c r="D588" s="15"/>
      <c r="G588" s="15"/>
      <c r="H588" s="13"/>
      <c r="I588" s="16"/>
    </row>
    <row r="589">
      <c r="A589" s="8"/>
      <c r="C589" s="25"/>
      <c r="D589" s="15"/>
      <c r="G589" s="15"/>
      <c r="H589" s="13"/>
      <c r="I589" s="16"/>
    </row>
    <row r="590">
      <c r="A590" s="8"/>
      <c r="C590" s="25"/>
      <c r="D590" s="15"/>
      <c r="G590" s="15"/>
      <c r="H590" s="13"/>
      <c r="I590" s="16"/>
    </row>
    <row r="591">
      <c r="A591" s="8"/>
      <c r="C591" s="25"/>
      <c r="D591" s="15"/>
      <c r="G591" s="15"/>
      <c r="H591" s="13"/>
      <c r="I591" s="16"/>
    </row>
    <row r="592">
      <c r="A592" s="8"/>
      <c r="C592" s="25"/>
      <c r="D592" s="15"/>
      <c r="G592" s="15"/>
      <c r="H592" s="13"/>
      <c r="I592" s="16"/>
    </row>
    <row r="593">
      <c r="A593" s="8"/>
      <c r="C593" s="25"/>
      <c r="D593" s="15"/>
      <c r="G593" s="15"/>
      <c r="H593" s="13"/>
      <c r="I593" s="16"/>
    </row>
    <row r="594">
      <c r="A594" s="8"/>
      <c r="C594" s="25"/>
      <c r="D594" s="15"/>
      <c r="G594" s="15"/>
      <c r="H594" s="13"/>
      <c r="I594" s="16"/>
    </row>
    <row r="595">
      <c r="A595" s="8"/>
      <c r="C595" s="25"/>
      <c r="D595" s="15"/>
      <c r="G595" s="15"/>
      <c r="H595" s="13"/>
      <c r="I595" s="16"/>
    </row>
    <row r="596">
      <c r="A596" s="8"/>
      <c r="C596" s="25"/>
      <c r="D596" s="15"/>
      <c r="G596" s="15"/>
      <c r="H596" s="13"/>
      <c r="I596" s="16"/>
    </row>
    <row r="597">
      <c r="A597" s="8"/>
      <c r="C597" s="25"/>
      <c r="D597" s="15"/>
      <c r="G597" s="15"/>
      <c r="H597" s="13"/>
      <c r="I597" s="16"/>
    </row>
    <row r="598">
      <c r="A598" s="8"/>
      <c r="C598" s="25"/>
      <c r="D598" s="15"/>
      <c r="G598" s="15"/>
      <c r="H598" s="13"/>
      <c r="I598" s="16"/>
    </row>
    <row r="599">
      <c r="A599" s="8"/>
      <c r="C599" s="25"/>
      <c r="D599" s="15"/>
      <c r="G599" s="15"/>
      <c r="H599" s="13"/>
      <c r="I599" s="16"/>
    </row>
    <row r="600">
      <c r="A600" s="8"/>
      <c r="C600" s="25"/>
      <c r="D600" s="15"/>
      <c r="G600" s="15"/>
      <c r="H600" s="13"/>
      <c r="I600" s="16"/>
    </row>
    <row r="601">
      <c r="A601" s="8"/>
      <c r="C601" s="25"/>
      <c r="D601" s="15"/>
      <c r="G601" s="15"/>
      <c r="H601" s="13"/>
      <c r="I601" s="16"/>
    </row>
    <row r="602">
      <c r="A602" s="8"/>
      <c r="C602" s="25"/>
      <c r="D602" s="15"/>
      <c r="G602" s="15"/>
      <c r="H602" s="13"/>
      <c r="I602" s="16"/>
    </row>
    <row r="603">
      <c r="A603" s="8"/>
      <c r="C603" s="25"/>
      <c r="D603" s="15"/>
      <c r="G603" s="15"/>
      <c r="H603" s="13"/>
      <c r="I603" s="16"/>
    </row>
    <row r="604">
      <c r="A604" s="8"/>
      <c r="C604" s="25"/>
      <c r="D604" s="15"/>
      <c r="G604" s="15"/>
      <c r="H604" s="13"/>
      <c r="I604" s="16"/>
    </row>
    <row r="605">
      <c r="A605" s="8"/>
      <c r="C605" s="25"/>
      <c r="D605" s="15"/>
      <c r="G605" s="15"/>
      <c r="H605" s="13"/>
      <c r="I605" s="16"/>
    </row>
    <row r="606">
      <c r="A606" s="8"/>
      <c r="C606" s="25"/>
      <c r="D606" s="15"/>
      <c r="G606" s="15"/>
      <c r="H606" s="13"/>
      <c r="I606" s="16"/>
    </row>
    <row r="607">
      <c r="A607" s="8"/>
      <c r="C607" s="25"/>
      <c r="D607" s="15"/>
      <c r="G607" s="15"/>
      <c r="H607" s="13"/>
      <c r="I607" s="16"/>
    </row>
    <row r="608">
      <c r="A608" s="8"/>
      <c r="C608" s="25"/>
      <c r="D608" s="15"/>
      <c r="G608" s="15"/>
      <c r="H608" s="13"/>
      <c r="I608" s="16"/>
    </row>
    <row r="609">
      <c r="A609" s="8"/>
      <c r="C609" s="25"/>
      <c r="D609" s="15"/>
      <c r="G609" s="15"/>
      <c r="H609" s="13"/>
      <c r="I609" s="16"/>
    </row>
    <row r="610">
      <c r="A610" s="8"/>
      <c r="C610" s="25"/>
      <c r="D610" s="15"/>
      <c r="G610" s="15"/>
      <c r="H610" s="13"/>
      <c r="I610" s="16"/>
    </row>
    <row r="611">
      <c r="A611" s="8"/>
      <c r="C611" s="25"/>
      <c r="D611" s="15"/>
      <c r="G611" s="15"/>
      <c r="H611" s="13"/>
      <c r="I611" s="16"/>
    </row>
    <row r="612">
      <c r="A612" s="8"/>
      <c r="C612" s="25"/>
      <c r="D612" s="15"/>
      <c r="G612" s="15"/>
      <c r="H612" s="13"/>
      <c r="I612" s="16"/>
    </row>
    <row r="613">
      <c r="A613" s="8"/>
      <c r="C613" s="25"/>
      <c r="D613" s="15"/>
      <c r="G613" s="15"/>
      <c r="H613" s="13"/>
      <c r="I613" s="16"/>
    </row>
    <row r="614">
      <c r="A614" s="8"/>
      <c r="C614" s="25"/>
      <c r="D614" s="15"/>
      <c r="G614" s="15"/>
      <c r="H614" s="13"/>
      <c r="I614" s="16"/>
    </row>
    <row r="615">
      <c r="A615" s="8"/>
      <c r="C615" s="25"/>
      <c r="D615" s="15"/>
      <c r="G615" s="15"/>
      <c r="H615" s="13"/>
      <c r="I615" s="16"/>
    </row>
    <row r="616">
      <c r="A616" s="8"/>
      <c r="C616" s="25"/>
      <c r="D616" s="15"/>
      <c r="G616" s="15"/>
      <c r="H616" s="13"/>
      <c r="I616" s="16"/>
    </row>
    <row r="617">
      <c r="A617" s="8"/>
      <c r="C617" s="25"/>
      <c r="D617" s="15"/>
      <c r="G617" s="15"/>
      <c r="H617" s="13"/>
      <c r="I617" s="16"/>
    </row>
    <row r="618">
      <c r="A618" s="8"/>
      <c r="C618" s="25"/>
      <c r="D618" s="15"/>
      <c r="G618" s="15"/>
      <c r="H618" s="13"/>
      <c r="I618" s="16"/>
    </row>
    <row r="619">
      <c r="A619" s="8"/>
      <c r="C619" s="25"/>
      <c r="D619" s="15"/>
      <c r="G619" s="15"/>
      <c r="H619" s="13"/>
      <c r="I619" s="16"/>
    </row>
    <row r="620">
      <c r="A620" s="8"/>
      <c r="C620" s="25"/>
      <c r="D620" s="15"/>
      <c r="G620" s="15"/>
      <c r="H620" s="13"/>
      <c r="I620" s="16"/>
    </row>
    <row r="621">
      <c r="A621" s="8"/>
      <c r="C621" s="25"/>
      <c r="D621" s="15"/>
      <c r="G621" s="15"/>
      <c r="H621" s="13"/>
      <c r="I621" s="16"/>
    </row>
    <row r="622">
      <c r="A622" s="8"/>
      <c r="C622" s="25"/>
      <c r="D622" s="15"/>
      <c r="G622" s="15"/>
      <c r="H622" s="13"/>
      <c r="I622" s="16"/>
    </row>
    <row r="623">
      <c r="A623" s="8"/>
      <c r="C623" s="25"/>
      <c r="D623" s="15"/>
      <c r="G623" s="15"/>
      <c r="H623" s="13"/>
      <c r="I623" s="16"/>
    </row>
    <row r="624">
      <c r="A624" s="8"/>
      <c r="C624" s="25"/>
      <c r="D624" s="15"/>
      <c r="G624" s="15"/>
      <c r="H624" s="13"/>
      <c r="I624" s="16"/>
    </row>
    <row r="625">
      <c r="A625" s="8"/>
      <c r="C625" s="25"/>
      <c r="D625" s="15"/>
      <c r="G625" s="15"/>
      <c r="H625" s="13"/>
      <c r="I625" s="16"/>
    </row>
    <row r="626">
      <c r="A626" s="8"/>
      <c r="C626" s="25"/>
      <c r="D626" s="15"/>
      <c r="G626" s="15"/>
      <c r="H626" s="13"/>
      <c r="I626" s="16"/>
    </row>
    <row r="627">
      <c r="A627" s="8"/>
      <c r="C627" s="25"/>
      <c r="D627" s="15"/>
      <c r="G627" s="15"/>
      <c r="H627" s="13"/>
      <c r="I627" s="16"/>
    </row>
    <row r="628">
      <c r="A628" s="8"/>
      <c r="C628" s="25"/>
      <c r="D628" s="15"/>
      <c r="G628" s="15"/>
      <c r="H628" s="13"/>
      <c r="I628" s="16"/>
    </row>
    <row r="629">
      <c r="A629" s="8"/>
      <c r="C629" s="25"/>
      <c r="D629" s="15"/>
      <c r="G629" s="15"/>
      <c r="H629" s="13"/>
      <c r="I629" s="16"/>
    </row>
    <row r="630">
      <c r="A630" s="8"/>
      <c r="C630" s="25"/>
      <c r="D630" s="15"/>
      <c r="G630" s="15"/>
      <c r="H630" s="13"/>
      <c r="I630" s="16"/>
    </row>
    <row r="631">
      <c r="A631" s="8"/>
      <c r="C631" s="25"/>
      <c r="D631" s="15"/>
      <c r="G631" s="15"/>
      <c r="H631" s="13"/>
      <c r="I631" s="16"/>
    </row>
    <row r="632">
      <c r="A632" s="8"/>
      <c r="C632" s="25"/>
      <c r="D632" s="15"/>
      <c r="G632" s="15"/>
      <c r="H632" s="13"/>
      <c r="I632" s="16"/>
    </row>
    <row r="633">
      <c r="A633" s="8"/>
      <c r="C633" s="25"/>
      <c r="D633" s="15"/>
      <c r="G633" s="15"/>
      <c r="H633" s="13"/>
      <c r="I633" s="16"/>
    </row>
    <row r="634">
      <c r="A634" s="8"/>
      <c r="C634" s="25"/>
      <c r="D634" s="15"/>
      <c r="G634" s="15"/>
      <c r="H634" s="13"/>
      <c r="I634" s="16"/>
    </row>
    <row r="635">
      <c r="A635" s="8"/>
      <c r="C635" s="25"/>
      <c r="D635" s="15"/>
      <c r="G635" s="15"/>
      <c r="H635" s="13"/>
      <c r="I635" s="16"/>
    </row>
    <row r="636">
      <c r="A636" s="8"/>
      <c r="C636" s="25"/>
      <c r="D636" s="15"/>
      <c r="G636" s="15"/>
      <c r="H636" s="13"/>
      <c r="I636" s="16"/>
    </row>
    <row r="637">
      <c r="A637" s="8"/>
      <c r="C637" s="25"/>
      <c r="D637" s="15"/>
      <c r="G637" s="15"/>
      <c r="H637" s="13"/>
      <c r="I637" s="16"/>
    </row>
    <row r="638">
      <c r="A638" s="8"/>
      <c r="C638" s="25"/>
      <c r="D638" s="15"/>
      <c r="G638" s="15"/>
      <c r="H638" s="13"/>
      <c r="I638" s="16"/>
    </row>
    <row r="639">
      <c r="A639" s="8"/>
      <c r="C639" s="25"/>
      <c r="D639" s="15"/>
      <c r="G639" s="15"/>
      <c r="H639" s="13"/>
      <c r="I639" s="16"/>
    </row>
    <row r="640">
      <c r="A640" s="8"/>
      <c r="C640" s="25"/>
      <c r="D640" s="15"/>
      <c r="G640" s="15"/>
      <c r="H640" s="13"/>
      <c r="I640" s="16"/>
    </row>
    <row r="641">
      <c r="A641" s="8"/>
      <c r="C641" s="25"/>
      <c r="D641" s="15"/>
      <c r="G641" s="15"/>
      <c r="H641" s="13"/>
      <c r="I641" s="16"/>
    </row>
    <row r="642">
      <c r="A642" s="8"/>
      <c r="C642" s="25"/>
      <c r="D642" s="15"/>
      <c r="G642" s="15"/>
      <c r="H642" s="13"/>
      <c r="I642" s="16"/>
    </row>
    <row r="643">
      <c r="A643" s="8"/>
      <c r="C643" s="25"/>
      <c r="D643" s="15"/>
      <c r="G643" s="15"/>
      <c r="H643" s="13"/>
      <c r="I643" s="16"/>
    </row>
    <row r="644">
      <c r="A644" s="8"/>
      <c r="C644" s="25"/>
      <c r="D644" s="15"/>
      <c r="G644" s="15"/>
      <c r="H644" s="13"/>
      <c r="I644" s="16"/>
    </row>
    <row r="645">
      <c r="A645" s="8"/>
      <c r="C645" s="25"/>
      <c r="D645" s="15"/>
      <c r="G645" s="15"/>
      <c r="H645" s="13"/>
      <c r="I645" s="16"/>
    </row>
    <row r="646">
      <c r="A646" s="8"/>
      <c r="C646" s="25"/>
      <c r="D646" s="15"/>
      <c r="G646" s="15"/>
      <c r="H646" s="13"/>
      <c r="I646" s="16"/>
    </row>
    <row r="647">
      <c r="A647" s="8"/>
      <c r="C647" s="25"/>
      <c r="D647" s="15"/>
      <c r="G647" s="15"/>
      <c r="H647" s="13"/>
      <c r="I647" s="16"/>
    </row>
    <row r="648">
      <c r="A648" s="8"/>
      <c r="C648" s="25"/>
      <c r="D648" s="15"/>
      <c r="G648" s="15"/>
      <c r="H648" s="13"/>
      <c r="I648" s="16"/>
    </row>
    <row r="649">
      <c r="A649" s="8"/>
      <c r="C649" s="25"/>
      <c r="D649" s="15"/>
      <c r="G649" s="15"/>
      <c r="H649" s="13"/>
      <c r="I649" s="16"/>
    </row>
    <row r="650">
      <c r="A650" s="8"/>
      <c r="C650" s="25"/>
      <c r="D650" s="15"/>
      <c r="G650" s="15"/>
      <c r="H650" s="13"/>
      <c r="I650" s="16"/>
    </row>
    <row r="651">
      <c r="A651" s="8"/>
      <c r="C651" s="25"/>
      <c r="D651" s="15"/>
      <c r="G651" s="15"/>
      <c r="H651" s="13"/>
      <c r="I651" s="16"/>
    </row>
    <row r="652">
      <c r="A652" s="8"/>
      <c r="C652" s="25"/>
      <c r="D652" s="15"/>
      <c r="G652" s="15"/>
      <c r="H652" s="13"/>
      <c r="I652" s="16"/>
    </row>
    <row r="653">
      <c r="A653" s="8"/>
      <c r="C653" s="25"/>
      <c r="D653" s="15"/>
      <c r="G653" s="15"/>
      <c r="H653" s="13"/>
      <c r="I653" s="16"/>
    </row>
    <row r="654">
      <c r="A654" s="8"/>
      <c r="C654" s="25"/>
      <c r="D654" s="15"/>
      <c r="G654" s="15"/>
      <c r="H654" s="13"/>
      <c r="I654" s="16"/>
    </row>
    <row r="655">
      <c r="A655" s="8"/>
      <c r="C655" s="25"/>
      <c r="D655" s="15"/>
      <c r="G655" s="15"/>
      <c r="H655" s="13"/>
      <c r="I655" s="16"/>
    </row>
    <row r="656">
      <c r="A656" s="8"/>
      <c r="C656" s="25"/>
      <c r="D656" s="15"/>
      <c r="G656" s="15"/>
      <c r="H656" s="13"/>
      <c r="I656" s="16"/>
    </row>
    <row r="657">
      <c r="A657" s="8"/>
      <c r="C657" s="25"/>
      <c r="D657" s="15"/>
      <c r="G657" s="15"/>
      <c r="H657" s="13"/>
      <c r="I657" s="16"/>
    </row>
    <row r="658">
      <c r="A658" s="8"/>
      <c r="C658" s="25"/>
      <c r="D658" s="15"/>
      <c r="G658" s="15"/>
      <c r="H658" s="13"/>
      <c r="I658" s="16"/>
    </row>
    <row r="659">
      <c r="A659" s="8"/>
      <c r="C659" s="25"/>
      <c r="D659" s="15"/>
      <c r="G659" s="15"/>
      <c r="H659" s="13"/>
      <c r="I659" s="16"/>
    </row>
    <row r="660">
      <c r="A660" s="8"/>
      <c r="C660" s="25"/>
      <c r="D660" s="15"/>
      <c r="G660" s="15"/>
      <c r="H660" s="13"/>
      <c r="I660" s="16"/>
    </row>
    <row r="661">
      <c r="A661" s="8"/>
      <c r="C661" s="25"/>
      <c r="D661" s="15"/>
      <c r="G661" s="15"/>
      <c r="H661" s="13"/>
      <c r="I661" s="16"/>
    </row>
    <row r="662">
      <c r="A662" s="8"/>
      <c r="C662" s="25"/>
      <c r="D662" s="15"/>
      <c r="G662" s="15"/>
      <c r="H662" s="13"/>
      <c r="I662" s="16"/>
    </row>
    <row r="663">
      <c r="A663" s="8"/>
      <c r="C663" s="25"/>
      <c r="D663" s="15"/>
      <c r="G663" s="15"/>
      <c r="H663" s="13"/>
      <c r="I663" s="16"/>
    </row>
    <row r="664">
      <c r="A664" s="8"/>
      <c r="C664" s="25"/>
      <c r="D664" s="15"/>
      <c r="G664" s="15"/>
      <c r="H664" s="13"/>
      <c r="I664" s="16"/>
    </row>
    <row r="665">
      <c r="A665" s="8"/>
      <c r="C665" s="25"/>
      <c r="D665" s="15"/>
      <c r="G665" s="15"/>
      <c r="H665" s="13"/>
      <c r="I665" s="16"/>
    </row>
    <row r="666">
      <c r="A666" s="8"/>
      <c r="C666" s="25"/>
      <c r="D666" s="15"/>
      <c r="G666" s="15"/>
      <c r="H666" s="13"/>
      <c r="I666" s="16"/>
    </row>
    <row r="667">
      <c r="A667" s="8"/>
      <c r="C667" s="25"/>
      <c r="D667" s="15"/>
      <c r="G667" s="15"/>
      <c r="H667" s="13"/>
      <c r="I667" s="16"/>
    </row>
    <row r="668">
      <c r="A668" s="8"/>
      <c r="C668" s="25"/>
      <c r="D668" s="15"/>
      <c r="G668" s="15"/>
      <c r="H668" s="13"/>
      <c r="I668" s="16"/>
    </row>
    <row r="669">
      <c r="A669" s="8"/>
      <c r="C669" s="25"/>
      <c r="D669" s="15"/>
      <c r="G669" s="15"/>
      <c r="H669" s="13"/>
      <c r="I669" s="16"/>
    </row>
    <row r="670">
      <c r="A670" s="8"/>
      <c r="C670" s="25"/>
      <c r="D670" s="15"/>
      <c r="G670" s="15"/>
      <c r="H670" s="13"/>
      <c r="I670" s="16"/>
    </row>
    <row r="671">
      <c r="A671" s="8"/>
      <c r="C671" s="25"/>
      <c r="D671" s="15"/>
      <c r="G671" s="15"/>
      <c r="H671" s="13"/>
      <c r="I671" s="16"/>
    </row>
    <row r="672">
      <c r="A672" s="8"/>
      <c r="C672" s="25"/>
      <c r="D672" s="15"/>
      <c r="G672" s="15"/>
      <c r="H672" s="13"/>
      <c r="I672" s="16"/>
    </row>
    <row r="673">
      <c r="A673" s="8"/>
      <c r="C673" s="25"/>
      <c r="D673" s="15"/>
      <c r="G673" s="15"/>
      <c r="H673" s="13"/>
      <c r="I673" s="16"/>
    </row>
    <row r="674">
      <c r="A674" s="8"/>
      <c r="C674" s="25"/>
      <c r="D674" s="15"/>
      <c r="G674" s="15"/>
      <c r="H674" s="13"/>
      <c r="I674" s="16"/>
    </row>
    <row r="675">
      <c r="A675" s="8"/>
      <c r="C675" s="25"/>
      <c r="D675" s="15"/>
      <c r="G675" s="15"/>
      <c r="H675" s="13"/>
      <c r="I675" s="16"/>
    </row>
    <row r="676">
      <c r="A676" s="8"/>
      <c r="C676" s="25"/>
      <c r="D676" s="15"/>
      <c r="G676" s="15"/>
      <c r="H676" s="13"/>
      <c r="I676" s="16"/>
    </row>
    <row r="677">
      <c r="A677" s="8"/>
      <c r="C677" s="25"/>
      <c r="D677" s="15"/>
      <c r="G677" s="15"/>
      <c r="H677" s="13"/>
      <c r="I677" s="16"/>
    </row>
    <row r="678">
      <c r="A678" s="8"/>
      <c r="C678" s="25"/>
      <c r="D678" s="15"/>
      <c r="G678" s="15"/>
      <c r="H678" s="13"/>
      <c r="I678" s="16"/>
    </row>
    <row r="679">
      <c r="A679" s="8"/>
      <c r="C679" s="25"/>
      <c r="D679" s="15"/>
      <c r="G679" s="15"/>
      <c r="H679" s="13"/>
      <c r="I679" s="16"/>
    </row>
    <row r="680">
      <c r="A680" s="8"/>
      <c r="C680" s="25"/>
      <c r="D680" s="15"/>
      <c r="G680" s="15"/>
      <c r="H680" s="13"/>
      <c r="I680" s="16"/>
    </row>
    <row r="681">
      <c r="A681" s="8"/>
      <c r="C681" s="25"/>
      <c r="D681" s="15"/>
      <c r="G681" s="15"/>
      <c r="H681" s="13"/>
      <c r="I681" s="16"/>
    </row>
    <row r="682">
      <c r="A682" s="8"/>
      <c r="C682" s="25"/>
      <c r="D682" s="15"/>
      <c r="G682" s="15"/>
      <c r="H682" s="13"/>
      <c r="I682" s="16"/>
    </row>
    <row r="683">
      <c r="A683" s="8"/>
      <c r="C683" s="25"/>
      <c r="D683" s="15"/>
      <c r="G683" s="15"/>
      <c r="H683" s="13"/>
      <c r="I683" s="16"/>
    </row>
    <row r="684">
      <c r="A684" s="8"/>
      <c r="C684" s="25"/>
      <c r="D684" s="15"/>
      <c r="G684" s="15"/>
      <c r="H684" s="13"/>
      <c r="I684" s="16"/>
    </row>
    <row r="685">
      <c r="A685" s="8"/>
      <c r="C685" s="25"/>
      <c r="D685" s="15"/>
      <c r="G685" s="15"/>
      <c r="H685" s="13"/>
      <c r="I685" s="16"/>
    </row>
    <row r="686">
      <c r="A686" s="8"/>
      <c r="C686" s="25"/>
      <c r="D686" s="15"/>
      <c r="G686" s="15"/>
      <c r="H686" s="13"/>
      <c r="I686" s="16"/>
    </row>
    <row r="687">
      <c r="A687" s="8"/>
      <c r="C687" s="25"/>
      <c r="D687" s="15"/>
      <c r="G687" s="15"/>
      <c r="H687" s="13"/>
      <c r="I687" s="16"/>
    </row>
    <row r="688">
      <c r="A688" s="8"/>
      <c r="C688" s="25"/>
      <c r="D688" s="15"/>
      <c r="G688" s="15"/>
      <c r="H688" s="13"/>
      <c r="I688" s="16"/>
    </row>
    <row r="689">
      <c r="A689" s="8"/>
      <c r="C689" s="25"/>
      <c r="D689" s="15"/>
      <c r="G689" s="15"/>
      <c r="H689" s="13"/>
      <c r="I689" s="16"/>
    </row>
    <row r="690">
      <c r="A690" s="8"/>
      <c r="C690" s="25"/>
      <c r="D690" s="15"/>
      <c r="G690" s="15"/>
      <c r="H690" s="13"/>
      <c r="I690" s="16"/>
    </row>
    <row r="691">
      <c r="A691" s="8"/>
      <c r="C691" s="25"/>
      <c r="D691" s="15"/>
      <c r="G691" s="15"/>
      <c r="H691" s="13"/>
      <c r="I691" s="16"/>
    </row>
    <row r="692">
      <c r="A692" s="8"/>
      <c r="C692" s="25"/>
      <c r="D692" s="15"/>
      <c r="G692" s="15"/>
      <c r="H692" s="13"/>
      <c r="I692" s="16"/>
    </row>
    <row r="693">
      <c r="A693" s="8"/>
      <c r="C693" s="25"/>
      <c r="D693" s="15"/>
      <c r="G693" s="15"/>
      <c r="H693" s="13"/>
      <c r="I693" s="16"/>
    </row>
    <row r="694">
      <c r="A694" s="8"/>
      <c r="C694" s="25"/>
      <c r="D694" s="15"/>
      <c r="G694" s="15"/>
      <c r="H694" s="13"/>
      <c r="I694" s="16"/>
    </row>
    <row r="695">
      <c r="A695" s="8"/>
      <c r="C695" s="25"/>
      <c r="D695" s="15"/>
      <c r="G695" s="15"/>
      <c r="H695" s="13"/>
      <c r="I695" s="16"/>
    </row>
    <row r="696">
      <c r="A696" s="8"/>
      <c r="C696" s="25"/>
      <c r="D696" s="15"/>
      <c r="G696" s="15"/>
      <c r="H696" s="13"/>
      <c r="I696" s="16"/>
    </row>
    <row r="697">
      <c r="A697" s="8"/>
      <c r="C697" s="25"/>
      <c r="D697" s="15"/>
      <c r="G697" s="15"/>
      <c r="H697" s="13"/>
      <c r="I697" s="16"/>
    </row>
    <row r="698">
      <c r="A698" s="8"/>
      <c r="C698" s="25"/>
      <c r="D698" s="15"/>
      <c r="G698" s="15"/>
      <c r="H698" s="13"/>
      <c r="I698" s="16"/>
    </row>
    <row r="699">
      <c r="A699" s="8"/>
      <c r="C699" s="25"/>
      <c r="D699" s="15"/>
      <c r="G699" s="15"/>
      <c r="H699" s="13"/>
      <c r="I699" s="16"/>
    </row>
    <row r="700">
      <c r="A700" s="8"/>
      <c r="C700" s="25"/>
      <c r="D700" s="15"/>
      <c r="G700" s="15"/>
      <c r="H700" s="13"/>
      <c r="I700" s="16"/>
    </row>
    <row r="701">
      <c r="A701" s="8"/>
      <c r="C701" s="25"/>
      <c r="D701" s="15"/>
      <c r="G701" s="15"/>
      <c r="H701" s="13"/>
      <c r="I701" s="16"/>
    </row>
    <row r="702">
      <c r="A702" s="8"/>
      <c r="C702" s="25"/>
      <c r="D702" s="15"/>
      <c r="G702" s="15"/>
      <c r="H702" s="13"/>
      <c r="I702" s="16"/>
    </row>
    <row r="703">
      <c r="A703" s="8"/>
      <c r="C703" s="25"/>
      <c r="D703" s="15"/>
      <c r="G703" s="15"/>
      <c r="H703" s="13"/>
      <c r="I703" s="16"/>
    </row>
    <row r="704">
      <c r="A704" s="8"/>
      <c r="C704" s="25"/>
      <c r="D704" s="15"/>
      <c r="G704" s="15"/>
      <c r="H704" s="13"/>
      <c r="I704" s="16"/>
    </row>
    <row r="705">
      <c r="A705" s="8"/>
      <c r="C705" s="25"/>
      <c r="D705" s="15"/>
      <c r="G705" s="15"/>
      <c r="H705" s="13"/>
      <c r="I705" s="16"/>
    </row>
    <row r="706">
      <c r="A706" s="8"/>
      <c r="C706" s="25"/>
      <c r="D706" s="15"/>
      <c r="G706" s="15"/>
      <c r="H706" s="13"/>
      <c r="I706" s="16"/>
    </row>
    <row r="707">
      <c r="A707" s="8"/>
      <c r="C707" s="25"/>
      <c r="D707" s="15"/>
      <c r="G707" s="15"/>
      <c r="H707" s="13"/>
      <c r="I707" s="16"/>
    </row>
    <row r="708">
      <c r="A708" s="8"/>
      <c r="C708" s="25"/>
      <c r="D708" s="15"/>
      <c r="G708" s="15"/>
      <c r="H708" s="13"/>
      <c r="I708" s="16"/>
    </row>
    <row r="709">
      <c r="A709" s="8"/>
      <c r="C709" s="25"/>
      <c r="D709" s="15"/>
      <c r="G709" s="15"/>
      <c r="H709" s="13"/>
      <c r="I709" s="16"/>
    </row>
    <row r="710">
      <c r="A710" s="8"/>
      <c r="C710" s="25"/>
      <c r="D710" s="15"/>
      <c r="G710" s="15"/>
      <c r="H710" s="13"/>
      <c r="I710" s="16"/>
    </row>
    <row r="711">
      <c r="A711" s="8"/>
      <c r="C711" s="25"/>
      <c r="D711" s="15"/>
      <c r="G711" s="15"/>
      <c r="H711" s="13"/>
      <c r="I711" s="16"/>
    </row>
    <row r="712">
      <c r="A712" s="8"/>
      <c r="C712" s="25"/>
      <c r="D712" s="15"/>
      <c r="G712" s="15"/>
      <c r="H712" s="13"/>
      <c r="I712" s="16"/>
    </row>
    <row r="713">
      <c r="A713" s="8"/>
      <c r="C713" s="25"/>
      <c r="D713" s="15"/>
      <c r="G713" s="15"/>
      <c r="H713" s="13"/>
      <c r="I713" s="16"/>
    </row>
    <row r="714">
      <c r="A714" s="8"/>
      <c r="C714" s="25"/>
      <c r="D714" s="15"/>
      <c r="G714" s="15"/>
      <c r="H714" s="13"/>
      <c r="I714" s="16"/>
    </row>
    <row r="715">
      <c r="A715" s="8"/>
      <c r="C715" s="25"/>
      <c r="D715" s="15"/>
      <c r="G715" s="15"/>
      <c r="H715" s="13"/>
      <c r="I715" s="16"/>
    </row>
    <row r="716">
      <c r="A716" s="8"/>
      <c r="C716" s="25"/>
      <c r="D716" s="15"/>
      <c r="G716" s="15"/>
      <c r="H716" s="13"/>
      <c r="I716" s="16"/>
    </row>
    <row r="717">
      <c r="A717" s="8"/>
      <c r="C717" s="25"/>
      <c r="D717" s="15"/>
      <c r="G717" s="15"/>
      <c r="H717" s="13"/>
      <c r="I717" s="16"/>
    </row>
    <row r="718">
      <c r="A718" s="8"/>
      <c r="C718" s="25"/>
      <c r="D718" s="15"/>
      <c r="G718" s="15"/>
      <c r="H718" s="13"/>
      <c r="I718" s="16"/>
    </row>
    <row r="719">
      <c r="A719" s="8"/>
      <c r="C719" s="25"/>
      <c r="D719" s="15"/>
      <c r="G719" s="15"/>
      <c r="H719" s="13"/>
      <c r="I719" s="16"/>
    </row>
    <row r="720">
      <c r="A720" s="8"/>
      <c r="C720" s="25"/>
      <c r="D720" s="15"/>
      <c r="G720" s="15"/>
      <c r="H720" s="13"/>
      <c r="I720" s="16"/>
    </row>
    <row r="721">
      <c r="A721" s="8"/>
      <c r="C721" s="25"/>
      <c r="D721" s="15"/>
      <c r="G721" s="15"/>
      <c r="H721" s="13"/>
      <c r="I721" s="16"/>
    </row>
    <row r="722">
      <c r="A722" s="8"/>
      <c r="C722" s="25"/>
      <c r="D722" s="15"/>
      <c r="G722" s="15"/>
      <c r="H722" s="13"/>
      <c r="I722" s="16"/>
    </row>
    <row r="723">
      <c r="A723" s="8"/>
      <c r="C723" s="25"/>
      <c r="D723" s="15"/>
      <c r="G723" s="15"/>
      <c r="H723" s="13"/>
      <c r="I723" s="16"/>
    </row>
    <row r="724">
      <c r="A724" s="8"/>
      <c r="C724" s="25"/>
      <c r="D724" s="15"/>
      <c r="G724" s="15"/>
      <c r="H724" s="13"/>
      <c r="I724" s="16"/>
    </row>
    <row r="725">
      <c r="A725" s="8"/>
      <c r="C725" s="25"/>
      <c r="D725" s="15"/>
      <c r="G725" s="15"/>
      <c r="H725" s="13"/>
      <c r="I725" s="16"/>
    </row>
    <row r="726">
      <c r="A726" s="8"/>
      <c r="C726" s="25"/>
      <c r="D726" s="15"/>
      <c r="G726" s="15"/>
      <c r="H726" s="13"/>
      <c r="I726" s="16"/>
    </row>
    <row r="727">
      <c r="A727" s="8"/>
      <c r="C727" s="25"/>
      <c r="D727" s="15"/>
      <c r="G727" s="15"/>
      <c r="H727" s="13"/>
      <c r="I727" s="16"/>
    </row>
    <row r="728">
      <c r="A728" s="8"/>
      <c r="C728" s="25"/>
      <c r="D728" s="15"/>
      <c r="G728" s="15"/>
      <c r="H728" s="13"/>
      <c r="I728" s="16"/>
    </row>
    <row r="729">
      <c r="A729" s="8"/>
      <c r="C729" s="25"/>
      <c r="D729" s="15"/>
      <c r="G729" s="15"/>
      <c r="H729" s="13"/>
      <c r="I729" s="16"/>
    </row>
    <row r="730">
      <c r="A730" s="8"/>
      <c r="C730" s="25"/>
      <c r="D730" s="15"/>
      <c r="G730" s="15"/>
      <c r="H730" s="13"/>
      <c r="I730" s="16"/>
    </row>
    <row r="731">
      <c r="A731" s="8"/>
      <c r="C731" s="25"/>
      <c r="D731" s="15"/>
      <c r="G731" s="15"/>
      <c r="H731" s="13"/>
      <c r="I731" s="16"/>
    </row>
    <row r="732">
      <c r="A732" s="8"/>
      <c r="C732" s="25"/>
      <c r="D732" s="15"/>
      <c r="G732" s="15"/>
      <c r="H732" s="13"/>
      <c r="I732" s="16"/>
    </row>
    <row r="733">
      <c r="A733" s="8"/>
      <c r="C733" s="25"/>
      <c r="D733" s="15"/>
      <c r="G733" s="15"/>
      <c r="H733" s="13"/>
      <c r="I733" s="16"/>
    </row>
    <row r="734">
      <c r="A734" s="8"/>
      <c r="C734" s="25"/>
      <c r="D734" s="15"/>
      <c r="G734" s="15"/>
      <c r="H734" s="13"/>
      <c r="I734" s="16"/>
    </row>
    <row r="735">
      <c r="A735" s="8"/>
      <c r="C735" s="25"/>
      <c r="D735" s="15"/>
      <c r="G735" s="15"/>
      <c r="H735" s="13"/>
      <c r="I735" s="16"/>
    </row>
    <row r="736">
      <c r="A736" s="8"/>
      <c r="C736" s="25"/>
      <c r="D736" s="15"/>
      <c r="G736" s="15"/>
      <c r="H736" s="13"/>
      <c r="I736" s="16"/>
    </row>
    <row r="737">
      <c r="A737" s="8"/>
      <c r="C737" s="25"/>
      <c r="D737" s="15"/>
      <c r="G737" s="15"/>
      <c r="H737" s="13"/>
      <c r="I737" s="16"/>
    </row>
    <row r="738">
      <c r="A738" s="8"/>
      <c r="C738" s="25"/>
      <c r="D738" s="15"/>
      <c r="G738" s="15"/>
      <c r="H738" s="13"/>
      <c r="I738" s="16"/>
    </row>
    <row r="739">
      <c r="A739" s="8"/>
      <c r="C739" s="25"/>
      <c r="D739" s="15"/>
      <c r="G739" s="15"/>
      <c r="H739" s="13"/>
      <c r="I739" s="16"/>
    </row>
    <row r="740">
      <c r="A740" s="8"/>
      <c r="C740" s="25"/>
      <c r="D740" s="15"/>
      <c r="G740" s="15"/>
      <c r="H740" s="13"/>
      <c r="I740" s="16"/>
    </row>
    <row r="741">
      <c r="A741" s="8"/>
      <c r="C741" s="25"/>
      <c r="D741" s="15"/>
      <c r="G741" s="15"/>
      <c r="H741" s="13"/>
      <c r="I741" s="16"/>
    </row>
    <row r="742">
      <c r="A742" s="8"/>
      <c r="C742" s="25"/>
      <c r="D742" s="15"/>
      <c r="G742" s="15"/>
      <c r="H742" s="13"/>
      <c r="I742" s="16"/>
    </row>
    <row r="743">
      <c r="A743" s="8"/>
      <c r="C743" s="25"/>
      <c r="D743" s="15"/>
      <c r="G743" s="15"/>
      <c r="H743" s="13"/>
      <c r="I743" s="16"/>
    </row>
    <row r="744">
      <c r="A744" s="8"/>
      <c r="C744" s="25"/>
      <c r="D744" s="15"/>
      <c r="G744" s="15"/>
      <c r="H744" s="13"/>
      <c r="I744" s="16"/>
    </row>
    <row r="745">
      <c r="A745" s="8"/>
      <c r="C745" s="25"/>
      <c r="D745" s="15"/>
      <c r="G745" s="15"/>
      <c r="H745" s="13"/>
      <c r="I745" s="16"/>
    </row>
    <row r="746">
      <c r="A746" s="8"/>
      <c r="C746" s="25"/>
      <c r="D746" s="15"/>
      <c r="G746" s="15"/>
      <c r="H746" s="13"/>
      <c r="I746" s="16"/>
    </row>
    <row r="747">
      <c r="A747" s="8"/>
      <c r="C747" s="25"/>
      <c r="D747" s="15"/>
      <c r="G747" s="15"/>
      <c r="H747" s="13"/>
      <c r="I747" s="16"/>
    </row>
    <row r="748">
      <c r="A748" s="8"/>
      <c r="C748" s="25"/>
      <c r="D748" s="15"/>
      <c r="G748" s="15"/>
      <c r="H748" s="13"/>
      <c r="I748" s="16"/>
    </row>
    <row r="749">
      <c r="A749" s="8"/>
      <c r="C749" s="25"/>
      <c r="D749" s="15"/>
      <c r="G749" s="15"/>
      <c r="H749" s="13"/>
      <c r="I749" s="16"/>
    </row>
    <row r="750">
      <c r="A750" s="8"/>
      <c r="C750" s="25"/>
      <c r="D750" s="15"/>
      <c r="G750" s="15"/>
      <c r="H750" s="13"/>
      <c r="I750" s="16"/>
    </row>
    <row r="751">
      <c r="A751" s="8"/>
      <c r="C751" s="25"/>
      <c r="D751" s="15"/>
      <c r="G751" s="15"/>
      <c r="H751" s="13"/>
      <c r="I751" s="16"/>
    </row>
    <row r="752">
      <c r="A752" s="8"/>
      <c r="C752" s="25"/>
      <c r="D752" s="15"/>
      <c r="G752" s="15"/>
      <c r="H752" s="13"/>
      <c r="I752" s="16"/>
    </row>
    <row r="753">
      <c r="A753" s="8"/>
      <c r="C753" s="25"/>
      <c r="D753" s="15"/>
      <c r="G753" s="15"/>
      <c r="H753" s="13"/>
      <c r="I753" s="16"/>
    </row>
    <row r="754">
      <c r="A754" s="8"/>
      <c r="C754" s="25"/>
      <c r="D754" s="15"/>
      <c r="G754" s="15"/>
      <c r="H754" s="13"/>
      <c r="I754" s="16"/>
    </row>
    <row r="755">
      <c r="A755" s="8"/>
      <c r="C755" s="25"/>
      <c r="D755" s="15"/>
      <c r="G755" s="15"/>
      <c r="H755" s="13"/>
      <c r="I755" s="16"/>
    </row>
    <row r="756">
      <c r="A756" s="8"/>
      <c r="C756" s="25"/>
      <c r="D756" s="15"/>
      <c r="G756" s="15"/>
      <c r="H756" s="13"/>
      <c r="I756" s="16"/>
    </row>
    <row r="757">
      <c r="A757" s="8"/>
      <c r="C757" s="25"/>
      <c r="D757" s="15"/>
      <c r="G757" s="15"/>
      <c r="H757" s="13"/>
      <c r="I757" s="16"/>
    </row>
    <row r="758">
      <c r="A758" s="8"/>
      <c r="C758" s="25"/>
      <c r="D758" s="15"/>
      <c r="G758" s="15"/>
      <c r="H758" s="13"/>
      <c r="I758" s="16"/>
    </row>
    <row r="759">
      <c r="A759" s="8"/>
      <c r="C759" s="25"/>
      <c r="D759" s="15"/>
      <c r="G759" s="15"/>
      <c r="H759" s="13"/>
      <c r="I759" s="16"/>
    </row>
    <row r="760">
      <c r="A760" s="8"/>
      <c r="C760" s="25"/>
      <c r="D760" s="15"/>
      <c r="G760" s="15"/>
      <c r="H760" s="13"/>
      <c r="I760" s="16"/>
    </row>
    <row r="761">
      <c r="A761" s="8"/>
      <c r="C761" s="25"/>
      <c r="D761" s="15"/>
      <c r="G761" s="15"/>
      <c r="H761" s="13"/>
      <c r="I761" s="16"/>
    </row>
    <row r="762">
      <c r="A762" s="8"/>
      <c r="C762" s="25"/>
      <c r="D762" s="15"/>
      <c r="G762" s="15"/>
      <c r="H762" s="13"/>
      <c r="I762" s="16"/>
    </row>
    <row r="763">
      <c r="A763" s="8"/>
      <c r="C763" s="25"/>
      <c r="D763" s="15"/>
      <c r="G763" s="15"/>
      <c r="H763" s="13"/>
      <c r="I763" s="16"/>
    </row>
    <row r="764">
      <c r="A764" s="8"/>
      <c r="C764" s="25"/>
      <c r="D764" s="15"/>
      <c r="G764" s="15"/>
      <c r="H764" s="13"/>
      <c r="I764" s="16"/>
    </row>
    <row r="765">
      <c r="A765" s="8"/>
      <c r="C765" s="25"/>
      <c r="D765" s="15"/>
      <c r="G765" s="15"/>
      <c r="H765" s="13"/>
      <c r="I765" s="16"/>
    </row>
    <row r="766">
      <c r="A766" s="8"/>
      <c r="C766" s="25"/>
      <c r="D766" s="15"/>
      <c r="G766" s="15"/>
      <c r="H766" s="13"/>
      <c r="I766" s="16"/>
    </row>
    <row r="767">
      <c r="A767" s="8"/>
      <c r="C767" s="25"/>
      <c r="D767" s="15"/>
      <c r="G767" s="15"/>
      <c r="H767" s="13"/>
      <c r="I767" s="16"/>
    </row>
    <row r="768">
      <c r="A768" s="8"/>
      <c r="C768" s="25"/>
      <c r="D768" s="15"/>
      <c r="G768" s="15"/>
      <c r="H768" s="13"/>
      <c r="I768" s="16"/>
    </row>
    <row r="769">
      <c r="A769" s="8"/>
      <c r="C769" s="25"/>
      <c r="D769" s="15"/>
      <c r="G769" s="15"/>
      <c r="H769" s="13"/>
      <c r="I769" s="16"/>
    </row>
    <row r="770">
      <c r="A770" s="8"/>
      <c r="C770" s="25"/>
      <c r="D770" s="15"/>
      <c r="G770" s="15"/>
      <c r="H770" s="13"/>
      <c r="I770" s="16"/>
    </row>
    <row r="771">
      <c r="A771" s="8"/>
      <c r="C771" s="25"/>
      <c r="D771" s="15"/>
      <c r="G771" s="15"/>
      <c r="H771" s="13"/>
      <c r="I771" s="16"/>
    </row>
    <row r="772">
      <c r="A772" s="8"/>
      <c r="C772" s="25"/>
      <c r="D772" s="15"/>
      <c r="G772" s="15"/>
      <c r="H772" s="13"/>
      <c r="I772" s="16"/>
    </row>
    <row r="773">
      <c r="A773" s="8"/>
      <c r="C773" s="25"/>
      <c r="D773" s="15"/>
      <c r="G773" s="15"/>
      <c r="H773" s="13"/>
      <c r="I773" s="16"/>
    </row>
    <row r="774">
      <c r="A774" s="8"/>
      <c r="C774" s="25"/>
      <c r="D774" s="15"/>
      <c r="G774" s="15"/>
      <c r="H774" s="13"/>
      <c r="I774" s="16"/>
    </row>
    <row r="775">
      <c r="A775" s="8"/>
      <c r="C775" s="25"/>
      <c r="D775" s="15"/>
      <c r="G775" s="15"/>
      <c r="H775" s="13"/>
      <c r="I775" s="16"/>
    </row>
    <row r="776">
      <c r="A776" s="8"/>
      <c r="C776" s="25"/>
      <c r="D776" s="15"/>
      <c r="G776" s="15"/>
      <c r="H776" s="13"/>
      <c r="I776" s="16"/>
    </row>
    <row r="777">
      <c r="A777" s="8"/>
      <c r="C777" s="25"/>
      <c r="D777" s="15"/>
      <c r="G777" s="15"/>
      <c r="H777" s="13"/>
      <c r="I777" s="16"/>
    </row>
    <row r="778">
      <c r="A778" s="8"/>
      <c r="C778" s="25"/>
      <c r="D778" s="15"/>
      <c r="G778" s="15"/>
      <c r="H778" s="13"/>
      <c r="I778" s="16"/>
    </row>
    <row r="779">
      <c r="A779" s="8"/>
      <c r="C779" s="25"/>
      <c r="D779" s="15"/>
      <c r="G779" s="15"/>
      <c r="H779" s="13"/>
      <c r="I779" s="16"/>
    </row>
    <row r="780">
      <c r="A780" s="8"/>
      <c r="C780" s="25"/>
      <c r="D780" s="15"/>
      <c r="G780" s="15"/>
      <c r="H780" s="13"/>
      <c r="I780" s="16"/>
    </row>
    <row r="781">
      <c r="A781" s="8"/>
      <c r="C781" s="25"/>
      <c r="D781" s="15"/>
      <c r="G781" s="15"/>
      <c r="H781" s="13"/>
      <c r="I781" s="16"/>
    </row>
    <row r="782">
      <c r="A782" s="8"/>
      <c r="C782" s="25"/>
      <c r="D782" s="15"/>
      <c r="G782" s="15"/>
      <c r="H782" s="13"/>
      <c r="I782" s="16"/>
    </row>
    <row r="783">
      <c r="A783" s="8"/>
      <c r="C783" s="25"/>
      <c r="D783" s="15"/>
      <c r="G783" s="15"/>
      <c r="H783" s="13"/>
      <c r="I783" s="16"/>
    </row>
    <row r="784">
      <c r="A784" s="8"/>
      <c r="C784" s="25"/>
      <c r="D784" s="15"/>
      <c r="G784" s="15"/>
      <c r="H784" s="13"/>
      <c r="I784" s="16"/>
    </row>
    <row r="785">
      <c r="A785" s="8"/>
      <c r="C785" s="25"/>
      <c r="D785" s="15"/>
      <c r="G785" s="15"/>
      <c r="H785" s="13"/>
      <c r="I785" s="16"/>
    </row>
    <row r="786">
      <c r="A786" s="8"/>
      <c r="C786" s="25"/>
      <c r="D786" s="15"/>
      <c r="G786" s="15"/>
      <c r="H786" s="13"/>
      <c r="I786" s="16"/>
    </row>
    <row r="787">
      <c r="A787" s="8"/>
      <c r="C787" s="25"/>
      <c r="D787" s="15"/>
      <c r="G787" s="15"/>
      <c r="H787" s="13"/>
      <c r="I787" s="16"/>
    </row>
    <row r="788">
      <c r="A788" s="8"/>
      <c r="C788" s="25"/>
      <c r="D788" s="15"/>
      <c r="G788" s="15"/>
      <c r="H788" s="13"/>
      <c r="I788" s="16"/>
    </row>
    <row r="789">
      <c r="A789" s="8"/>
      <c r="C789" s="25"/>
      <c r="D789" s="15"/>
      <c r="G789" s="15"/>
      <c r="H789" s="13"/>
      <c r="I789" s="16"/>
    </row>
    <row r="790">
      <c r="A790" s="8"/>
      <c r="C790" s="25"/>
      <c r="D790" s="15"/>
      <c r="G790" s="15"/>
      <c r="H790" s="13"/>
      <c r="I790" s="16"/>
    </row>
    <row r="791">
      <c r="A791" s="8"/>
      <c r="C791" s="25"/>
      <c r="D791" s="15"/>
      <c r="G791" s="15"/>
      <c r="H791" s="13"/>
      <c r="I791" s="16"/>
    </row>
    <row r="792">
      <c r="A792" s="8"/>
      <c r="C792" s="25"/>
      <c r="D792" s="15"/>
      <c r="G792" s="15"/>
      <c r="H792" s="13"/>
      <c r="I792" s="16"/>
    </row>
    <row r="793">
      <c r="A793" s="8"/>
      <c r="C793" s="25"/>
      <c r="D793" s="15"/>
      <c r="G793" s="15"/>
      <c r="H793" s="13"/>
      <c r="I793" s="16"/>
    </row>
    <row r="794">
      <c r="A794" s="8"/>
      <c r="C794" s="25"/>
      <c r="D794" s="15"/>
      <c r="G794" s="15"/>
      <c r="H794" s="13"/>
      <c r="I794" s="16"/>
    </row>
    <row r="795">
      <c r="A795" s="8"/>
      <c r="C795" s="25"/>
      <c r="D795" s="15"/>
      <c r="G795" s="15"/>
      <c r="H795" s="13"/>
      <c r="I795" s="16"/>
    </row>
    <row r="796">
      <c r="A796" s="8"/>
      <c r="C796" s="25"/>
      <c r="D796" s="15"/>
      <c r="G796" s="15"/>
      <c r="H796" s="13"/>
      <c r="I796" s="16"/>
    </row>
    <row r="797">
      <c r="A797" s="8"/>
      <c r="C797" s="25"/>
      <c r="D797" s="15"/>
      <c r="G797" s="15"/>
      <c r="H797" s="13"/>
      <c r="I797" s="16"/>
    </row>
    <row r="798">
      <c r="A798" s="8"/>
      <c r="C798" s="25"/>
      <c r="D798" s="15"/>
      <c r="G798" s="15"/>
      <c r="H798" s="13"/>
      <c r="I798" s="16"/>
    </row>
    <row r="799">
      <c r="A799" s="8"/>
      <c r="C799" s="25"/>
      <c r="D799" s="15"/>
      <c r="G799" s="15"/>
      <c r="H799" s="13"/>
      <c r="I799" s="16"/>
    </row>
    <row r="800">
      <c r="A800" s="8"/>
      <c r="C800" s="25"/>
      <c r="D800" s="15"/>
      <c r="G800" s="15"/>
      <c r="H800" s="13"/>
      <c r="I800" s="16"/>
    </row>
    <row r="801">
      <c r="A801" s="8"/>
      <c r="C801" s="25"/>
      <c r="D801" s="15"/>
      <c r="G801" s="15"/>
      <c r="H801" s="13"/>
      <c r="I801" s="16"/>
    </row>
    <row r="802">
      <c r="A802" s="8"/>
      <c r="C802" s="25"/>
      <c r="D802" s="15"/>
      <c r="G802" s="15"/>
      <c r="H802" s="13"/>
      <c r="I802" s="16"/>
    </row>
    <row r="803">
      <c r="A803" s="8"/>
      <c r="C803" s="25"/>
      <c r="D803" s="15"/>
      <c r="G803" s="15"/>
      <c r="H803" s="13"/>
      <c r="I803" s="16"/>
    </row>
    <row r="804">
      <c r="A804" s="8"/>
      <c r="C804" s="25"/>
      <c r="D804" s="15"/>
      <c r="G804" s="15"/>
      <c r="H804" s="13"/>
      <c r="I804" s="16"/>
    </row>
    <row r="805">
      <c r="A805" s="8"/>
      <c r="C805" s="25"/>
      <c r="D805" s="15"/>
      <c r="G805" s="15"/>
      <c r="H805" s="13"/>
      <c r="I805" s="16"/>
    </row>
    <row r="806">
      <c r="A806" s="8"/>
      <c r="C806" s="25"/>
      <c r="D806" s="15"/>
      <c r="G806" s="15"/>
      <c r="H806" s="13"/>
      <c r="I806" s="16"/>
    </row>
    <row r="807">
      <c r="A807" s="8"/>
      <c r="C807" s="25"/>
      <c r="D807" s="15"/>
      <c r="G807" s="15"/>
      <c r="H807" s="13"/>
      <c r="I807" s="16"/>
    </row>
    <row r="808">
      <c r="A808" s="8"/>
      <c r="C808" s="25"/>
      <c r="D808" s="15"/>
      <c r="G808" s="15"/>
      <c r="H808" s="13"/>
      <c r="I808" s="16"/>
    </row>
    <row r="809">
      <c r="A809" s="8"/>
      <c r="C809" s="25"/>
      <c r="D809" s="15"/>
      <c r="G809" s="15"/>
      <c r="H809" s="13"/>
      <c r="I809" s="16"/>
    </row>
    <row r="810">
      <c r="A810" s="8"/>
      <c r="C810" s="25"/>
      <c r="D810" s="15"/>
      <c r="G810" s="15"/>
      <c r="H810" s="13"/>
      <c r="I810" s="16"/>
    </row>
    <row r="811">
      <c r="A811" s="8"/>
      <c r="C811" s="25"/>
      <c r="D811" s="15"/>
      <c r="G811" s="15"/>
      <c r="H811" s="13"/>
      <c r="I811" s="16"/>
    </row>
    <row r="812">
      <c r="A812" s="8"/>
      <c r="C812" s="25"/>
      <c r="D812" s="15"/>
      <c r="G812" s="15"/>
      <c r="H812" s="13"/>
      <c r="I812" s="16"/>
    </row>
    <row r="813">
      <c r="A813" s="8"/>
      <c r="C813" s="25"/>
      <c r="D813" s="15"/>
      <c r="G813" s="15"/>
      <c r="H813" s="13"/>
      <c r="I813" s="16"/>
    </row>
    <row r="814">
      <c r="A814" s="8"/>
      <c r="C814" s="25"/>
      <c r="D814" s="15"/>
      <c r="G814" s="15"/>
      <c r="H814" s="13"/>
      <c r="I814" s="16"/>
    </row>
    <row r="815">
      <c r="A815" s="8"/>
      <c r="C815" s="25"/>
      <c r="D815" s="15"/>
      <c r="G815" s="15"/>
      <c r="H815" s="13"/>
      <c r="I815" s="16"/>
    </row>
    <row r="816">
      <c r="A816" s="8"/>
      <c r="C816" s="25"/>
      <c r="D816" s="15"/>
      <c r="G816" s="15"/>
      <c r="H816" s="13"/>
      <c r="I816" s="16"/>
    </row>
    <row r="817">
      <c r="A817" s="8"/>
      <c r="C817" s="25"/>
      <c r="D817" s="15"/>
      <c r="G817" s="15"/>
      <c r="H817" s="13"/>
      <c r="I817" s="16"/>
    </row>
    <row r="818">
      <c r="A818" s="8"/>
      <c r="C818" s="25"/>
      <c r="D818" s="15"/>
      <c r="G818" s="15"/>
      <c r="H818" s="13"/>
      <c r="I818" s="16"/>
    </row>
    <row r="819">
      <c r="A819" s="8"/>
      <c r="C819" s="25"/>
      <c r="D819" s="15"/>
      <c r="G819" s="15"/>
      <c r="H819" s="13"/>
      <c r="I819" s="16"/>
    </row>
    <row r="820">
      <c r="A820" s="8"/>
      <c r="C820" s="25"/>
      <c r="D820" s="15"/>
      <c r="G820" s="15"/>
      <c r="H820" s="13"/>
      <c r="I820" s="16"/>
    </row>
    <row r="821">
      <c r="A821" s="8"/>
      <c r="C821" s="25"/>
      <c r="D821" s="15"/>
      <c r="G821" s="15"/>
      <c r="H821" s="13"/>
      <c r="I821" s="16"/>
    </row>
    <row r="822">
      <c r="A822" s="8"/>
      <c r="C822" s="25"/>
      <c r="D822" s="15"/>
      <c r="G822" s="15"/>
      <c r="H822" s="13"/>
      <c r="I822" s="16"/>
    </row>
    <row r="823">
      <c r="A823" s="8"/>
      <c r="C823" s="25"/>
      <c r="D823" s="15"/>
      <c r="G823" s="15"/>
      <c r="H823" s="13"/>
      <c r="I823" s="16"/>
    </row>
    <row r="824">
      <c r="A824" s="8"/>
      <c r="C824" s="25"/>
      <c r="D824" s="15"/>
      <c r="G824" s="15"/>
      <c r="H824" s="13"/>
      <c r="I824" s="16"/>
    </row>
    <row r="825">
      <c r="A825" s="8"/>
      <c r="C825" s="25"/>
      <c r="D825" s="15"/>
      <c r="G825" s="15"/>
      <c r="H825" s="13"/>
      <c r="I825" s="16"/>
    </row>
    <row r="826">
      <c r="A826" s="8"/>
      <c r="C826" s="25"/>
      <c r="D826" s="15"/>
      <c r="G826" s="15"/>
      <c r="H826" s="13"/>
      <c r="I826" s="16"/>
    </row>
    <row r="827">
      <c r="A827" s="8"/>
      <c r="C827" s="25"/>
      <c r="D827" s="15"/>
      <c r="G827" s="15"/>
      <c r="H827" s="13"/>
      <c r="I827" s="16"/>
    </row>
    <row r="828">
      <c r="A828" s="8"/>
      <c r="C828" s="25"/>
      <c r="D828" s="15"/>
      <c r="G828" s="15"/>
      <c r="H828" s="13"/>
      <c r="I828" s="16"/>
    </row>
    <row r="829">
      <c r="A829" s="8"/>
      <c r="C829" s="25"/>
      <c r="D829" s="15"/>
      <c r="G829" s="15"/>
      <c r="H829" s="13"/>
      <c r="I829" s="16"/>
    </row>
    <row r="830">
      <c r="A830" s="8"/>
      <c r="C830" s="25"/>
      <c r="D830" s="15"/>
      <c r="G830" s="15"/>
      <c r="H830" s="13"/>
      <c r="I830" s="16"/>
    </row>
    <row r="831">
      <c r="A831" s="8"/>
      <c r="C831" s="25"/>
      <c r="D831" s="15"/>
      <c r="G831" s="15"/>
      <c r="H831" s="13"/>
      <c r="I831" s="16"/>
    </row>
    <row r="832">
      <c r="A832" s="8"/>
      <c r="C832" s="25"/>
      <c r="D832" s="15"/>
      <c r="G832" s="15"/>
      <c r="H832" s="13"/>
      <c r="I832" s="16"/>
    </row>
    <row r="833">
      <c r="A833" s="8"/>
      <c r="C833" s="25"/>
      <c r="D833" s="15"/>
      <c r="G833" s="15"/>
      <c r="H833" s="13"/>
      <c r="I833" s="16"/>
    </row>
    <row r="834">
      <c r="A834" s="8"/>
      <c r="C834" s="25"/>
      <c r="D834" s="15"/>
      <c r="G834" s="15"/>
      <c r="H834" s="13"/>
      <c r="I834" s="16"/>
    </row>
    <row r="835">
      <c r="A835" s="8"/>
      <c r="C835" s="25"/>
      <c r="D835" s="15"/>
      <c r="G835" s="15"/>
      <c r="H835" s="13"/>
      <c r="I835" s="16"/>
    </row>
    <row r="836">
      <c r="A836" s="8"/>
      <c r="C836" s="25"/>
      <c r="D836" s="15"/>
      <c r="G836" s="15"/>
      <c r="H836" s="13"/>
      <c r="I836" s="16"/>
    </row>
    <row r="837">
      <c r="A837" s="8"/>
      <c r="C837" s="25"/>
      <c r="D837" s="15"/>
      <c r="G837" s="15"/>
      <c r="H837" s="13"/>
      <c r="I837" s="16"/>
    </row>
    <row r="838">
      <c r="A838" s="8"/>
      <c r="C838" s="25"/>
      <c r="D838" s="15"/>
      <c r="G838" s="15"/>
      <c r="H838" s="13"/>
      <c r="I838" s="16"/>
    </row>
    <row r="839">
      <c r="A839" s="8"/>
      <c r="C839" s="25"/>
      <c r="D839" s="15"/>
      <c r="G839" s="15"/>
      <c r="H839" s="13"/>
      <c r="I839" s="16"/>
    </row>
    <row r="840">
      <c r="A840" s="8"/>
      <c r="C840" s="25"/>
      <c r="D840" s="15"/>
      <c r="G840" s="15"/>
      <c r="H840" s="13"/>
      <c r="I840" s="16"/>
    </row>
    <row r="841">
      <c r="A841" s="8"/>
      <c r="C841" s="25"/>
      <c r="D841" s="15"/>
      <c r="G841" s="15"/>
      <c r="H841" s="13"/>
      <c r="I841" s="16"/>
    </row>
    <row r="842">
      <c r="A842" s="8"/>
      <c r="C842" s="25"/>
      <c r="D842" s="15"/>
      <c r="G842" s="15"/>
      <c r="H842" s="13"/>
      <c r="I842" s="16"/>
    </row>
    <row r="843">
      <c r="A843" s="8"/>
      <c r="C843" s="25"/>
      <c r="D843" s="15"/>
      <c r="G843" s="15"/>
      <c r="H843" s="13"/>
      <c r="I843" s="16"/>
    </row>
    <row r="844">
      <c r="A844" s="8"/>
      <c r="C844" s="25"/>
      <c r="D844" s="15"/>
      <c r="G844" s="15"/>
      <c r="H844" s="13"/>
      <c r="I844" s="16"/>
    </row>
    <row r="845">
      <c r="A845" s="8"/>
      <c r="C845" s="25"/>
      <c r="D845" s="15"/>
      <c r="G845" s="15"/>
      <c r="H845" s="13"/>
      <c r="I845" s="16"/>
    </row>
    <row r="846">
      <c r="A846" s="8"/>
      <c r="C846" s="25"/>
      <c r="D846" s="15"/>
      <c r="G846" s="15"/>
      <c r="H846" s="13"/>
      <c r="I846" s="16"/>
    </row>
    <row r="847">
      <c r="A847" s="8"/>
      <c r="C847" s="25"/>
      <c r="D847" s="15"/>
      <c r="G847" s="15"/>
      <c r="H847" s="13"/>
      <c r="I847" s="16"/>
    </row>
    <row r="848">
      <c r="A848" s="8"/>
      <c r="C848" s="25"/>
      <c r="D848" s="15"/>
      <c r="G848" s="15"/>
      <c r="H848" s="13"/>
      <c r="I848" s="16"/>
    </row>
    <row r="849">
      <c r="A849" s="8"/>
      <c r="C849" s="25"/>
      <c r="D849" s="15"/>
      <c r="G849" s="15"/>
      <c r="H849" s="13"/>
      <c r="I849" s="16"/>
    </row>
    <row r="850">
      <c r="A850" s="8"/>
      <c r="C850" s="25"/>
      <c r="D850" s="15"/>
      <c r="G850" s="15"/>
      <c r="H850" s="13"/>
      <c r="I850" s="16"/>
    </row>
    <row r="851">
      <c r="A851" s="8"/>
      <c r="C851" s="25"/>
      <c r="D851" s="15"/>
      <c r="G851" s="15"/>
      <c r="H851" s="13"/>
      <c r="I851" s="16"/>
    </row>
    <row r="852">
      <c r="A852" s="8"/>
      <c r="C852" s="25"/>
      <c r="D852" s="15"/>
      <c r="G852" s="15"/>
      <c r="H852" s="13"/>
      <c r="I852" s="16"/>
    </row>
    <row r="853">
      <c r="A853" s="8"/>
      <c r="C853" s="25"/>
      <c r="D853" s="15"/>
      <c r="G853" s="15"/>
      <c r="H853" s="13"/>
      <c r="I853" s="16"/>
    </row>
    <row r="854">
      <c r="A854" s="8"/>
      <c r="C854" s="25"/>
      <c r="D854" s="15"/>
      <c r="G854" s="15"/>
      <c r="H854" s="13"/>
      <c r="I854" s="16"/>
    </row>
    <row r="855">
      <c r="A855" s="8"/>
      <c r="C855" s="25"/>
      <c r="D855" s="15"/>
      <c r="G855" s="15"/>
      <c r="H855" s="13"/>
      <c r="I855" s="16"/>
    </row>
    <row r="856">
      <c r="A856" s="8"/>
      <c r="C856" s="25"/>
      <c r="D856" s="15"/>
      <c r="G856" s="15"/>
      <c r="H856" s="13"/>
      <c r="I856" s="16"/>
    </row>
    <row r="857">
      <c r="A857" s="8"/>
      <c r="C857" s="25"/>
      <c r="D857" s="15"/>
      <c r="G857" s="15"/>
      <c r="H857" s="13"/>
      <c r="I857" s="16"/>
    </row>
    <row r="858">
      <c r="A858" s="8"/>
      <c r="C858" s="25"/>
      <c r="D858" s="15"/>
      <c r="G858" s="15"/>
      <c r="H858" s="13"/>
      <c r="I858" s="16"/>
    </row>
    <row r="859">
      <c r="A859" s="8"/>
      <c r="C859" s="25"/>
      <c r="D859" s="15"/>
      <c r="G859" s="15"/>
      <c r="H859" s="13"/>
      <c r="I859" s="16"/>
    </row>
    <row r="860">
      <c r="A860" s="8"/>
      <c r="C860" s="25"/>
      <c r="D860" s="15"/>
      <c r="G860" s="15"/>
      <c r="H860" s="13"/>
      <c r="I860" s="16"/>
    </row>
    <row r="861">
      <c r="A861" s="8"/>
      <c r="C861" s="25"/>
      <c r="D861" s="15"/>
      <c r="G861" s="15"/>
      <c r="H861" s="13"/>
      <c r="I861" s="16"/>
    </row>
    <row r="862">
      <c r="A862" s="8"/>
      <c r="C862" s="25"/>
      <c r="D862" s="15"/>
      <c r="G862" s="15"/>
      <c r="H862" s="13"/>
      <c r="I862" s="16"/>
    </row>
    <row r="863">
      <c r="A863" s="8"/>
      <c r="C863" s="25"/>
      <c r="D863" s="15"/>
      <c r="G863" s="15"/>
      <c r="H863" s="13"/>
      <c r="I863" s="16"/>
    </row>
    <row r="864">
      <c r="A864" s="8"/>
      <c r="C864" s="25"/>
      <c r="D864" s="15"/>
      <c r="G864" s="15"/>
      <c r="H864" s="13"/>
      <c r="I864" s="16"/>
    </row>
    <row r="865">
      <c r="A865" s="8"/>
      <c r="C865" s="25"/>
      <c r="D865" s="15"/>
      <c r="G865" s="15"/>
      <c r="H865" s="13"/>
      <c r="I865" s="16"/>
    </row>
    <row r="866">
      <c r="A866" s="8"/>
      <c r="C866" s="25"/>
      <c r="D866" s="15"/>
      <c r="G866" s="15"/>
      <c r="H866" s="13"/>
      <c r="I866" s="16"/>
    </row>
    <row r="867">
      <c r="A867" s="8"/>
      <c r="C867" s="25"/>
      <c r="D867" s="15"/>
      <c r="G867" s="15"/>
      <c r="H867" s="13"/>
      <c r="I867" s="16"/>
    </row>
    <row r="868">
      <c r="A868" s="8"/>
      <c r="C868" s="25"/>
      <c r="D868" s="15"/>
      <c r="G868" s="15"/>
      <c r="H868" s="13"/>
      <c r="I868" s="16"/>
    </row>
    <row r="869">
      <c r="A869" s="8"/>
      <c r="C869" s="25"/>
      <c r="D869" s="15"/>
      <c r="G869" s="15"/>
      <c r="H869" s="13"/>
      <c r="I869" s="16"/>
    </row>
    <row r="870">
      <c r="A870" s="8"/>
      <c r="C870" s="25"/>
      <c r="D870" s="15"/>
      <c r="G870" s="15"/>
      <c r="H870" s="13"/>
      <c r="I870" s="16"/>
    </row>
    <row r="871">
      <c r="A871" s="8"/>
      <c r="C871" s="25"/>
      <c r="D871" s="15"/>
      <c r="G871" s="15"/>
      <c r="H871" s="13"/>
      <c r="I871" s="16"/>
    </row>
    <row r="872">
      <c r="A872" s="8"/>
      <c r="C872" s="25"/>
      <c r="D872" s="15"/>
      <c r="G872" s="15"/>
      <c r="H872" s="13"/>
      <c r="I872" s="16"/>
    </row>
    <row r="873">
      <c r="A873" s="8"/>
      <c r="C873" s="25"/>
      <c r="D873" s="15"/>
      <c r="G873" s="15"/>
      <c r="H873" s="13"/>
      <c r="I873" s="16"/>
    </row>
    <row r="874">
      <c r="A874" s="8"/>
      <c r="C874" s="25"/>
      <c r="D874" s="15"/>
      <c r="G874" s="15"/>
      <c r="H874" s="13"/>
      <c r="I874" s="16"/>
    </row>
    <row r="875">
      <c r="A875" s="8"/>
      <c r="C875" s="25"/>
      <c r="D875" s="15"/>
      <c r="G875" s="15"/>
      <c r="H875" s="13"/>
      <c r="I875" s="16"/>
    </row>
    <row r="876">
      <c r="A876" s="8"/>
      <c r="C876" s="25"/>
      <c r="D876" s="15"/>
      <c r="G876" s="15"/>
      <c r="H876" s="13"/>
      <c r="I876" s="16"/>
    </row>
    <row r="877">
      <c r="A877" s="8"/>
      <c r="C877" s="25"/>
      <c r="D877" s="15"/>
      <c r="G877" s="15"/>
      <c r="H877" s="13"/>
      <c r="I877" s="16"/>
    </row>
    <row r="878">
      <c r="A878" s="8"/>
      <c r="C878" s="25"/>
      <c r="D878" s="15"/>
      <c r="G878" s="15"/>
      <c r="H878" s="13"/>
      <c r="I878" s="16"/>
    </row>
    <row r="879">
      <c r="A879" s="8"/>
      <c r="C879" s="25"/>
      <c r="D879" s="15"/>
      <c r="G879" s="15"/>
      <c r="H879" s="13"/>
      <c r="I879" s="16"/>
    </row>
    <row r="880">
      <c r="A880" s="8"/>
      <c r="C880" s="25"/>
      <c r="D880" s="15"/>
      <c r="G880" s="15"/>
      <c r="H880" s="13"/>
      <c r="I880" s="16"/>
    </row>
    <row r="881">
      <c r="A881" s="8"/>
      <c r="C881" s="25"/>
      <c r="D881" s="15"/>
      <c r="G881" s="15"/>
      <c r="H881" s="13"/>
      <c r="I881" s="16"/>
    </row>
    <row r="882">
      <c r="A882" s="8"/>
      <c r="C882" s="25"/>
      <c r="D882" s="15"/>
      <c r="G882" s="15"/>
      <c r="H882" s="13"/>
      <c r="I882" s="16"/>
    </row>
    <row r="883">
      <c r="A883" s="8"/>
      <c r="C883" s="25"/>
      <c r="D883" s="15"/>
      <c r="G883" s="15"/>
      <c r="H883" s="13"/>
      <c r="I883" s="16"/>
    </row>
    <row r="884">
      <c r="A884" s="8"/>
      <c r="C884" s="25"/>
      <c r="D884" s="15"/>
      <c r="G884" s="15"/>
      <c r="H884" s="13"/>
      <c r="I884" s="16"/>
    </row>
    <row r="885">
      <c r="A885" s="8"/>
      <c r="C885" s="25"/>
      <c r="D885" s="15"/>
      <c r="G885" s="15"/>
      <c r="H885" s="13"/>
      <c r="I885" s="16"/>
    </row>
    <row r="886">
      <c r="A886" s="8"/>
      <c r="C886" s="25"/>
      <c r="D886" s="15"/>
      <c r="G886" s="15"/>
      <c r="H886" s="13"/>
      <c r="I886" s="16"/>
    </row>
    <row r="887">
      <c r="A887" s="8"/>
      <c r="C887" s="25"/>
      <c r="D887" s="15"/>
      <c r="G887" s="15"/>
      <c r="H887" s="13"/>
      <c r="I887" s="16"/>
    </row>
    <row r="888">
      <c r="A888" s="8"/>
      <c r="C888" s="25"/>
      <c r="D888" s="15"/>
      <c r="G888" s="15"/>
      <c r="H888" s="13"/>
      <c r="I888" s="16"/>
    </row>
    <row r="889">
      <c r="A889" s="8"/>
      <c r="C889" s="25"/>
      <c r="D889" s="15"/>
      <c r="G889" s="15"/>
      <c r="H889" s="13"/>
      <c r="I889" s="16"/>
    </row>
    <row r="890">
      <c r="A890" s="8"/>
      <c r="C890" s="25"/>
      <c r="D890" s="15"/>
      <c r="G890" s="15"/>
      <c r="H890" s="13"/>
      <c r="I890" s="16"/>
    </row>
    <row r="891">
      <c r="A891" s="8"/>
      <c r="C891" s="25"/>
      <c r="D891" s="15"/>
      <c r="G891" s="15"/>
      <c r="H891" s="13"/>
      <c r="I891" s="16"/>
    </row>
    <row r="892">
      <c r="A892" s="8"/>
      <c r="C892" s="25"/>
      <c r="D892" s="15"/>
      <c r="G892" s="15"/>
      <c r="H892" s="13"/>
      <c r="I892" s="16"/>
    </row>
    <row r="893">
      <c r="A893" s="8"/>
      <c r="C893" s="25"/>
      <c r="D893" s="15"/>
      <c r="G893" s="15"/>
      <c r="H893" s="13"/>
      <c r="I893" s="16"/>
    </row>
    <row r="894">
      <c r="A894" s="8"/>
      <c r="C894" s="25"/>
      <c r="D894" s="15"/>
      <c r="G894" s="15"/>
      <c r="H894" s="13"/>
      <c r="I894" s="16"/>
    </row>
    <row r="895">
      <c r="A895" s="8"/>
      <c r="C895" s="25"/>
      <c r="D895" s="15"/>
      <c r="G895" s="15"/>
      <c r="H895" s="13"/>
      <c r="I895" s="16"/>
    </row>
    <row r="896">
      <c r="A896" s="8"/>
      <c r="C896" s="25"/>
      <c r="D896" s="15"/>
      <c r="G896" s="15"/>
      <c r="H896" s="13"/>
      <c r="I896" s="16"/>
    </row>
    <row r="897">
      <c r="A897" s="8"/>
      <c r="C897" s="25"/>
      <c r="D897" s="15"/>
      <c r="G897" s="15"/>
      <c r="H897" s="13"/>
      <c r="I897" s="16"/>
    </row>
    <row r="898">
      <c r="A898" s="8"/>
      <c r="C898" s="25"/>
      <c r="D898" s="15"/>
      <c r="G898" s="15"/>
      <c r="H898" s="13"/>
      <c r="I898" s="16"/>
    </row>
    <row r="899">
      <c r="A899" s="8"/>
      <c r="C899" s="25"/>
      <c r="D899" s="15"/>
      <c r="G899" s="15"/>
      <c r="H899" s="13"/>
      <c r="I899" s="16"/>
    </row>
    <row r="900">
      <c r="A900" s="8"/>
      <c r="C900" s="25"/>
      <c r="D900" s="15"/>
      <c r="G900" s="15"/>
      <c r="H900" s="13"/>
      <c r="I900" s="16"/>
    </row>
    <row r="901">
      <c r="A901" s="8"/>
      <c r="C901" s="25"/>
      <c r="D901" s="15"/>
      <c r="G901" s="15"/>
      <c r="H901" s="13"/>
      <c r="I901" s="16"/>
    </row>
    <row r="902">
      <c r="A902" s="8"/>
      <c r="C902" s="25"/>
      <c r="D902" s="15"/>
      <c r="G902" s="15"/>
      <c r="H902" s="13"/>
      <c r="I902" s="16"/>
    </row>
    <row r="903">
      <c r="A903" s="8"/>
      <c r="C903" s="25"/>
      <c r="D903" s="15"/>
      <c r="G903" s="15"/>
      <c r="H903" s="13"/>
      <c r="I903" s="16"/>
    </row>
    <row r="904">
      <c r="A904" s="8"/>
      <c r="C904" s="25"/>
      <c r="D904" s="15"/>
      <c r="G904" s="15"/>
      <c r="H904" s="13"/>
      <c r="I904" s="16"/>
    </row>
    <row r="905">
      <c r="A905" s="8"/>
      <c r="C905" s="25"/>
      <c r="D905" s="15"/>
      <c r="G905" s="15"/>
      <c r="H905" s="13"/>
      <c r="I905" s="16"/>
    </row>
    <row r="906">
      <c r="A906" s="8"/>
      <c r="C906" s="25"/>
      <c r="D906" s="15"/>
      <c r="G906" s="15"/>
      <c r="H906" s="13"/>
      <c r="I906" s="16"/>
    </row>
    <row r="907">
      <c r="A907" s="8"/>
      <c r="C907" s="25"/>
      <c r="D907" s="15"/>
      <c r="G907" s="15"/>
      <c r="H907" s="13"/>
      <c r="I907" s="16"/>
    </row>
    <row r="908">
      <c r="A908" s="8"/>
      <c r="C908" s="25"/>
      <c r="D908" s="15"/>
      <c r="G908" s="15"/>
      <c r="H908" s="13"/>
      <c r="I908" s="16"/>
    </row>
    <row r="909">
      <c r="A909" s="8"/>
      <c r="C909" s="25"/>
      <c r="D909" s="15"/>
      <c r="G909" s="15"/>
      <c r="H909" s="13"/>
      <c r="I909" s="16"/>
    </row>
    <row r="910">
      <c r="A910" s="8"/>
      <c r="C910" s="25"/>
      <c r="D910" s="15"/>
      <c r="G910" s="15"/>
      <c r="H910" s="13"/>
      <c r="I910" s="16"/>
    </row>
    <row r="911">
      <c r="A911" s="8"/>
      <c r="C911" s="25"/>
      <c r="D911" s="15"/>
      <c r="G911" s="15"/>
      <c r="H911" s="13"/>
      <c r="I911" s="16"/>
    </row>
    <row r="912">
      <c r="A912" s="8"/>
      <c r="C912" s="25"/>
      <c r="D912" s="15"/>
      <c r="G912" s="15"/>
      <c r="H912" s="13"/>
      <c r="I912" s="16"/>
    </row>
    <row r="913">
      <c r="A913" s="8"/>
      <c r="C913" s="25"/>
      <c r="D913" s="15"/>
      <c r="G913" s="15"/>
      <c r="H913" s="13"/>
      <c r="I913" s="16"/>
    </row>
    <row r="914">
      <c r="A914" s="8"/>
      <c r="C914" s="25"/>
      <c r="D914" s="15"/>
      <c r="G914" s="15"/>
      <c r="H914" s="13"/>
      <c r="I914" s="16"/>
    </row>
    <row r="915">
      <c r="A915" s="8"/>
      <c r="C915" s="25"/>
      <c r="D915" s="15"/>
      <c r="G915" s="15"/>
      <c r="H915" s="13"/>
      <c r="I915" s="16"/>
    </row>
    <row r="916">
      <c r="A916" s="8"/>
      <c r="C916" s="25"/>
      <c r="D916" s="15"/>
      <c r="G916" s="15"/>
      <c r="H916" s="13"/>
      <c r="I916" s="16"/>
    </row>
    <row r="917">
      <c r="A917" s="8"/>
      <c r="C917" s="25"/>
      <c r="D917" s="15"/>
      <c r="G917" s="15"/>
      <c r="H917" s="13"/>
      <c r="I917" s="16"/>
    </row>
    <row r="918">
      <c r="A918" s="8"/>
      <c r="C918" s="25"/>
      <c r="D918" s="15"/>
      <c r="G918" s="15"/>
      <c r="H918" s="13"/>
      <c r="I918" s="16"/>
    </row>
    <row r="919">
      <c r="A919" s="8"/>
      <c r="C919" s="25"/>
      <c r="D919" s="15"/>
      <c r="G919" s="15"/>
      <c r="H919" s="13"/>
      <c r="I919" s="16"/>
    </row>
    <row r="920">
      <c r="A920" s="8"/>
      <c r="C920" s="25"/>
      <c r="D920" s="15"/>
      <c r="G920" s="15"/>
      <c r="H920" s="13"/>
      <c r="I920" s="16"/>
    </row>
    <row r="921">
      <c r="A921" s="8"/>
      <c r="C921" s="25"/>
      <c r="D921" s="15"/>
      <c r="G921" s="15"/>
      <c r="H921" s="13"/>
      <c r="I921" s="16"/>
    </row>
    <row r="922">
      <c r="A922" s="8"/>
      <c r="C922" s="25"/>
      <c r="D922" s="15"/>
      <c r="G922" s="15"/>
      <c r="H922" s="13"/>
      <c r="I922" s="16"/>
    </row>
    <row r="923">
      <c r="A923" s="8"/>
      <c r="C923" s="25"/>
      <c r="D923" s="15"/>
      <c r="G923" s="15"/>
      <c r="H923" s="13"/>
      <c r="I923" s="16"/>
    </row>
    <row r="924">
      <c r="A924" s="8"/>
      <c r="C924" s="25"/>
      <c r="D924" s="15"/>
      <c r="G924" s="15"/>
      <c r="H924" s="13"/>
      <c r="I924" s="16"/>
    </row>
    <row r="925">
      <c r="A925" s="8"/>
      <c r="C925" s="25"/>
      <c r="D925" s="15"/>
      <c r="G925" s="15"/>
      <c r="H925" s="13"/>
      <c r="I925" s="16"/>
    </row>
    <row r="926">
      <c r="A926" s="8"/>
      <c r="C926" s="25"/>
      <c r="D926" s="15"/>
      <c r="G926" s="15"/>
      <c r="H926" s="13"/>
      <c r="I926" s="16"/>
    </row>
    <row r="927">
      <c r="A927" s="8"/>
      <c r="C927" s="25"/>
      <c r="D927" s="15"/>
      <c r="G927" s="15"/>
      <c r="H927" s="13"/>
      <c r="I927" s="16"/>
    </row>
    <row r="928">
      <c r="A928" s="8"/>
      <c r="C928" s="25"/>
      <c r="D928" s="15"/>
      <c r="G928" s="15"/>
      <c r="H928" s="13"/>
      <c r="I928" s="16"/>
    </row>
    <row r="929">
      <c r="A929" s="8"/>
      <c r="C929" s="25"/>
      <c r="D929" s="15"/>
      <c r="G929" s="15"/>
      <c r="H929" s="13"/>
      <c r="I929" s="16"/>
    </row>
    <row r="930">
      <c r="A930" s="8"/>
      <c r="C930" s="25"/>
      <c r="D930" s="15"/>
      <c r="G930" s="15"/>
      <c r="H930" s="13"/>
      <c r="I930" s="16"/>
    </row>
    <row r="931">
      <c r="A931" s="8"/>
      <c r="C931" s="25"/>
      <c r="D931" s="15"/>
      <c r="G931" s="15"/>
      <c r="H931" s="13"/>
      <c r="I931" s="16"/>
    </row>
    <row r="932">
      <c r="A932" s="8"/>
      <c r="C932" s="25"/>
      <c r="D932" s="15"/>
      <c r="G932" s="15"/>
      <c r="H932" s="13"/>
      <c r="I932" s="16"/>
    </row>
    <row r="933">
      <c r="A933" s="8"/>
      <c r="C933" s="25"/>
      <c r="D933" s="15"/>
      <c r="G933" s="15"/>
      <c r="H933" s="13"/>
      <c r="I933" s="16"/>
    </row>
    <row r="934">
      <c r="A934" s="8"/>
      <c r="C934" s="25"/>
      <c r="D934" s="15"/>
      <c r="G934" s="15"/>
      <c r="H934" s="13"/>
      <c r="I934" s="16"/>
    </row>
    <row r="935">
      <c r="A935" s="8"/>
      <c r="C935" s="25"/>
      <c r="D935" s="15"/>
      <c r="G935" s="15"/>
      <c r="H935" s="13"/>
      <c r="I935" s="16"/>
    </row>
    <row r="936">
      <c r="A936" s="8"/>
      <c r="C936" s="25"/>
      <c r="D936" s="15"/>
      <c r="G936" s="15"/>
      <c r="H936" s="13"/>
      <c r="I936" s="16"/>
    </row>
    <row r="937">
      <c r="A937" s="8"/>
      <c r="C937" s="25"/>
      <c r="D937" s="15"/>
      <c r="G937" s="15"/>
      <c r="H937" s="13"/>
      <c r="I937" s="16"/>
    </row>
    <row r="938">
      <c r="A938" s="8"/>
      <c r="C938" s="25"/>
      <c r="D938" s="15"/>
      <c r="G938" s="15"/>
      <c r="H938" s="13"/>
      <c r="I938" s="16"/>
    </row>
    <row r="939">
      <c r="A939" s="8"/>
      <c r="C939" s="25"/>
      <c r="D939" s="15"/>
      <c r="G939" s="15"/>
      <c r="H939" s="13"/>
      <c r="I939" s="16"/>
    </row>
    <row r="940">
      <c r="A940" s="8"/>
      <c r="C940" s="25"/>
      <c r="D940" s="15"/>
      <c r="G940" s="15"/>
      <c r="H940" s="13"/>
      <c r="I940" s="16"/>
    </row>
    <row r="941">
      <c r="A941" s="8"/>
      <c r="C941" s="25"/>
      <c r="D941" s="15"/>
      <c r="G941" s="15"/>
      <c r="H941" s="13"/>
      <c r="I941" s="16"/>
    </row>
    <row r="942">
      <c r="A942" s="8"/>
      <c r="C942" s="25"/>
      <c r="D942" s="15"/>
      <c r="G942" s="15"/>
      <c r="H942" s="13"/>
      <c r="I942" s="16"/>
    </row>
    <row r="943">
      <c r="A943" s="8"/>
      <c r="C943" s="25"/>
      <c r="D943" s="15"/>
      <c r="G943" s="15"/>
      <c r="H943" s="13"/>
      <c r="I943" s="16"/>
    </row>
    <row r="944">
      <c r="A944" s="8"/>
      <c r="C944" s="25"/>
      <c r="D944" s="15"/>
      <c r="G944" s="15"/>
      <c r="H944" s="13"/>
      <c r="I944" s="16"/>
    </row>
    <row r="945">
      <c r="A945" s="8"/>
      <c r="C945" s="25"/>
      <c r="D945" s="15"/>
      <c r="G945" s="15"/>
      <c r="H945" s="13"/>
      <c r="I945" s="16"/>
    </row>
    <row r="946">
      <c r="A946" s="8"/>
      <c r="C946" s="25"/>
      <c r="D946" s="15"/>
      <c r="G946" s="15"/>
      <c r="H946" s="13"/>
      <c r="I946" s="16"/>
    </row>
    <row r="947">
      <c r="A947" s="8"/>
      <c r="C947" s="25"/>
      <c r="D947" s="15"/>
      <c r="G947" s="15"/>
      <c r="H947" s="13"/>
      <c r="I947" s="16"/>
    </row>
    <row r="948">
      <c r="A948" s="8"/>
      <c r="C948" s="25"/>
      <c r="D948" s="15"/>
      <c r="G948" s="15"/>
      <c r="H948" s="13"/>
      <c r="I948" s="16"/>
    </row>
    <row r="949">
      <c r="A949" s="8"/>
      <c r="C949" s="25"/>
      <c r="D949" s="15"/>
      <c r="G949" s="15"/>
      <c r="H949" s="13"/>
      <c r="I949" s="16"/>
    </row>
    <row r="950">
      <c r="A950" s="8"/>
      <c r="C950" s="25"/>
      <c r="D950" s="15"/>
      <c r="G950" s="15"/>
      <c r="H950" s="13"/>
      <c r="I950" s="16"/>
    </row>
    <row r="951">
      <c r="A951" s="8"/>
      <c r="C951" s="25"/>
      <c r="D951" s="15"/>
      <c r="G951" s="15"/>
      <c r="H951" s="13"/>
      <c r="I951" s="16"/>
    </row>
    <row r="952">
      <c r="A952" s="8"/>
      <c r="C952" s="25"/>
      <c r="D952" s="15"/>
      <c r="G952" s="15"/>
      <c r="H952" s="13"/>
      <c r="I952" s="16"/>
    </row>
    <row r="953">
      <c r="A953" s="8"/>
      <c r="C953" s="25"/>
      <c r="D953" s="15"/>
      <c r="G953" s="15"/>
      <c r="H953" s="13"/>
      <c r="I953" s="16"/>
    </row>
    <row r="954">
      <c r="A954" s="8"/>
      <c r="C954" s="25"/>
      <c r="D954" s="15"/>
      <c r="G954" s="15"/>
      <c r="H954" s="13"/>
      <c r="I954" s="16"/>
    </row>
    <row r="955">
      <c r="A955" s="8"/>
      <c r="C955" s="25"/>
      <c r="D955" s="15"/>
      <c r="G955" s="15"/>
      <c r="H955" s="13"/>
      <c r="I955" s="16"/>
    </row>
    <row r="956">
      <c r="A956" s="8"/>
      <c r="C956" s="25"/>
      <c r="D956" s="15"/>
      <c r="G956" s="15"/>
      <c r="H956" s="13"/>
      <c r="I956" s="16"/>
    </row>
    <row r="957">
      <c r="A957" s="8"/>
      <c r="C957" s="25"/>
      <c r="D957" s="15"/>
      <c r="G957" s="15"/>
      <c r="H957" s="13"/>
      <c r="I957" s="16"/>
    </row>
    <row r="958">
      <c r="A958" s="8"/>
      <c r="C958" s="25"/>
      <c r="D958" s="15"/>
      <c r="G958" s="15"/>
      <c r="H958" s="13"/>
      <c r="I958" s="16"/>
    </row>
    <row r="959">
      <c r="A959" s="8"/>
      <c r="C959" s="25"/>
      <c r="D959" s="15"/>
      <c r="G959" s="15"/>
      <c r="H959" s="13"/>
      <c r="I959" s="16"/>
    </row>
    <row r="960">
      <c r="A960" s="8"/>
      <c r="C960" s="25"/>
      <c r="D960" s="15"/>
      <c r="G960" s="15"/>
      <c r="H960" s="13"/>
      <c r="I960" s="16"/>
    </row>
    <row r="961">
      <c r="A961" s="8"/>
      <c r="C961" s="25"/>
      <c r="D961" s="15"/>
      <c r="G961" s="15"/>
      <c r="H961" s="13"/>
      <c r="I961" s="16"/>
    </row>
    <row r="962">
      <c r="A962" s="8"/>
      <c r="C962" s="25"/>
      <c r="D962" s="15"/>
      <c r="G962" s="15"/>
      <c r="H962" s="13"/>
      <c r="I962" s="16"/>
    </row>
    <row r="963">
      <c r="A963" s="8"/>
      <c r="C963" s="25"/>
      <c r="D963" s="15"/>
      <c r="G963" s="15"/>
      <c r="H963" s="13"/>
      <c r="I963" s="16"/>
    </row>
    <row r="964">
      <c r="A964" s="8"/>
      <c r="C964" s="25"/>
      <c r="D964" s="15"/>
      <c r="G964" s="15"/>
      <c r="H964" s="13"/>
      <c r="I964" s="16"/>
    </row>
    <row r="965">
      <c r="A965" s="8"/>
      <c r="C965" s="25"/>
      <c r="D965" s="15"/>
      <c r="G965" s="15"/>
      <c r="H965" s="13"/>
      <c r="I965" s="16"/>
    </row>
    <row r="966">
      <c r="A966" s="8"/>
      <c r="C966" s="25"/>
      <c r="D966" s="15"/>
      <c r="G966" s="15"/>
      <c r="H966" s="13"/>
      <c r="I966" s="16"/>
    </row>
    <row r="967">
      <c r="A967" s="8"/>
      <c r="C967" s="25"/>
      <c r="D967" s="15"/>
      <c r="G967" s="15"/>
      <c r="H967" s="13"/>
      <c r="I967" s="16"/>
    </row>
    <row r="968">
      <c r="A968" s="8"/>
      <c r="C968" s="25"/>
      <c r="D968" s="15"/>
      <c r="G968" s="15"/>
      <c r="H968" s="13"/>
      <c r="I968" s="16"/>
    </row>
    <row r="969">
      <c r="A969" s="8"/>
      <c r="C969" s="25"/>
      <c r="D969" s="15"/>
      <c r="G969" s="15"/>
      <c r="H969" s="13"/>
      <c r="I969" s="16"/>
    </row>
    <row r="970">
      <c r="A970" s="8"/>
      <c r="C970" s="25"/>
      <c r="D970" s="15"/>
      <c r="G970" s="15"/>
      <c r="H970" s="13"/>
      <c r="I970" s="16"/>
    </row>
    <row r="971">
      <c r="A971" s="8"/>
      <c r="C971" s="25"/>
      <c r="D971" s="15"/>
      <c r="G971" s="15"/>
      <c r="H971" s="13"/>
      <c r="I971" s="16"/>
    </row>
    <row r="972">
      <c r="A972" s="8"/>
      <c r="C972" s="25"/>
      <c r="D972" s="15"/>
      <c r="G972" s="15"/>
      <c r="H972" s="13"/>
      <c r="I972" s="16"/>
    </row>
    <row r="973">
      <c r="A973" s="8"/>
      <c r="C973" s="25"/>
      <c r="D973" s="15"/>
      <c r="G973" s="15"/>
      <c r="H973" s="13"/>
      <c r="I973" s="16"/>
    </row>
    <row r="974">
      <c r="A974" s="8"/>
      <c r="C974" s="25"/>
      <c r="D974" s="15"/>
      <c r="G974" s="15"/>
      <c r="H974" s="13"/>
      <c r="I974" s="16"/>
    </row>
    <row r="975">
      <c r="A975" s="8"/>
      <c r="C975" s="25"/>
      <c r="D975" s="15"/>
      <c r="G975" s="15"/>
      <c r="H975" s="13"/>
      <c r="I975" s="16"/>
    </row>
    <row r="976">
      <c r="A976" s="8"/>
      <c r="C976" s="25"/>
      <c r="D976" s="15"/>
      <c r="G976" s="15"/>
      <c r="H976" s="13"/>
      <c r="I976" s="16"/>
    </row>
    <row r="977">
      <c r="A977" s="8"/>
      <c r="C977" s="25"/>
      <c r="D977" s="15"/>
      <c r="G977" s="15"/>
      <c r="H977" s="13"/>
      <c r="I977" s="16"/>
    </row>
    <row r="978">
      <c r="A978" s="8"/>
      <c r="C978" s="25"/>
      <c r="D978" s="15"/>
      <c r="G978" s="15"/>
      <c r="H978" s="13"/>
      <c r="I978" s="16"/>
    </row>
    <row r="979">
      <c r="A979" s="8"/>
      <c r="C979" s="25"/>
      <c r="D979" s="15"/>
      <c r="G979" s="15"/>
      <c r="H979" s="13"/>
      <c r="I979" s="16"/>
    </row>
    <row r="980">
      <c r="A980" s="8"/>
      <c r="C980" s="25"/>
      <c r="D980" s="15"/>
      <c r="G980" s="15"/>
      <c r="H980" s="13"/>
      <c r="I980" s="16"/>
    </row>
    <row r="981">
      <c r="A981" s="8"/>
      <c r="C981" s="25"/>
      <c r="D981" s="15"/>
      <c r="G981" s="15"/>
      <c r="H981" s="13"/>
      <c r="I981" s="16"/>
    </row>
    <row r="982">
      <c r="A982" s="8"/>
      <c r="C982" s="25"/>
      <c r="D982" s="15"/>
      <c r="G982" s="15"/>
      <c r="H982" s="13"/>
      <c r="I982" s="16"/>
    </row>
    <row r="983">
      <c r="A983" s="8"/>
      <c r="C983" s="25"/>
      <c r="D983" s="15"/>
      <c r="G983" s="15"/>
      <c r="H983" s="13"/>
      <c r="I983" s="16"/>
    </row>
    <row r="984">
      <c r="A984" s="8"/>
      <c r="C984" s="25"/>
      <c r="D984" s="15"/>
      <c r="G984" s="15"/>
      <c r="H984" s="13"/>
      <c r="I984" s="16"/>
    </row>
    <row r="985">
      <c r="A985" s="8"/>
      <c r="C985" s="25"/>
      <c r="D985" s="15"/>
      <c r="G985" s="15"/>
      <c r="H985" s="13"/>
      <c r="I985" s="16"/>
    </row>
    <row r="986">
      <c r="A986" s="8"/>
      <c r="C986" s="25"/>
      <c r="D986" s="15"/>
      <c r="G986" s="15"/>
      <c r="H986" s="13"/>
      <c r="I986" s="16"/>
    </row>
    <row r="987">
      <c r="A987" s="8"/>
      <c r="C987" s="25"/>
      <c r="D987" s="15"/>
      <c r="G987" s="15"/>
      <c r="H987" s="13"/>
      <c r="I987" s="16"/>
    </row>
    <row r="988">
      <c r="A988" s="8"/>
      <c r="C988" s="25"/>
      <c r="D988" s="15"/>
      <c r="G988" s="15"/>
      <c r="H988" s="13"/>
      <c r="I988" s="16"/>
    </row>
    <row r="989">
      <c r="A989" s="8"/>
      <c r="C989" s="25"/>
      <c r="D989" s="15"/>
      <c r="G989" s="15"/>
      <c r="H989" s="13"/>
      <c r="I989" s="16"/>
    </row>
    <row r="990">
      <c r="A990" s="8"/>
      <c r="C990" s="25"/>
      <c r="D990" s="15"/>
      <c r="G990" s="15"/>
      <c r="H990" s="13"/>
      <c r="I990" s="16"/>
    </row>
    <row r="991">
      <c r="A991" s="8"/>
      <c r="C991" s="25"/>
      <c r="D991" s="15"/>
      <c r="G991" s="15"/>
      <c r="H991" s="13"/>
      <c r="I991" s="16"/>
    </row>
    <row r="992">
      <c r="A992" s="8"/>
      <c r="C992" s="25"/>
      <c r="D992" s="15"/>
      <c r="G992" s="15"/>
      <c r="H992" s="13"/>
      <c r="I992" s="16"/>
    </row>
    <row r="993">
      <c r="A993" s="8"/>
      <c r="C993" s="25"/>
      <c r="D993" s="15"/>
      <c r="G993" s="15"/>
      <c r="H993" s="13"/>
      <c r="I993" s="16"/>
    </row>
    <row r="994">
      <c r="A994" s="8"/>
      <c r="C994" s="25"/>
      <c r="D994" s="15"/>
      <c r="G994" s="15"/>
      <c r="H994" s="13"/>
      <c r="I994" s="16"/>
    </row>
    <row r="995">
      <c r="A995" s="8"/>
      <c r="C995" s="25"/>
      <c r="D995" s="15"/>
      <c r="G995" s="15"/>
      <c r="H995" s="13"/>
      <c r="I995" s="16"/>
    </row>
    <row r="996">
      <c r="A996" s="8"/>
      <c r="C996" s="25"/>
      <c r="D996" s="15"/>
      <c r="G996" s="15"/>
      <c r="H996" s="13"/>
      <c r="I996" s="16"/>
    </row>
    <row r="997">
      <c r="A997" s="8"/>
      <c r="C997" s="25"/>
      <c r="D997" s="15"/>
      <c r="G997" s="15"/>
      <c r="H997" s="13"/>
      <c r="I997" s="16"/>
    </row>
    <row r="998">
      <c r="A998" s="8"/>
      <c r="C998" s="25"/>
      <c r="D998" s="15"/>
      <c r="G998" s="15"/>
      <c r="H998" s="13"/>
      <c r="I998" s="16"/>
    </row>
    <row r="999">
      <c r="A999" s="8"/>
      <c r="C999" s="25"/>
      <c r="D999" s="15"/>
      <c r="G999" s="15"/>
      <c r="H999" s="13"/>
      <c r="I999" s="16"/>
    </row>
    <row r="1000">
      <c r="A1000" s="8"/>
      <c r="C1000" s="25"/>
      <c r="D1000" s="15"/>
      <c r="G1000" s="15"/>
      <c r="H1000" s="13"/>
      <c r="I1000" s="16"/>
    </row>
    <row r="1001">
      <c r="A1001" s="8"/>
      <c r="C1001" s="25"/>
      <c r="D1001" s="15"/>
      <c r="G1001" s="15"/>
      <c r="H1001" s="13"/>
      <c r="I1001" s="16"/>
    </row>
    <row r="1002">
      <c r="A1002" s="8"/>
      <c r="C1002" s="25"/>
      <c r="D1002" s="15"/>
      <c r="G1002" s="15"/>
      <c r="H1002" s="13"/>
      <c r="I1002" s="16"/>
    </row>
    <row r="1003">
      <c r="A1003" s="8"/>
      <c r="C1003" s="25"/>
      <c r="D1003" s="15"/>
      <c r="G1003" s="15"/>
      <c r="H1003" s="13"/>
      <c r="I1003" s="16"/>
    </row>
  </sheetData>
  <conditionalFormatting sqref="A1">
    <cfRule type="notContainsBlanks" dxfId="0" priority="1">
      <formula>LEN(TRIM(A1))&gt;0</formula>
    </cfRule>
  </conditionalFormatting>
  <conditionalFormatting sqref="E1:E440 F441 E442:E454 C455:D455 E456:E1003">
    <cfRule type="beginsWith" dxfId="1" priority="2" operator="beginsWith" text="High">
      <formula>LEFT((E1),LEN("High"))=("High")</formula>
    </cfRule>
  </conditionalFormatting>
  <conditionalFormatting sqref="A2:A469">
    <cfRule type="colorScale" priority="3">
      <colorScale>
        <cfvo type="formula" val="1"/>
        <cfvo type="formula" val="1900"/>
        <cfvo type="formula" val="3801"/>
        <color rgb="FFB4A7D6"/>
        <color rgb="FFD9EAD3"/>
        <color rgb="FFE6B8AF"/>
      </colorScale>
    </cfRule>
  </conditionalFormatting>
  <conditionalFormatting sqref="G1:G1003">
    <cfRule type="cellIs" dxfId="2" priority="4" operator="greaterThan">
      <formula>30</formula>
    </cfRule>
  </conditionalFormatting>
  <conditionalFormatting sqref="A1:AA1003">
    <cfRule type="expression" dxfId="3" priority="5">
      <formula>OR($E1="Noise", $E1="Sky")</formula>
    </cfRule>
  </conditionalFormatting>
  <conditionalFormatting sqref="E1:E440 F441 E442:E454 C455:D455 E456:E1003">
    <cfRule type="beginsWith" dxfId="4" priority="6" operator="beginsWith" text="Deep Neutral">
      <formula>LEFT((E1),LEN("Deep Neutral"))=("Deep Neutral")</formula>
    </cfRule>
  </conditionalFormatting>
  <conditionalFormatting sqref="F1:F1003 E441">
    <cfRule type="containsText" dxfId="5" priority="7" operator="containsText" text="UIL">
      <formula>NOT(ISERROR(SEARCH(("UIL"),(F1))))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tr">
        <f>IFERROR(__xludf.DUMMYFUNCTION("FILTER('Master line list'!A1:AA1003, 'Master line list'!D1:D1003 &gt; 0)"),"Index")</f>
        <v>Index</v>
      </c>
      <c r="B1" s="2" t="str">
        <f>IFERROR(__xludf.DUMMYFUNCTION("""COMPUTED_VALUE"""),"Region")</f>
        <v>Region</v>
      </c>
      <c r="C1" s="4" t="str">
        <f>IFERROR(__xludf.DUMMYFUNCTION("""COMPUTED_VALUE"""),"λ(obs)")</f>
        <v>λ(obs)</v>
      </c>
      <c r="D1" s="4" t="str">
        <f>IFERROR(__xludf.DUMMYFUNCTION("""COMPUTED_VALUE"""),"λ(HM)")</f>
        <v>λ(HM)</v>
      </c>
      <c r="E1" s="2" t="str">
        <f>IFERROR(__xludf.DUMMYFUNCTION("""COMPUTED_VALUE"""),"Type")</f>
        <v>Type</v>
      </c>
      <c r="F1" s="4" t="str">
        <f>IFERROR(__xludf.DUMMYFUNCTION("""COMPUTED_VALUE"""),"ID")</f>
        <v>ID</v>
      </c>
      <c r="G1" s="26" t="str">
        <f>IFERROR(__xludf.DUMMYFUNCTION("""COMPUTED_VALUE"""),"Strength")</f>
        <v>Strength</v>
      </c>
      <c r="H1" s="6" t="str">
        <f>IFERROR(__xludf.DUMMYFUNCTION("""COMPUTED_VALUE"""),"Cont method")</f>
        <v>Cont method</v>
      </c>
      <c r="I1" s="7" t="str">
        <f>IFERROR(__xludf.DUMMYFUNCTION("""COMPUTED_VALUE"""),"Comments")</f>
        <v>Comments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f>IFERROR(__xludf.DUMMYFUNCTION("""COMPUTED_VALUE"""),4.0)</f>
        <v>4</v>
      </c>
      <c r="B2" s="19" t="str">
        <f>IFERROR(__xludf.DUMMYFUNCTION("""COMPUTED_VALUE"""),"GLOB-E")</f>
        <v>GLOB-E</v>
      </c>
      <c r="C2" s="15">
        <f>IFERROR(__xludf.DUMMYFUNCTION("""COMPUTED_VALUE"""),4604.94482421875)</f>
        <v>4604.944824</v>
      </c>
      <c r="D2" s="15">
        <f>IFERROR(__xludf.DUMMYFUNCTION("""COMPUTED_VALUE"""),4601.29)</f>
        <v>4601.29</v>
      </c>
      <c r="E2" s="19"/>
      <c r="F2" s="19"/>
      <c r="G2" s="15"/>
      <c r="H2" s="19"/>
      <c r="I2" s="19" t="str">
        <f>IFERROR(__xludf.DUMMYFUNCTION("""COMPUTED_VALUE"""),"Test of formatting of comments field. I have set it to wrap for now. If that gets annoying, we can switch to clip")</f>
        <v>Test of formatting of comments field. I have set it to wrap for now. If that gets annoying, we can switch to clip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8">
        <f>IFERROR(__xludf.DUMMYFUNCTION("""COMPUTED_VALUE"""),7.0)</f>
        <v>7</v>
      </c>
      <c r="B3" s="19" t="str">
        <f>IFERROR(__xludf.DUMMYFUNCTION("""COMPUTED_VALUE"""),"GLOB-E")</f>
        <v>GLOB-E</v>
      </c>
      <c r="C3" s="15">
        <f>IFERROR(__xludf.DUMMYFUNCTION("""COMPUTED_VALUE"""),4608.69482421875)</f>
        <v>4608.694824</v>
      </c>
      <c r="D3" s="15">
        <f>IFERROR(__xludf.DUMMYFUNCTION("""COMPUTED_VALUE"""),4607.25)</f>
        <v>4607.25</v>
      </c>
      <c r="E3" s="19"/>
      <c r="F3" s="19"/>
      <c r="G3" s="15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8">
        <f>IFERROR(__xludf.DUMMYFUNCTION("""COMPUTED_VALUE"""),49.0)</f>
        <v>49</v>
      </c>
      <c r="B4" s="19" t="str">
        <f>IFERROR(__xludf.DUMMYFUNCTION("""COMPUTED_VALUE"""),"GLOB-E")</f>
        <v>GLOB-E</v>
      </c>
      <c r="C4" s="15">
        <f>IFERROR(__xludf.DUMMYFUNCTION("""COMPUTED_VALUE"""),4661.19482421875)</f>
        <v>4661.194824</v>
      </c>
      <c r="D4" s="15">
        <f>IFERROR(__xludf.DUMMYFUNCTION("""COMPUTED_VALUE"""),4657.93)</f>
        <v>4657.93</v>
      </c>
      <c r="E4" s="19" t="str">
        <f>IFERROR(__xludf.DUMMYFUNCTION("""COMPUTED_VALUE"""),"Fe, Ni")</f>
        <v>Fe, Ni</v>
      </c>
      <c r="F4" s="19" t="str">
        <f>IFERROR(__xludf.DUMMYFUNCTION("""COMPUTED_VALUE"""),"[Fe III] 4658.10")</f>
        <v>[Fe III] 4658.10</v>
      </c>
      <c r="G4" s="15">
        <f>IFERROR(__xludf.DUMMYFUNCTION("""COMPUTED_VALUE"""),0.6)</f>
        <v>0.6</v>
      </c>
      <c r="H4" s="19"/>
      <c r="I4" s="19" t="str">
        <f>IFERROR(__xludf.DUMMYFUNCTION("""COMPUTED_VALUE"""),"Shows diffuse emission, particularly in SE and NE")</f>
        <v>Shows diffuse emission, particularly in SE and NE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8">
        <f>IFERROR(__xludf.DUMMYFUNCTION("""COMPUTED_VALUE"""),71.0)</f>
        <v>71</v>
      </c>
      <c r="B5" s="19" t="str">
        <f>IFERROR(__xludf.DUMMYFUNCTION("""COMPUTED_VALUE"""),"BS")</f>
        <v>BS</v>
      </c>
      <c r="C5" s="15">
        <f>IFERROR(__xludf.DUMMYFUNCTION("""COMPUTED_VALUE"""),4688.69482421875)</f>
        <v>4688.694824</v>
      </c>
      <c r="D5" s="15">
        <f>IFERROR(__xludf.DUMMYFUNCTION("""COMPUTED_VALUE"""),4685.55)</f>
        <v>4685.55</v>
      </c>
      <c r="E5" s="19" t="str">
        <f>IFERROR(__xludf.DUMMYFUNCTION("""COMPUTED_VALUE"""),"High Neb")</f>
        <v>High Neb</v>
      </c>
      <c r="F5" s="19" t="str">
        <f>IFERROR(__xludf.DUMMYFUNCTION("""COMPUTED_VALUE"""),"He II  4685.68")</f>
        <v>He II  4685.68</v>
      </c>
      <c r="G5" s="15">
        <f>IFERROR(__xludf.DUMMYFUNCTION("""COMPUTED_VALUE"""),44.0)</f>
        <v>44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8">
        <f>IFERROR(__xludf.DUMMYFUNCTION("""COMPUTED_VALUE"""),91.0)</f>
        <v>91</v>
      </c>
      <c r="B6" s="19" t="str">
        <f>IFERROR(__xludf.DUMMYFUNCTION("""COMPUTED_VALUE"""),"BS")</f>
        <v>BS</v>
      </c>
      <c r="C6" s="15">
        <f>IFERROR(__xludf.DUMMYFUNCTION("""COMPUTED_VALUE"""),4713.69482421875)</f>
        <v>4713.694824</v>
      </c>
      <c r="D6" s="15">
        <f>IFERROR(__xludf.DUMMYFUNCTION("""COMPUTED_VALUE"""),4711.46)</f>
        <v>4711.46</v>
      </c>
      <c r="E6" s="19" t="str">
        <f>IFERROR(__xludf.DUMMYFUNCTION("""COMPUTED_VALUE"""),"High Neb")</f>
        <v>High Neb</v>
      </c>
      <c r="F6" s="19" t="str">
        <f>IFERROR(__xludf.DUMMYFUNCTION("""COMPUTED_VALUE"""),"[Ar IV] 4711.37")</f>
        <v>[Ar IV] 4711.37</v>
      </c>
      <c r="G6" s="15">
        <f>IFERROR(__xludf.DUMMYFUNCTION("""COMPUTED_VALUE"""),79.0)</f>
        <v>79</v>
      </c>
      <c r="H6" s="19">
        <f>IFERROR(__xludf.DUMMYFUNCTION("""COMPUTED_VALUE"""),11.0)</f>
        <v>11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8">
        <f>IFERROR(__xludf.DUMMYFUNCTION("""COMPUTED_VALUE"""),114.0)</f>
        <v>114</v>
      </c>
      <c r="B7" s="19" t="str">
        <f>IFERROR(__xludf.DUMMYFUNCTION("""COMPUTED_VALUE"""),"BS")</f>
        <v>BS</v>
      </c>
      <c r="C7" s="15">
        <f>IFERROR(__xludf.DUMMYFUNCTION("""COMPUTED_VALUE"""),4742.44482421875)</f>
        <v>4742.444824</v>
      </c>
      <c r="D7" s="15">
        <f>IFERROR(__xludf.DUMMYFUNCTION("""COMPUTED_VALUE"""),4740.08)</f>
        <v>4740.08</v>
      </c>
      <c r="E7" s="19" t="str">
        <f>IFERROR(__xludf.DUMMYFUNCTION("""COMPUTED_VALUE"""),"High Neb")</f>
        <v>High Neb</v>
      </c>
      <c r="F7" s="19" t="str">
        <f>IFERROR(__xludf.DUMMYFUNCTION("""COMPUTED_VALUE"""),"[Ar IV] 4740.17")</f>
        <v>[Ar IV] 4740.17</v>
      </c>
      <c r="G7" s="15">
        <f>IFERROR(__xludf.DUMMYFUNCTION("""COMPUTED_VALUE"""),53.0)</f>
        <v>53</v>
      </c>
      <c r="H7" s="19">
        <f>IFERROR(__xludf.DUMMYFUNCTION("""COMPUTED_VALUE"""),11.0)</f>
        <v>11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8">
        <f>IFERROR(__xludf.DUMMYFUNCTION("""COMPUTED_VALUE"""),211.0)</f>
        <v>211</v>
      </c>
      <c r="B8" s="19" t="str">
        <f>IFERROR(__xludf.DUMMYFUNCTION("""COMPUTED_VALUE"""),"GLOB-E")</f>
        <v>GLOB-E</v>
      </c>
      <c r="C8" s="15">
        <f>IFERROR(__xludf.DUMMYFUNCTION("""COMPUTED_VALUE"""),4863.69482421875)</f>
        <v>4863.694824</v>
      </c>
      <c r="D8" s="15">
        <f>IFERROR(__xludf.DUMMYFUNCTION("""COMPUTED_VALUE"""),4861.18)</f>
        <v>4861.18</v>
      </c>
      <c r="E8" s="19" t="str">
        <f>IFERROR(__xludf.DUMMYFUNCTION("""COMPUTED_VALUE"""),"Med Neb")</f>
        <v>Med Neb</v>
      </c>
      <c r="F8" s="19" t="str">
        <f>IFERROR(__xludf.DUMMYFUNCTION("""COMPUTED_VALUE"""),"H I 4861.32")</f>
        <v>H I 4861.32</v>
      </c>
      <c r="G8" s="15">
        <f>IFERROR(__xludf.DUMMYFUNCTION("""COMPUTED_VALUE"""),2300.0)</f>
        <v>2300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8">
        <f>IFERROR(__xludf.DUMMYFUNCTION("""COMPUTED_VALUE"""),227.0)</f>
        <v>227</v>
      </c>
      <c r="B9" s="19" t="str">
        <f>IFERROR(__xludf.DUMMYFUNCTION("""COMPUTED_VALUE"""),"GLOB-E")</f>
        <v>GLOB-E</v>
      </c>
      <c r="C9" s="15">
        <f>IFERROR(__xludf.DUMMYFUNCTION("""COMPUTED_VALUE"""),4883.69482421875)</f>
        <v>4883.694824</v>
      </c>
      <c r="D9" s="15">
        <f>IFERROR(__xludf.DUMMYFUNCTION("""COMPUTED_VALUE"""),4881.05)</f>
        <v>4881.05</v>
      </c>
      <c r="E9" s="19" t="str">
        <f>IFERROR(__xludf.DUMMYFUNCTION("""COMPUTED_VALUE"""),"Fe, Ni")</f>
        <v>Fe, Ni</v>
      </c>
      <c r="F9" s="19" t="str">
        <f>IFERROR(__xludf.DUMMYFUNCTION("""COMPUTED_VALUE"""),"[Fe III] 4881.073")</f>
        <v>[Fe III] 4881.073</v>
      </c>
      <c r="G9" s="15">
        <f>IFERROR(__xludf.DUMMYFUNCTION("""COMPUTED_VALUE"""),1.2)</f>
        <v>1.2</v>
      </c>
      <c r="H9" s="19"/>
      <c r="I9" s="19" t="str">
        <f>IFERROR(__xludf.DUMMYFUNCTION("""COMPUTED_VALUE"""),"No clear diffuse emission. Seen in YSO-c and GLOB-D")</f>
        <v>No clear diffuse emission. Seen in YSO-c and GLOB-D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8">
        <f>IFERROR(__xludf.DUMMYFUNCTION("""COMPUTED_VALUE"""),260.0)</f>
        <v>260</v>
      </c>
      <c r="B10" s="19" t="str">
        <f>IFERROR(__xludf.DUMMYFUNCTION("""COMPUTED_VALUE"""),"GLOB-E")</f>
        <v>GLOB-E</v>
      </c>
      <c r="C10" s="15">
        <f>IFERROR(__xludf.DUMMYFUNCTION("""COMPUTED_VALUE"""),4924.94482421875)</f>
        <v>4924.944824</v>
      </c>
      <c r="D10" s="15">
        <f>IFERROR(__xludf.DUMMYFUNCTION("""COMPUTED_VALUE"""),4921.75)</f>
        <v>4921.75</v>
      </c>
      <c r="E10" s="19" t="str">
        <f>IFERROR(__xludf.DUMMYFUNCTION("""COMPUTED_VALUE"""),"Med Neb")</f>
        <v>Med Neb</v>
      </c>
      <c r="F10" s="19" t="str">
        <f>IFERROR(__xludf.DUMMYFUNCTION("""COMPUTED_VALUE"""),"He I 4921.93")</f>
        <v>He I 4921.93</v>
      </c>
      <c r="G10" s="15">
        <f>IFERROR(__xludf.DUMMYFUNCTION("""COMPUTED_VALUE"""),21.0)</f>
        <v>21</v>
      </c>
      <c r="H10" s="19" t="str">
        <f>IFERROR(__xludf.DUMMYFUNCTION("""COMPUTED_VALUE"""),"11, 101")</f>
        <v>11, 101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8">
        <f>IFERROR(__xludf.DUMMYFUNCTION("""COMPUTED_VALUE"""),289.0)</f>
        <v>289</v>
      </c>
      <c r="B11" s="19" t="str">
        <f>IFERROR(__xludf.DUMMYFUNCTION("""COMPUTED_VALUE"""),"GLOB-E")</f>
        <v>GLOB-E</v>
      </c>
      <c r="C11" s="15">
        <f>IFERROR(__xludf.DUMMYFUNCTION("""COMPUTED_VALUE"""),4961.19482421875)</f>
        <v>4961.194824</v>
      </c>
      <c r="D11" s="15">
        <f>IFERROR(__xludf.DUMMYFUNCTION("""COMPUTED_VALUE"""),4958.76)</f>
        <v>4958.76</v>
      </c>
      <c r="E11" s="19" t="str">
        <f>IFERROR(__xludf.DUMMYFUNCTION("""COMPUTED_VALUE"""),"Med Neb")</f>
        <v>Med Neb</v>
      </c>
      <c r="F11" s="19" t="str">
        <f>IFERROR(__xludf.DUMMYFUNCTION("""COMPUTED_VALUE"""),"[O III] 4958.91")</f>
        <v>[O III] 4958.91</v>
      </c>
      <c r="G11" s="15">
        <f>IFERROR(__xludf.DUMMYFUNCTION("""COMPUTED_VALUE"""),3300.0)</f>
        <v>3300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8">
        <f>IFERROR(__xludf.DUMMYFUNCTION("""COMPUTED_VALUE"""),328.0)</f>
        <v>328</v>
      </c>
      <c r="B12" s="19" t="str">
        <f>IFERROR(__xludf.DUMMYFUNCTION("""COMPUTED_VALUE"""),"GLOB-E")</f>
        <v>GLOB-E</v>
      </c>
      <c r="C12" s="15">
        <f>IFERROR(__xludf.DUMMYFUNCTION("""COMPUTED_VALUE"""),5009.94482421875)</f>
        <v>5009.944824</v>
      </c>
      <c r="D12" s="15">
        <f>IFERROR(__xludf.DUMMYFUNCTION("""COMPUTED_VALUE"""),5006.61)</f>
        <v>5006.61</v>
      </c>
      <c r="E12" s="19" t="str">
        <f>IFERROR(__xludf.DUMMYFUNCTION("""COMPUTED_VALUE"""),"Med Neb")</f>
        <v>Med Neb</v>
      </c>
      <c r="F12" s="19" t="str">
        <f>IFERROR(__xludf.DUMMYFUNCTION("""COMPUTED_VALUE"""),"[O III] 5006.84")</f>
        <v>[O III] 5006.84</v>
      </c>
      <c r="G12" s="15">
        <f>IFERROR(__xludf.DUMMYFUNCTION("""COMPUTED_VALUE"""),9500.0)</f>
        <v>9500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8">
        <f>IFERROR(__xludf.DUMMYFUNCTION("""COMPUTED_VALUE"""),335.0)</f>
        <v>335</v>
      </c>
      <c r="B13" s="19" t="str">
        <f>IFERROR(__xludf.DUMMYFUNCTION("""COMPUTED_VALUE"""),"GLOB-E")</f>
        <v>GLOB-E</v>
      </c>
      <c r="C13" s="15">
        <f>IFERROR(__xludf.DUMMYFUNCTION("""COMPUTED_VALUE"""),5018.69482421875)</f>
        <v>5018.694824</v>
      </c>
      <c r="D13" s="15">
        <f>IFERROR(__xludf.DUMMYFUNCTION("""COMPUTED_VALUE"""),5015.43)</f>
        <v>5015.43</v>
      </c>
      <c r="E13" s="19" t="str">
        <f>IFERROR(__xludf.DUMMYFUNCTION("""COMPUTED_VALUE"""),"Med Neb")</f>
        <v>Med Neb</v>
      </c>
      <c r="F13" s="19" t="str">
        <f>IFERROR(__xludf.DUMMYFUNCTION("""COMPUTED_VALUE"""),"He I 5015.68")</f>
        <v>He I 5015.68</v>
      </c>
      <c r="G13" s="15">
        <f>IFERROR(__xludf.DUMMYFUNCTION("""COMPUTED_VALUE"""),36.0)</f>
        <v>36</v>
      </c>
      <c r="H13" s="19" t="str">
        <f>IFERROR(__xludf.DUMMYFUNCTION("""COMPUTED_VALUE"""),"101, 101B")</f>
        <v>101, 101B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8">
        <f>IFERROR(__xludf.DUMMYFUNCTION("""COMPUTED_VALUE"""),356.0)</f>
        <v>356</v>
      </c>
      <c r="B14" s="19" t="str">
        <f>IFERROR(__xludf.DUMMYFUNCTION("""COMPUTED_VALUE"""),"GLOB-E")</f>
        <v>GLOB-E</v>
      </c>
      <c r="C14" s="15">
        <f>IFERROR(__xludf.DUMMYFUNCTION("""COMPUTED_VALUE"""),5044.94482421875)</f>
        <v>5044.944824</v>
      </c>
      <c r="D14" s="15">
        <f>IFERROR(__xludf.DUMMYFUNCTION("""COMPUTED_VALUE"""),5041.47)</f>
        <v>5041.47</v>
      </c>
      <c r="E14" s="19" t="str">
        <f>IFERROR(__xludf.DUMMYFUNCTION("""COMPUTED_VALUE"""),"Med Perm")</f>
        <v>Med Perm</v>
      </c>
      <c r="F14" s="19" t="str">
        <f>IFERROR(__xludf.DUMMYFUNCTION("""COMPUTED_VALUE"""),"Si II 5041.03")</f>
        <v>Si II 5041.03</v>
      </c>
      <c r="G14" s="15">
        <f>IFERROR(__xludf.DUMMYFUNCTION("""COMPUTED_VALUE"""),2.9)</f>
        <v>2.9</v>
      </c>
      <c r="H14" s="19" t="str">
        <f>IFERROR(__xludf.DUMMYFUNCTION("""COMPUTED_VALUE"""),"11, 101B")</f>
        <v>11, 101B</v>
      </c>
      <c r="I14" s="19" t="str">
        <f>IFERROR(__xludf.DUMMYFUNCTION("""COMPUTED_VALUE"""),"No clear diffuse, Seen in YSO-c and GLOB-F (blushifted and just outside region box)")</f>
        <v>No clear diffuse, Seen in YSO-c and GLOB-F (blushifted and just outside region box)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8">
        <f>IFERROR(__xludf.DUMMYFUNCTION("""COMPUTED_VALUE"""),360.0)</f>
        <v>360</v>
      </c>
      <c r="B15" s="19" t="str">
        <f>IFERROR(__xludf.DUMMYFUNCTION("""COMPUTED_VALUE"""),"GLOB-E")</f>
        <v>GLOB-E</v>
      </c>
      <c r="C15" s="15">
        <f>IFERROR(__xludf.DUMMYFUNCTION("""COMPUTED_VALUE"""),5049.94482421875)</f>
        <v>5049.944824</v>
      </c>
      <c r="D15" s="15">
        <f>IFERROR(__xludf.DUMMYFUNCTION("""COMPUTED_VALUE"""),5047.36)</f>
        <v>5047.36</v>
      </c>
      <c r="E15" s="19" t="str">
        <f>IFERROR(__xludf.DUMMYFUNCTION("""COMPUTED_VALUE"""),"Med Neb")</f>
        <v>Med Neb</v>
      </c>
      <c r="F15" s="19" t="str">
        <f>IFERROR(__xludf.DUMMYFUNCTION("""COMPUTED_VALUE"""),"He I 5047.74")</f>
        <v>He I 5047.74</v>
      </c>
      <c r="G15" s="15">
        <f>IFERROR(__xludf.DUMMYFUNCTION("""COMPUTED_VALUE"""),4.0)</f>
        <v>4</v>
      </c>
      <c r="H15" s="19">
        <f>IFERROR(__xludf.DUMMYFUNCTION("""COMPUTED_VALUE"""),11.0)</f>
        <v>11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8">
        <f>IFERROR(__xludf.DUMMYFUNCTION("""COMPUTED_VALUE"""),367.0)</f>
        <v>367</v>
      </c>
      <c r="B16" s="19" t="str">
        <f>IFERROR(__xludf.DUMMYFUNCTION("""COMPUTED_VALUE"""),"GLOB-E")</f>
        <v>GLOB-E</v>
      </c>
      <c r="C16" s="15">
        <f>IFERROR(__xludf.DUMMYFUNCTION("""COMPUTED_VALUE"""),5058.69482421875)</f>
        <v>5058.694824</v>
      </c>
      <c r="D16" s="15">
        <f>IFERROR(__xludf.DUMMYFUNCTION("""COMPUTED_VALUE"""),5056.14)</f>
        <v>5056.14</v>
      </c>
      <c r="E16" s="19" t="str">
        <f>IFERROR(__xludf.DUMMYFUNCTION("""COMPUTED_VALUE"""),"Med Perm")</f>
        <v>Med Perm</v>
      </c>
      <c r="F16" s="19" t="str">
        <f>IFERROR(__xludf.DUMMYFUNCTION("""COMPUTED_VALUE"""),"Si II 5055.98")</f>
        <v>Si II 5055.98</v>
      </c>
      <c r="G16" s="15">
        <f>IFERROR(__xludf.DUMMYFUNCTION("""COMPUTED_VALUE"""),7.3)</f>
        <v>7.3</v>
      </c>
      <c r="H16" s="19">
        <f>IFERROR(__xludf.DUMMYFUNCTION("""COMPUTED_VALUE"""),11.0)</f>
        <v>11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8">
        <f>IFERROR(__xludf.DUMMYFUNCTION("""COMPUTED_VALUE"""),449.0)</f>
        <v>449</v>
      </c>
      <c r="B17" s="19" t="str">
        <f>IFERROR(__xludf.DUMMYFUNCTION("""COMPUTED_VALUE"""),"GLOB-E")</f>
        <v>GLOB-E</v>
      </c>
      <c r="C17" s="15">
        <f>IFERROR(__xludf.DUMMYFUNCTION("""COMPUTED_VALUE"""),5161.19482421875)</f>
        <v>5161.194824</v>
      </c>
      <c r="D17" s="15">
        <f>IFERROR(__xludf.DUMMYFUNCTION("""COMPUTED_VALUE"""),5158.5)</f>
        <v>5158.5</v>
      </c>
      <c r="E17" s="19" t="str">
        <f>IFERROR(__xludf.DUMMYFUNCTION("""COMPUTED_VALUE"""),"Fe, Ni")</f>
        <v>Fe, Ni</v>
      </c>
      <c r="F17" s="19" t="str">
        <f>IFERROR(__xludf.DUMMYFUNCTION("""COMPUTED_VALUE"""),"[Fe II] 5158.81")</f>
        <v>[Fe II] 5158.81</v>
      </c>
      <c r="G17" s="15">
        <f>IFERROR(__xludf.DUMMYFUNCTION("""COMPUTED_VALUE"""),4.4)</f>
        <v>4.4</v>
      </c>
      <c r="H17" s="19">
        <f>IFERROR(__xludf.DUMMYFUNCTION("""COMPUTED_VALUE"""),11.0)</f>
        <v>11</v>
      </c>
      <c r="I17" s="19" t="str">
        <f>IFERROR(__xludf.DUMMYFUNCTION("""COMPUTED_VALUE"""),"No clear diffuse")</f>
        <v>No clear diffuse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8">
        <f>IFERROR(__xludf.DUMMYFUNCTION("""COMPUTED_VALUE"""),475.0)</f>
        <v>475</v>
      </c>
      <c r="B18" s="19" t="str">
        <f>IFERROR(__xludf.DUMMYFUNCTION("""COMPUTED_VALUE"""),"GLOB-E")</f>
        <v>GLOB-E</v>
      </c>
      <c r="C18" s="15">
        <f>IFERROR(__xludf.DUMMYFUNCTION("""COMPUTED_VALUE"""),5193.69482421875)</f>
        <v>5193.694824</v>
      </c>
      <c r="D18" s="15">
        <f>IFERROR(__xludf.DUMMYFUNCTION("""COMPUTED_VALUE"""),5191.18)</f>
        <v>5191.18</v>
      </c>
      <c r="E18" s="19" t="str">
        <f>IFERROR(__xludf.DUMMYFUNCTION("""COMPUTED_VALUE"""),"Med Neb")</f>
        <v>Med Neb</v>
      </c>
      <c r="F18" s="19" t="str">
        <f>IFERROR(__xludf.DUMMYFUNCTION("""COMPUTED_VALUE"""),"[Ar  III] 5191.82")</f>
        <v>[Ar  III] 5191.82</v>
      </c>
      <c r="G18" s="15">
        <f>IFERROR(__xludf.DUMMYFUNCTION("""COMPUTED_VALUE"""),1.8)</f>
        <v>1.8</v>
      </c>
      <c r="H18" s="19" t="str">
        <f>IFERROR(__xludf.DUMMYFUNCTION("""COMPUTED_VALUE"""),"11, 101")</f>
        <v>11, 101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8">
        <f>IFERROR(__xludf.DUMMYFUNCTION("""COMPUTED_VALUE"""),482.0)</f>
        <v>482</v>
      </c>
      <c r="B19" s="19" t="str">
        <f>IFERROR(__xludf.DUMMYFUNCTION("""COMPUTED_VALUE"""),"GLOB-E")</f>
        <v>GLOB-E</v>
      </c>
      <c r="C19" s="15">
        <f>IFERROR(__xludf.DUMMYFUNCTION("""COMPUTED_VALUE"""),5202.44482421875)</f>
        <v>5202.444824</v>
      </c>
      <c r="D19" s="15">
        <f>IFERROR(__xludf.DUMMYFUNCTION("""COMPUTED_VALUE"""),5199.1)</f>
        <v>5199.1</v>
      </c>
      <c r="E19" s="19" t="str">
        <f>IFERROR(__xludf.DUMMYFUNCTION("""COMPUTED_VALUE"""),"Neutral")</f>
        <v>Neutral</v>
      </c>
      <c r="F19" s="19" t="str">
        <f>IFERROR(__xludf.DUMMYFUNCTION("""COMPUTED_VALUE"""),"[N I]  5199.00")</f>
        <v>[N I]  5199.00</v>
      </c>
      <c r="G19" s="15">
        <f>IFERROR(__xludf.DUMMYFUNCTION("""COMPUTED_VALUE"""),6.5)</f>
        <v>6.5</v>
      </c>
      <c r="H19" s="19">
        <f>IFERROR(__xludf.DUMMYFUNCTION("""COMPUTED_VALUE"""),101.0)</f>
        <v>101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8">
        <f>IFERROR(__xludf.DUMMYFUNCTION("""COMPUTED_VALUE"""),737.0)</f>
        <v>737</v>
      </c>
      <c r="B20" s="19" t="str">
        <f>IFERROR(__xludf.DUMMYFUNCTION("""COMPUTED_VALUE"""),"GLOB-E")</f>
        <v>GLOB-E</v>
      </c>
      <c r="C20" s="15">
        <f>IFERROR(__xludf.DUMMYFUNCTION("""COMPUTED_VALUE"""),5521.19482421875)</f>
        <v>5521.194824</v>
      </c>
      <c r="D20" s="15">
        <f>IFERROR(__xludf.DUMMYFUNCTION("""COMPUTED_VALUE"""),5517.48)</f>
        <v>5517.48</v>
      </c>
      <c r="E20" s="19" t="str">
        <f>IFERROR(__xludf.DUMMYFUNCTION("""COMPUTED_VALUE"""),"Med Neb")</f>
        <v>Med Neb</v>
      </c>
      <c r="F20" s="19" t="str">
        <f>IFERROR(__xludf.DUMMYFUNCTION("""COMPUTED_VALUE"""),"[Cl III] 5517.71")</f>
        <v>[Cl III] 5517.71</v>
      </c>
      <c r="G20" s="15">
        <f>IFERROR(__xludf.DUMMYFUNCTION("""COMPUTED_VALUE"""),8.1)</f>
        <v>8.1</v>
      </c>
      <c r="H20" s="19" t="str">
        <f>IFERROR(__xludf.DUMMYFUNCTION("""COMPUTED_VALUE"""),"11, 101")</f>
        <v>11, 101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8">
        <f>IFERROR(__xludf.DUMMYFUNCTION("""COMPUTED_VALUE"""),753.0)</f>
        <v>753</v>
      </c>
      <c r="B21" s="19" t="str">
        <f>IFERROR(__xludf.DUMMYFUNCTION("""COMPUTED_VALUE"""),"GLOB-E")</f>
        <v>GLOB-E</v>
      </c>
      <c r="C21" s="15">
        <f>IFERROR(__xludf.DUMMYFUNCTION("""COMPUTED_VALUE"""),5541.19482421875)</f>
        <v>5541.194824</v>
      </c>
      <c r="D21" s="15">
        <f>IFERROR(__xludf.DUMMYFUNCTION("""COMPUTED_VALUE"""),5537.66)</f>
        <v>5537.66</v>
      </c>
      <c r="E21" s="19" t="str">
        <f>IFERROR(__xludf.DUMMYFUNCTION("""COMPUTED_VALUE"""),"Med Neb")</f>
        <v>Med Neb</v>
      </c>
      <c r="F21" s="19" t="str">
        <f>IFERROR(__xludf.DUMMYFUNCTION("""COMPUTED_VALUE"""),"[Cl III]] 5537.88")</f>
        <v>[Cl III]] 5537.88</v>
      </c>
      <c r="G21" s="15">
        <f>IFERROR(__xludf.DUMMYFUNCTION("""COMPUTED_VALUE"""),5.2)</f>
        <v>5.2</v>
      </c>
      <c r="H21" s="19" t="str">
        <f>IFERROR(__xludf.DUMMYFUNCTION("""COMPUTED_VALUE"""),"11, 101")</f>
        <v>11, 101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8">
        <f>IFERROR(__xludf.DUMMYFUNCTION("""COMPUTED_VALUE"""),914.0)</f>
        <v>914</v>
      </c>
      <c r="B22" s="19" t="str">
        <f>IFERROR(__xludf.DUMMYFUNCTION("""COMPUTED_VALUE"""),"BS")</f>
        <v>BS</v>
      </c>
      <c r="C22" s="15">
        <f>IFERROR(__xludf.DUMMYFUNCTION("""COMPUTED_VALUE"""),5742.44482421875)</f>
        <v>5742.444824</v>
      </c>
      <c r="D22" s="15">
        <f>IFERROR(__xludf.DUMMYFUNCTION("""COMPUTED_VALUE"""),5739.64)</f>
        <v>5739.64</v>
      </c>
      <c r="E22" s="19" t="str">
        <f>IFERROR(__xludf.DUMMYFUNCTION("""COMPUTED_VALUE"""),"High Perm")</f>
        <v>High Perm</v>
      </c>
      <c r="F22" s="19" t="str">
        <f>IFERROR(__xludf.DUMMYFUNCTION("""COMPUTED_VALUE"""),"Si III 5739.73")</f>
        <v>Si III 5739.73</v>
      </c>
      <c r="G22" s="15">
        <f>IFERROR(__xludf.DUMMYFUNCTION("""COMPUTED_VALUE"""),2.3)</f>
        <v>2.3</v>
      </c>
      <c r="H22" s="19"/>
      <c r="I22" s="19" t="str">
        <f>IFERROR(__xludf.DUMMYFUNCTION("""COMPUTED_VALUE"""),"Unique line! Is it recombination or fluorescence?")</f>
        <v>Unique line! Is it recombination or fluorescence?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8">
        <f>IFERROR(__xludf.DUMMYFUNCTION("""COMPUTED_VALUE"""),926.0)</f>
        <v>926</v>
      </c>
      <c r="B23" s="19" t="str">
        <f>IFERROR(__xludf.DUMMYFUNCTION("""COMPUTED_VALUE"""),"GLOB-E")</f>
        <v>GLOB-E</v>
      </c>
      <c r="C23" s="15">
        <f>IFERROR(__xludf.DUMMYFUNCTION("""COMPUTED_VALUE"""),5757.44482421875)</f>
        <v>5757.444824</v>
      </c>
      <c r="D23" s="15">
        <f>IFERROR(__xludf.DUMMYFUNCTION("""COMPUTED_VALUE"""),5754.69)</f>
        <v>5754.69</v>
      </c>
      <c r="E23" s="19" t="str">
        <f>IFERROR(__xludf.DUMMYFUNCTION("""COMPUTED_VALUE"""),"Low Neb")</f>
        <v>Low Neb</v>
      </c>
      <c r="F23" s="19" t="str">
        <f>IFERROR(__xludf.DUMMYFUNCTION("""COMPUTED_VALUE"""),"[N II] 5755.08")</f>
        <v>[N II] 5755.08</v>
      </c>
      <c r="G23" s="15">
        <f>IFERROR(__xludf.DUMMYFUNCTION("""COMPUTED_VALUE"""),4.7)</f>
        <v>4.7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8">
        <f>IFERROR(__xludf.DUMMYFUNCTION("""COMPUTED_VALUE"""),1023.0)</f>
        <v>1023</v>
      </c>
      <c r="B24" s="19" t="str">
        <f>IFERROR(__xludf.DUMMYFUNCTION("""COMPUTED_VALUE"""),"GLOB-E")</f>
        <v>GLOB-E</v>
      </c>
      <c r="C24" s="15">
        <f>IFERROR(__xludf.DUMMYFUNCTION("""COMPUTED_VALUE"""),5878.69482421875)</f>
        <v>5878.694824</v>
      </c>
      <c r="D24" s="15">
        <f>IFERROR(__xludf.DUMMYFUNCTION("""COMPUTED_VALUE"""),5875.53)</f>
        <v>5875.53</v>
      </c>
      <c r="E24" s="19" t="str">
        <f>IFERROR(__xludf.DUMMYFUNCTION("""COMPUTED_VALUE"""),"Med Neb")</f>
        <v>Med Neb</v>
      </c>
      <c r="F24" s="19" t="str">
        <f>IFERROR(__xludf.DUMMYFUNCTION("""COMPUTED_VALUE"""),"He I 5875.62")</f>
        <v>He I 5875.62</v>
      </c>
      <c r="G24" s="15">
        <f>IFERROR(__xludf.DUMMYFUNCTION("""COMPUTED_VALUE"""),290.0)</f>
        <v>290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8">
        <f>IFERROR(__xludf.DUMMYFUNCTION("""COMPUTED_VALUE"""),1089.0)</f>
        <v>1089</v>
      </c>
      <c r="B25" s="19" t="str">
        <f>IFERROR(__xludf.DUMMYFUNCTION("""COMPUTED_VALUE"""),"GLOB-E")</f>
        <v>GLOB-E</v>
      </c>
      <c r="C25" s="15">
        <f>IFERROR(__xludf.DUMMYFUNCTION("""COMPUTED_VALUE"""),5961.19482421875)</f>
        <v>5961.194824</v>
      </c>
      <c r="D25" s="15">
        <f>IFERROR(__xludf.DUMMYFUNCTION("""COMPUTED_VALUE"""),5957.68)</f>
        <v>5957.68</v>
      </c>
      <c r="E25" s="19" t="str">
        <f>IFERROR(__xludf.DUMMYFUNCTION("""COMPUTED_VALUE"""),"Med Perm")</f>
        <v>Med Perm</v>
      </c>
      <c r="F25" s="19" t="str">
        <f>IFERROR(__xludf.DUMMYFUNCTION("""COMPUTED_VALUE"""),"Si II 5957.56")</f>
        <v>Si II 5957.56</v>
      </c>
      <c r="G25" s="15">
        <f>IFERROR(__xludf.DUMMYFUNCTION("""COMPUTED_VALUE"""),2.3)</f>
        <v>2.3</v>
      </c>
      <c r="H25" s="19" t="str">
        <f>IFERROR(__xludf.DUMMYFUNCTION("""COMPUTED_VALUE"""),"11, 101")</f>
        <v>11, 101</v>
      </c>
      <c r="I25" s="19" t="str">
        <f>IFERROR(__xludf.DUMMYFUNCTION("""COMPUTED_VALUE"""),"Faintly detected from neutral region")</f>
        <v>Faintly detected from neutral region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8">
        <f>IFERROR(__xludf.DUMMYFUNCTION("""COMPUTED_VALUE"""),1106.0)</f>
        <v>1106</v>
      </c>
      <c r="B26" s="19" t="str">
        <f>IFERROR(__xludf.DUMMYFUNCTION("""COMPUTED_VALUE"""),"GLOB-E")</f>
        <v>GLOB-E</v>
      </c>
      <c r="C26" s="15">
        <f>IFERROR(__xludf.DUMMYFUNCTION("""COMPUTED_VALUE"""),5982.44482421875)</f>
        <v>5982.444824</v>
      </c>
      <c r="D26" s="15">
        <f>IFERROR(__xludf.DUMMYFUNCTION("""COMPUTED_VALUE"""),5979.16)</f>
        <v>5979.16</v>
      </c>
      <c r="E26" s="19" t="str">
        <f>IFERROR(__xludf.DUMMYFUNCTION("""COMPUTED_VALUE"""),"Med Perm")</f>
        <v>Med Perm</v>
      </c>
      <c r="F26" s="19" t="str">
        <f>IFERROR(__xludf.DUMMYFUNCTION("""COMPUTED_VALUE"""),"Si II 5978.93")</f>
        <v>Si II 5978.93</v>
      </c>
      <c r="G26" s="15">
        <f>IFERROR(__xludf.DUMMYFUNCTION("""COMPUTED_VALUE"""),4.7)</f>
        <v>4.7</v>
      </c>
      <c r="H26" s="19">
        <f>IFERROR(__xludf.DUMMYFUNCTION("""COMPUTED_VALUE"""),101.0)</f>
        <v>101</v>
      </c>
      <c r="I26" s="19" t="str">
        <f>IFERROR(__xludf.DUMMYFUNCTION("""COMPUTED_VALUE"""),"Clearly detected from neutral region")</f>
        <v>Clearly detected from neutral region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8">
        <f>IFERROR(__xludf.DUMMYFUNCTION("""COMPUTED_VALUE"""),1160.0)</f>
        <v>1160</v>
      </c>
      <c r="B27" s="19" t="str">
        <f>IFERROR(__xludf.DUMMYFUNCTION("""COMPUTED_VALUE"""),"GLOB-E")</f>
        <v>GLOB-E</v>
      </c>
      <c r="C27" s="15">
        <f>IFERROR(__xludf.DUMMYFUNCTION("""COMPUTED_VALUE"""),6049.94482421875)</f>
        <v>6049.944824</v>
      </c>
      <c r="D27" s="15">
        <f>IFERROR(__xludf.DUMMYFUNCTION("""COMPUTED_VALUE"""),6046.4)</f>
        <v>6046.4</v>
      </c>
      <c r="E27" s="19" t="str">
        <f>IFERROR(__xludf.DUMMYFUNCTION("""COMPUTED_VALUE"""),"Low Perm")</f>
        <v>Low Perm</v>
      </c>
      <c r="F27" s="19" t="str">
        <f>IFERROR(__xludf.DUMMYFUNCTION("""COMPUTED_VALUE"""),"O I 6046.23")</f>
        <v>O I 6046.23</v>
      </c>
      <c r="G27" s="15">
        <f>IFERROR(__xludf.DUMMYFUNCTION("""COMPUTED_VALUE"""),2.3)</f>
        <v>2.3</v>
      </c>
      <c r="H27" s="19" t="str">
        <f>IFERROR(__xludf.DUMMYFUNCTION("""COMPUTED_VALUE"""),"11, 101")</f>
        <v>11, 101</v>
      </c>
      <c r="I27" s="19" t="str">
        <f>IFERROR(__xludf.DUMMYFUNCTION("""COMPUTED_VALUE"""),"Diffuse emission very weak. Strong from YSO")</f>
        <v>Diffuse emission very weak. Strong from YSO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8">
        <f>IFERROR(__xludf.DUMMYFUNCTION("""COMPUTED_VALUE"""),1204.0)</f>
        <v>1204</v>
      </c>
      <c r="B28" s="19" t="str">
        <f>IFERROR(__xludf.DUMMYFUNCTION("""COMPUTED_VALUE"""),"BS")</f>
        <v>BS</v>
      </c>
      <c r="C28" s="15">
        <f>IFERROR(__xludf.DUMMYFUNCTION("""COMPUTED_VALUE"""),6104.94482421875)</f>
        <v>6104.944824</v>
      </c>
      <c r="D28" s="15">
        <f>IFERROR(__xludf.DUMMYFUNCTION("""COMPUTED_VALUE"""),6101.81)</f>
        <v>6101.81</v>
      </c>
      <c r="E28" s="19" t="str">
        <f>IFERROR(__xludf.DUMMYFUNCTION("""COMPUTED_VALUE"""),"High Neb")</f>
        <v>High Neb</v>
      </c>
      <c r="F28" s="19" t="str">
        <f>IFERROR(__xludf.DUMMYFUNCTION("""COMPUTED_VALUE"""),"[K IV] 6101.79")</f>
        <v>[K IV] 6101.79</v>
      </c>
      <c r="G28" s="15">
        <f>IFERROR(__xludf.DUMMYFUNCTION("""COMPUTED_VALUE"""),4.2)</f>
        <v>4.2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8">
        <f>IFERROR(__xludf.DUMMYFUNCTION("""COMPUTED_VALUE"""),1268.0)</f>
        <v>1268</v>
      </c>
      <c r="B29" s="19" t="str">
        <f>IFERROR(__xludf.DUMMYFUNCTION("""COMPUTED_VALUE"""),"GLOB-E")</f>
        <v>GLOB-E</v>
      </c>
      <c r="C29" s="15">
        <f>IFERROR(__xludf.DUMMYFUNCTION("""COMPUTED_VALUE"""),6184.94482421875)</f>
        <v>6184.944824</v>
      </c>
      <c r="D29" s="15">
        <f>IFERROR(__xludf.DUMMYFUNCTION("""COMPUTED_VALUE"""),6180.27)</f>
        <v>6180.27</v>
      </c>
      <c r="E29" s="19" t="str">
        <f>IFERROR(__xludf.DUMMYFUNCTION("""COMPUTED_VALUE"""),"Deep Neutral")</f>
        <v>Deep Neutral</v>
      </c>
      <c r="F29" s="19" t="str">
        <f>IFERROR(__xludf.DUMMYFUNCTION("""COMPUTED_VALUE"""),"UIL")</f>
        <v>UIL</v>
      </c>
      <c r="G29" s="15">
        <f>IFERROR(__xludf.DUMMYFUNCTION("""COMPUTED_VALUE"""),0.9)</f>
        <v>0.9</v>
      </c>
      <c r="H29" s="19"/>
      <c r="I29" s="19" t="str">
        <f>IFERROR(__xludf.DUMMYFUNCTION("""COMPUTED_VALUE"""),"Very very weak. Marginal detection")</f>
        <v>Very very weak. Marginal detection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8">
        <f>IFERROR(__xludf.DUMMYFUNCTION("""COMPUTED_VALUE"""),1300.0)</f>
        <v>1300</v>
      </c>
      <c r="B30" s="19" t="str">
        <f>IFERROR(__xludf.DUMMYFUNCTION("""COMPUTED_VALUE"""),"GLOB-E")</f>
        <v>GLOB-E</v>
      </c>
      <c r="C30" s="15">
        <f>IFERROR(__xludf.DUMMYFUNCTION("""COMPUTED_VALUE"""),6224.94482421875)</f>
        <v>6224.944824</v>
      </c>
      <c r="D30" s="15">
        <f>IFERROR(__xludf.DUMMYFUNCTION("""COMPUTED_VALUE"""),6220.43)</f>
        <v>6220.43</v>
      </c>
      <c r="E30" s="19" t="str">
        <f>IFERROR(__xludf.DUMMYFUNCTION("""COMPUTED_VALUE"""),"Deep Neutral")</f>
        <v>Deep Neutral</v>
      </c>
      <c r="F30" s="19" t="str">
        <f>IFERROR(__xludf.DUMMYFUNCTION("""COMPUTED_VALUE"""),"UIL")</f>
        <v>UIL</v>
      </c>
      <c r="G30" s="15">
        <f>IFERROR(__xludf.DUMMYFUNCTION("""COMPUTED_VALUE"""),2.4)</f>
        <v>2.4</v>
      </c>
      <c r="H30" s="19" t="str">
        <f>IFERROR(__xludf.DUMMYFUNCTION("""COMPUTED_VALUE"""),"101B")</f>
        <v>101B</v>
      </c>
      <c r="I30" s="19" t="str">
        <f>IFERROR(__xludf.DUMMYFUNCTION("""COMPUTED_VALUE"""),"This is the bluest UIL that is absolutely definite. Clear signal in all the GLOB anf FIL regions")</f>
        <v>This is the bluest UIL that is absolutely definite. Clear signal in all the GLOB anf FIL regions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8">
        <f>IFERROR(__xludf.DUMMYFUNCTION("""COMPUTED_VALUE"""),1312.0)</f>
        <v>1312</v>
      </c>
      <c r="B31" s="19" t="str">
        <f>IFERROR(__xludf.DUMMYFUNCTION("""COMPUTED_VALUE"""),"GLOB-E")</f>
        <v>GLOB-E</v>
      </c>
      <c r="C31" s="15">
        <f>IFERROR(__xludf.DUMMYFUNCTION("""COMPUTED_VALUE"""),6239.94482421875)</f>
        <v>6239.944824</v>
      </c>
      <c r="D31" s="15">
        <f>IFERROR(__xludf.DUMMYFUNCTION("""COMPUTED_VALUE"""),6236.34)</f>
        <v>6236.34</v>
      </c>
      <c r="E31" s="19" t="str">
        <f>IFERROR(__xludf.DUMMYFUNCTION("""COMPUTED_VALUE"""),"Deep Neutral?")</f>
        <v>Deep Neutral?</v>
      </c>
      <c r="F31" s="19" t="str">
        <f>IFERROR(__xludf.DUMMYFUNCTION("""COMPUTED_VALUE"""),"UIL")</f>
        <v>UIL</v>
      </c>
      <c r="G31" s="15">
        <f>IFERROR(__xludf.DUMMYFUNCTION("""COMPUTED_VALUE"""),1.2)</f>
        <v>1.2</v>
      </c>
      <c r="H31" s="19" t="str">
        <f>IFERROR(__xludf.DUMMYFUNCTION("""COMPUTED_VALUE"""),"101B")</f>
        <v>101B</v>
      </c>
      <c r="I31" s="19" t="str">
        <f>IFERROR(__xludf.DUMMYFUNCTION("""COMPUTED_VALUE"""),"Marginal")</f>
        <v>Marginal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8">
        <f>IFERROR(__xludf.DUMMYFUNCTION("""COMPUTED_VALUE"""),1322.0)</f>
        <v>1322</v>
      </c>
      <c r="B32" s="19" t="str">
        <f>IFERROR(__xludf.DUMMYFUNCTION("""COMPUTED_VALUE"""),"GLOB-E")</f>
        <v>GLOB-E</v>
      </c>
      <c r="C32" s="15">
        <f>IFERROR(__xludf.DUMMYFUNCTION("""COMPUTED_VALUE"""),6252.44482421875)</f>
        <v>6252.444824</v>
      </c>
      <c r="D32" s="15">
        <f>IFERROR(__xludf.DUMMYFUNCTION("""COMPUTED_VALUE"""),6246.55)</f>
        <v>6246.55</v>
      </c>
      <c r="E32" s="19" t="str">
        <f>IFERROR(__xludf.DUMMYFUNCTION("""COMPUTED_VALUE"""),"Deep Neutral?")</f>
        <v>Deep Neutral?</v>
      </c>
      <c r="F32" s="19" t="str">
        <f>IFERROR(__xludf.DUMMYFUNCTION("""COMPUTED_VALUE"""),"UIL")</f>
        <v>UIL</v>
      </c>
      <c r="G32" s="15">
        <f>IFERROR(__xludf.DUMMYFUNCTION("""COMPUTED_VALUE"""),0.3)</f>
        <v>0.3</v>
      </c>
      <c r="H32" s="19" t="str">
        <f>IFERROR(__xludf.DUMMYFUNCTION("""COMPUTED_VALUE"""),"101B")</f>
        <v>101B</v>
      </c>
      <c r="I32" s="19" t="str">
        <f>IFERROR(__xludf.DUMMYFUNCTION("""COMPUTED_VALUE"""),"Very marginal")</f>
        <v>Very marginal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8">
        <f>IFERROR(__xludf.DUMMYFUNCTION("""COMPUTED_VALUE"""),1332.0)</f>
        <v>1332</v>
      </c>
      <c r="B33" s="19" t="str">
        <f>IFERROR(__xludf.DUMMYFUNCTION("""COMPUTED_VALUE"""),"GLOB-E")</f>
        <v>GLOB-E</v>
      </c>
      <c r="C33" s="15">
        <f>IFERROR(__xludf.DUMMYFUNCTION("""COMPUTED_VALUE"""),6264.94482421875)</f>
        <v>6264.944824</v>
      </c>
      <c r="D33" s="15">
        <f>IFERROR(__xludf.DUMMYFUNCTION("""COMPUTED_VALUE"""),6260.8)</f>
        <v>6260.8</v>
      </c>
      <c r="E33" s="19" t="str">
        <f>IFERROR(__xludf.DUMMYFUNCTION("""COMPUTED_VALUE"""),"Deep Neutral?")</f>
        <v>Deep Neutral?</v>
      </c>
      <c r="F33" s="19" t="str">
        <f>IFERROR(__xludf.DUMMYFUNCTION("""COMPUTED_VALUE"""),"UIL")</f>
        <v>UIL</v>
      </c>
      <c r="G33" s="15">
        <f>IFERROR(__xludf.DUMMYFUNCTION("""COMPUTED_VALUE"""),0.4)</f>
        <v>0.4</v>
      </c>
      <c r="H33" s="19" t="str">
        <f>IFERROR(__xludf.DUMMYFUNCTION("""COMPUTED_VALUE"""),"101B")</f>
        <v>101B</v>
      </c>
      <c r="I33" s="19" t="str">
        <f>IFERROR(__xludf.DUMMYFUNCTION("""COMPUTED_VALUE"""),"These last 3 look vaguely like #1300 but weaker")</f>
        <v>These last 3 look vaguely like #1300 but weaker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8">
        <f>IFERROR(__xludf.DUMMYFUNCTION("""COMPUTED_VALUE"""),1339.0)</f>
        <v>1339</v>
      </c>
      <c r="B34" s="19" t="str">
        <f>IFERROR(__xludf.DUMMYFUNCTION("""COMPUTED_VALUE"""),"GLOB-E")</f>
        <v>GLOB-E</v>
      </c>
      <c r="C34" s="15">
        <f>IFERROR(__xludf.DUMMYFUNCTION("""COMPUTED_VALUE"""),6273.69482421875)</f>
        <v>6273.694824</v>
      </c>
      <c r="D34" s="15">
        <f>IFERROR(__xludf.DUMMYFUNCTION("""COMPUTED_VALUE"""),6270.59)</f>
        <v>6270.59</v>
      </c>
      <c r="E34" s="19" t="str">
        <f>IFERROR(__xludf.DUMMYFUNCTION("""COMPUTED_VALUE"""),"Deep Neutral")</f>
        <v>Deep Neutral</v>
      </c>
      <c r="F34" s="19" t="str">
        <f>IFERROR(__xludf.DUMMYFUNCTION("""COMPUTED_VALUE"""),"UIL")</f>
        <v>UIL</v>
      </c>
      <c r="G34" s="15">
        <f>IFERROR(__xludf.DUMMYFUNCTION("""COMPUTED_VALUE"""),2.7)</f>
        <v>2.7</v>
      </c>
      <c r="H34" s="19" t="str">
        <f>IFERROR(__xludf.DUMMYFUNCTION("""COMPUTED_VALUE"""),"11, 101")</f>
        <v>11, 101</v>
      </c>
      <c r="I34" s="19" t="str">
        <f>IFERROR(__xludf.DUMMYFUNCTION("""COMPUTED_VALUE"""),"Clear detection but seems blended with sky line")</f>
        <v>Clear detection but seems blended with sky line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8">
        <f>IFERROR(__xludf.DUMMYFUNCTION("""COMPUTED_VALUE"""),1363.0)</f>
        <v>1363</v>
      </c>
      <c r="B35" s="19" t="str">
        <f>IFERROR(__xludf.DUMMYFUNCTION("""COMPUTED_VALUE"""),"GLOB-E")</f>
        <v>GLOB-E</v>
      </c>
      <c r="C35" s="15">
        <f>IFERROR(__xludf.DUMMYFUNCTION("""COMPUTED_VALUE"""),6303.69482421875)</f>
        <v>6303.694824</v>
      </c>
      <c r="D35" s="15">
        <f>IFERROR(__xludf.DUMMYFUNCTION("""COMPUTED_VALUE"""),6300.38)</f>
        <v>6300.38</v>
      </c>
      <c r="E35" s="19" t="str">
        <f>IFERROR(__xludf.DUMMYFUNCTION("""COMPUTED_VALUE"""),"Low Neb")</f>
        <v>Low Neb</v>
      </c>
      <c r="F35" s="19" t="str">
        <f>IFERROR(__xludf.DUMMYFUNCTION("""COMPUTED_VALUE"""),"[O I] 6300.30")</f>
        <v>[O I] 6300.30</v>
      </c>
      <c r="G35" s="15">
        <f>IFERROR(__xludf.DUMMYFUNCTION("""COMPUTED_VALUE"""),70.0)</f>
        <v>70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8">
        <f>IFERROR(__xludf.DUMMYFUNCTION("""COMPUTED_VALUE"""),1372.0)</f>
        <v>1372</v>
      </c>
      <c r="B36" s="19" t="str">
        <f>IFERROR(__xludf.DUMMYFUNCTION("""COMPUTED_VALUE"""),"GLOB-E")</f>
        <v>GLOB-E</v>
      </c>
      <c r="C36" s="15">
        <f>IFERROR(__xludf.DUMMYFUNCTION("""COMPUTED_VALUE"""),6314.94482421875)</f>
        <v>6314.944824</v>
      </c>
      <c r="D36" s="15">
        <f>IFERROR(__xludf.DUMMYFUNCTION("""COMPUTED_VALUE"""),6311.9)</f>
        <v>6311.9</v>
      </c>
      <c r="E36" s="19" t="str">
        <f>IFERROR(__xludf.DUMMYFUNCTION("""COMPUTED_VALUE"""),"Med Neb")</f>
        <v>Med Neb</v>
      </c>
      <c r="F36" s="19" t="str">
        <f>IFERROR(__xludf.DUMMYFUNCTION("""COMPUTED_VALUE"""),"[S III] 6312.06")</f>
        <v>[S III] 6312.06</v>
      </c>
      <c r="G36" s="15">
        <f>IFERROR(__xludf.DUMMYFUNCTION("""COMPUTED_VALUE"""),26.0)</f>
        <v>26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8">
        <f>IFERROR(__xludf.DUMMYFUNCTION("""COMPUTED_VALUE"""),1401.0)</f>
        <v>1401</v>
      </c>
      <c r="B37" s="19" t="str">
        <f>IFERROR(__xludf.DUMMYFUNCTION("""COMPUTED_VALUE"""),"GLOB-E")</f>
        <v>GLOB-E</v>
      </c>
      <c r="C37" s="15">
        <f>IFERROR(__xludf.DUMMYFUNCTION("""COMPUTED_VALUE"""),6351.19482421875)</f>
        <v>6351.194824</v>
      </c>
      <c r="D37" s="15">
        <f>IFERROR(__xludf.DUMMYFUNCTION("""COMPUTED_VALUE"""),6347.15)</f>
        <v>6347.15</v>
      </c>
      <c r="E37" s="19" t="str">
        <f>IFERROR(__xludf.DUMMYFUNCTION("""COMPUTED_VALUE"""),"Med Perm")</f>
        <v>Med Perm</v>
      </c>
      <c r="F37" s="19" t="str">
        <f>IFERROR(__xludf.DUMMYFUNCTION("""COMPUTED_VALUE"""),"Si II 6347.11")</f>
        <v>Si II 6347.11</v>
      </c>
      <c r="G37" s="15">
        <f>IFERROR(__xludf.DUMMYFUNCTION("""COMPUTED_VALUE"""),5.2)</f>
        <v>5.2</v>
      </c>
      <c r="H37" s="19">
        <f>IFERROR(__xludf.DUMMYFUNCTION("""COMPUTED_VALUE"""),11.0)</f>
        <v>11</v>
      </c>
      <c r="I37" s="19" t="str">
        <f>IFERROR(__xludf.DUMMYFUNCTION("""COMPUTED_VALUE"""),"Clear but faint diffuse from neutral region")</f>
        <v>Clear but faint diffuse from neutral region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8">
        <f>IFERROR(__xludf.DUMMYFUNCTION("""COMPUTED_VALUE"""),1414.0)</f>
        <v>1414</v>
      </c>
      <c r="B38" s="19" t="str">
        <f>IFERROR(__xludf.DUMMYFUNCTION("""COMPUTED_VALUE"""),"GLOB-E")</f>
        <v>GLOB-E</v>
      </c>
      <c r="C38" s="15">
        <f>IFERROR(__xludf.DUMMYFUNCTION("""COMPUTED_VALUE"""),6367.44482421875)</f>
        <v>6367.444824</v>
      </c>
      <c r="D38" s="15">
        <f>IFERROR(__xludf.DUMMYFUNCTION("""COMPUTED_VALUE"""),6363.86)</f>
        <v>6363.86</v>
      </c>
      <c r="E38" s="19" t="str">
        <f>IFERROR(__xludf.DUMMYFUNCTION("""COMPUTED_VALUE"""),"Low Neb")</f>
        <v>Low Neb</v>
      </c>
      <c r="F38" s="19" t="str">
        <f>IFERROR(__xludf.DUMMYFUNCTION("""COMPUTED_VALUE"""),"[O I] 6363.78 ")</f>
        <v>[O I] 6363.78 </v>
      </c>
      <c r="G38" s="15">
        <f>IFERROR(__xludf.DUMMYFUNCTION("""COMPUTED_VALUE"""),24.0)</f>
        <v>24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8">
        <f>IFERROR(__xludf.DUMMYFUNCTION("""COMPUTED_VALUE"""),1420.0)</f>
        <v>1420</v>
      </c>
      <c r="B39" s="19" t="str">
        <f>IFERROR(__xludf.DUMMYFUNCTION("""COMPUTED_VALUE"""),"GLOB-E")</f>
        <v>GLOB-E</v>
      </c>
      <c r="C39" s="15">
        <f>IFERROR(__xludf.DUMMYFUNCTION("""COMPUTED_VALUE"""),6374.94482421875)</f>
        <v>6374.944824</v>
      </c>
      <c r="D39" s="15">
        <f>IFERROR(__xludf.DUMMYFUNCTION("""COMPUTED_VALUE"""),6371.35)</f>
        <v>6371.35</v>
      </c>
      <c r="E39" s="19" t="str">
        <f>IFERROR(__xludf.DUMMYFUNCTION("""COMPUTED_VALUE"""),"Med Perm")</f>
        <v>Med Perm</v>
      </c>
      <c r="F39" s="19" t="str">
        <f>IFERROR(__xludf.DUMMYFUNCTION("""COMPUTED_VALUE"""),"Si II 6371.36 ")</f>
        <v>Si II 6371.36 </v>
      </c>
      <c r="G39" s="15">
        <f>IFERROR(__xludf.DUMMYFUNCTION("""COMPUTED_VALUE"""),1.4)</f>
        <v>1.4</v>
      </c>
      <c r="H39" s="19">
        <f>IFERROR(__xludf.DUMMYFUNCTION("""COMPUTED_VALUE"""),101.0)</f>
        <v>101</v>
      </c>
      <c r="I39" s="19" t="str">
        <f>IFERROR(__xludf.DUMMYFUNCTION("""COMPUTED_VALUE"""),"Diffuse is not clear. Cont method 11 affected by [O I]")</f>
        <v>Diffuse is not clear. Cont method 11 affected by [O I]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8">
        <f>IFERROR(__xludf.DUMMYFUNCTION("""COMPUTED_VALUE"""),1470.0)</f>
        <v>1470</v>
      </c>
      <c r="B40" s="19" t="str">
        <f>IFERROR(__xludf.DUMMYFUNCTION("""COMPUTED_VALUE"""),"GLOB-E")</f>
        <v>GLOB-E</v>
      </c>
      <c r="C40" s="15">
        <f>IFERROR(__xludf.DUMMYFUNCTION("""COMPUTED_VALUE"""),6437.44482421875)</f>
        <v>6437.444824</v>
      </c>
      <c r="D40" s="15">
        <f>IFERROR(__xludf.DUMMYFUNCTION("""COMPUTED_VALUE"""),6433.9)</f>
        <v>6433.9</v>
      </c>
      <c r="E40" s="19" t="str">
        <f>IFERROR(__xludf.DUMMYFUNCTION("""COMPUTED_VALUE"""),"Deep Neutral?")</f>
        <v>Deep Neutral?</v>
      </c>
      <c r="F40" s="19" t="str">
        <f>IFERROR(__xludf.DUMMYFUNCTION("""COMPUTED_VALUE"""),"UIL")</f>
        <v>UIL</v>
      </c>
      <c r="G40" s="15">
        <f>IFERROR(__xludf.DUMMYFUNCTION("""COMPUTED_VALUE"""),1.2)</f>
        <v>1.2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8">
        <f>IFERROR(__xludf.DUMMYFUNCTION("""COMPUTED_VALUE"""),1484.0)</f>
        <v>1484</v>
      </c>
      <c r="B41" s="19" t="str">
        <f>IFERROR(__xludf.DUMMYFUNCTION("""COMPUTED_VALUE"""),"GLOB-E")</f>
        <v>GLOB-E</v>
      </c>
      <c r="C41" s="15">
        <f>IFERROR(__xludf.DUMMYFUNCTION("""COMPUTED_VALUE"""),6454.94482421875)</f>
        <v>6454.944824</v>
      </c>
      <c r="D41" s="15">
        <f>IFERROR(__xludf.DUMMYFUNCTION("""COMPUTED_VALUE"""),6451.0)</f>
        <v>6451</v>
      </c>
      <c r="E41" s="19" t="str">
        <f>IFERROR(__xludf.DUMMYFUNCTION("""COMPUTED_VALUE"""),"Neutral?")</f>
        <v>Neutral?</v>
      </c>
      <c r="F41" s="19" t="str">
        <f>IFERROR(__xludf.DUMMYFUNCTION("""COMPUTED_VALUE"""),"UIL")</f>
        <v>UIL</v>
      </c>
      <c r="G41" s="15">
        <f>IFERROR(__xludf.DUMMYFUNCTION("""COMPUTED_VALUE"""),1.7)</f>
        <v>1.7</v>
      </c>
      <c r="H41" s="19"/>
      <c r="I41" s="19" t="str">
        <f>IFERROR(__xludf.DUMMYFUNCTION("""COMPUTED_VALUE"""),"Filaments look spatially broader than in the deep neutral lines")</f>
        <v>Filaments look spatially broader than in the deep neutral lines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8">
        <f>IFERROR(__xludf.DUMMYFUNCTION("""COMPUTED_VALUE"""),1490.0)</f>
        <v>1490</v>
      </c>
      <c r="B42" s="19" t="str">
        <f>IFERROR(__xludf.DUMMYFUNCTION("""COMPUTED_VALUE"""),"GLOB-E")</f>
        <v>GLOB-E</v>
      </c>
      <c r="C42" s="15">
        <f>IFERROR(__xludf.DUMMYFUNCTION("""COMPUTED_VALUE"""),6462.44482421875)</f>
        <v>6462.444824</v>
      </c>
      <c r="D42" s="15">
        <f>IFERROR(__xludf.DUMMYFUNCTION("""COMPUTED_VALUE"""),6459.4)</f>
        <v>6459.4</v>
      </c>
      <c r="E42" s="19" t="str">
        <f>IFERROR(__xludf.DUMMYFUNCTION("""COMPUTED_VALUE"""),"Deep Neutral?")</f>
        <v>Deep Neutral?</v>
      </c>
      <c r="F42" s="19" t="str">
        <f>IFERROR(__xludf.DUMMYFUNCTION("""COMPUTED_VALUE"""),"UIL")</f>
        <v>UIL</v>
      </c>
      <c r="G42" s="15">
        <f>IFERROR(__xludf.DUMMYFUNCTION("""COMPUTED_VALUE"""),1.0)</f>
        <v>1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8">
        <f>IFERROR(__xludf.DUMMYFUNCTION("""COMPUTED_VALUE"""),1498.0)</f>
        <v>1498</v>
      </c>
      <c r="B43" s="19" t="str">
        <f>IFERROR(__xludf.DUMMYFUNCTION("""COMPUTED_VALUE"""),"GLOB-E")</f>
        <v>GLOB-E</v>
      </c>
      <c r="C43" s="15">
        <f>IFERROR(__xludf.DUMMYFUNCTION("""COMPUTED_VALUE"""),6472.44482421875)</f>
        <v>6472.444824</v>
      </c>
      <c r="D43" s="15">
        <f>IFERROR(__xludf.DUMMYFUNCTION("""COMPUTED_VALUE"""),6467.88)</f>
        <v>6467.88</v>
      </c>
      <c r="E43" s="19" t="str">
        <f>IFERROR(__xludf.DUMMYFUNCTION("""COMPUTED_VALUE"""),"Neutral?")</f>
        <v>Neutral?</v>
      </c>
      <c r="F43" s="19" t="str">
        <f>IFERROR(__xludf.DUMMYFUNCTION("""COMPUTED_VALUE"""),"UIL")</f>
        <v>UIL</v>
      </c>
      <c r="G43" s="15">
        <f>IFERROR(__xludf.DUMMYFUNCTION("""COMPUTED_VALUE"""),1.2)</f>
        <v>1.2</v>
      </c>
      <c r="H43" s="19"/>
      <c r="I43" s="19" t="str">
        <f>IFERROR(__xludf.DUMMYFUNCTION("""COMPUTED_VALUE"""),"Similar to #1484")</f>
        <v>Similar to #1484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8">
        <f>IFERROR(__xludf.DUMMYFUNCTION("""COMPUTED_VALUE"""),1512.0)</f>
        <v>1512</v>
      </c>
      <c r="B44" s="19" t="str">
        <f>IFERROR(__xludf.DUMMYFUNCTION("""COMPUTED_VALUE"""),"GLOB-E")</f>
        <v>GLOB-E</v>
      </c>
      <c r="C44" s="15">
        <f>IFERROR(__xludf.DUMMYFUNCTION("""COMPUTED_VALUE"""),6489.94482421875)</f>
        <v>6489.944824</v>
      </c>
      <c r="D44" s="15">
        <f>IFERROR(__xludf.DUMMYFUNCTION("""COMPUTED_VALUE"""),6486.05)</f>
        <v>6486.05</v>
      </c>
      <c r="E44" s="19" t="str">
        <f>IFERROR(__xludf.DUMMYFUNCTION("""COMPUTED_VALUE"""),"Deep Neutral?")</f>
        <v>Deep Neutral?</v>
      </c>
      <c r="F44" s="19" t="str">
        <f>IFERROR(__xludf.DUMMYFUNCTION("""COMPUTED_VALUE"""),"UIL")</f>
        <v>UIL</v>
      </c>
      <c r="G44" s="15">
        <f>IFERROR(__xludf.DUMMYFUNCTION("""COMPUTED_VALUE"""),1.1)</f>
        <v>1.1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8">
        <f>IFERROR(__xludf.DUMMYFUNCTION("""COMPUTED_VALUE"""),1524.0)</f>
        <v>1524</v>
      </c>
      <c r="B45" s="19" t="str">
        <f>IFERROR(__xludf.DUMMYFUNCTION("""COMPUTED_VALUE"""),"GLOB-E")</f>
        <v>GLOB-E</v>
      </c>
      <c r="C45" s="15">
        <f>IFERROR(__xludf.DUMMYFUNCTION("""COMPUTED_VALUE"""),6504.94482421875)</f>
        <v>6504.944824</v>
      </c>
      <c r="D45" s="15">
        <f>IFERROR(__xludf.DUMMYFUNCTION("""COMPUTED_VALUE"""),6501.82)</f>
        <v>6501.82</v>
      </c>
      <c r="E45" s="19" t="str">
        <f>IFERROR(__xludf.DUMMYFUNCTION("""COMPUTED_VALUE"""),"Deep Neutral?")</f>
        <v>Deep Neutral?</v>
      </c>
      <c r="F45" s="19" t="str">
        <f>IFERROR(__xludf.DUMMYFUNCTION("""COMPUTED_VALUE"""),"UIL")</f>
        <v>UIL</v>
      </c>
      <c r="G45" s="15">
        <f>IFERROR(__xludf.DUMMYFUNCTION("""COMPUTED_VALUE"""),2.0)</f>
        <v>2</v>
      </c>
      <c r="H45" s="19">
        <f>IFERROR(__xludf.DUMMYFUNCTION("""COMPUTED_VALUE"""),11.0)</f>
        <v>11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8">
        <f>IFERROR(__xludf.DUMMYFUNCTION("""COMPUTED_VALUE"""),1547.0)</f>
        <v>1547</v>
      </c>
      <c r="B46" s="19" t="str">
        <f>IFERROR(__xludf.DUMMYFUNCTION("""COMPUTED_VALUE"""),"GLOB-E")</f>
        <v>GLOB-E</v>
      </c>
      <c r="C46" s="15">
        <f>IFERROR(__xludf.DUMMYFUNCTION("""COMPUTED_VALUE"""),6533.69482421875)</f>
        <v>6533.694824</v>
      </c>
      <c r="D46" s="15">
        <f>IFERROR(__xludf.DUMMYFUNCTION("""COMPUTED_VALUE"""),6529.5)</f>
        <v>6529.5</v>
      </c>
      <c r="E46" s="19" t="str">
        <f>IFERROR(__xludf.DUMMYFUNCTION("""COMPUTED_VALUE"""),"Low Neb?")</f>
        <v>Low Neb?</v>
      </c>
      <c r="F46" s="19" t="str">
        <f>IFERROR(__xludf.DUMMYFUNCTION("""COMPUTED_VALUE"""),"UIL")</f>
        <v>UIL</v>
      </c>
      <c r="G46" s="15">
        <f>IFERROR(__xludf.DUMMYFUNCTION("""COMPUTED_VALUE"""),1.4)</f>
        <v>1.4</v>
      </c>
      <c r="H46" s="19" t="str">
        <f>IFERROR(__xludf.DUMMYFUNCTION("""COMPUTED_VALUE"""),"11, 101B")</f>
        <v>11, 101B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8">
        <f>IFERROR(__xludf.DUMMYFUNCTION("""COMPUTED_VALUE"""),1561.0)</f>
        <v>1561</v>
      </c>
      <c r="B47" s="19" t="str">
        <f>IFERROR(__xludf.DUMMYFUNCTION("""COMPUTED_VALUE"""),"GLOB-E")</f>
        <v>GLOB-E</v>
      </c>
      <c r="C47" s="15">
        <f>IFERROR(__xludf.DUMMYFUNCTION("""COMPUTED_VALUE"""),6551.19482421875)</f>
        <v>6551.194824</v>
      </c>
      <c r="D47" s="15">
        <f>IFERROR(__xludf.DUMMYFUNCTION("""COMPUTED_VALUE"""),6548.07)</f>
        <v>6548.07</v>
      </c>
      <c r="E47" s="19" t="str">
        <f>IFERROR(__xludf.DUMMYFUNCTION("""COMPUTED_VALUE"""),"Low Neb")</f>
        <v>Low Neb</v>
      </c>
      <c r="F47" s="19" t="str">
        <f>IFERROR(__xludf.DUMMYFUNCTION("""COMPUTED_VALUE"""),"[N II] 6548.05")</f>
        <v>[N II] 6548.05</v>
      </c>
      <c r="G47" s="15">
        <f>IFERROR(__xludf.DUMMYFUNCTION("""COMPUTED_VALUE"""),66.0)</f>
        <v>66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8">
        <f>IFERROR(__xludf.DUMMYFUNCTION("""COMPUTED_VALUE"""),1573.0)</f>
        <v>1573</v>
      </c>
      <c r="B48" s="19" t="str">
        <f>IFERROR(__xludf.DUMMYFUNCTION("""COMPUTED_VALUE"""),"GLOB-E")</f>
        <v>GLOB-E</v>
      </c>
      <c r="C48" s="15">
        <f>IFERROR(__xludf.DUMMYFUNCTION("""COMPUTED_VALUE"""),6566.19482421875)</f>
        <v>6566.194824</v>
      </c>
      <c r="D48" s="15">
        <f>IFERROR(__xludf.DUMMYFUNCTION("""COMPUTED_VALUE"""),6562.62)</f>
        <v>6562.62</v>
      </c>
      <c r="E48" s="19" t="str">
        <f>IFERROR(__xludf.DUMMYFUNCTION("""COMPUTED_VALUE"""),"Med Neb")</f>
        <v>Med Neb</v>
      </c>
      <c r="F48" s="19" t="str">
        <f>IFERROR(__xludf.DUMMYFUNCTION("""COMPUTED_VALUE"""),"H I 6562.79")</f>
        <v>H I 6562.79</v>
      </c>
      <c r="G48" s="15">
        <f>IFERROR(__xludf.DUMMYFUNCTION("""COMPUTED_VALUE"""),8200.0)</f>
        <v>8200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8">
        <f>IFERROR(__xludf.DUMMYFUNCTION("""COMPUTED_VALUE"""),1590.0)</f>
        <v>1590</v>
      </c>
      <c r="B49" s="19" t="str">
        <f>IFERROR(__xludf.DUMMYFUNCTION("""COMPUTED_VALUE"""),"GLOB-E")</f>
        <v>GLOB-E</v>
      </c>
      <c r="C49" s="15">
        <f>IFERROR(__xludf.DUMMYFUNCTION("""COMPUTED_VALUE"""),6587.44482421875)</f>
        <v>6587.444824</v>
      </c>
      <c r="D49" s="15">
        <f>IFERROR(__xludf.DUMMYFUNCTION("""COMPUTED_VALUE"""),6583.33)</f>
        <v>6583.33</v>
      </c>
      <c r="E49" s="19" t="str">
        <f>IFERROR(__xludf.DUMMYFUNCTION("""COMPUTED_VALUE"""),"Low Neb")</f>
        <v>Low Neb</v>
      </c>
      <c r="F49" s="19" t="str">
        <f>IFERROR(__xludf.DUMMYFUNCTION("""COMPUTED_VALUE"""),"[N II] 6583.45")</f>
        <v>[N II] 6583.45</v>
      </c>
      <c r="G49" s="15">
        <f>IFERROR(__xludf.DUMMYFUNCTION("""COMPUTED_VALUE"""),230.0)</f>
        <v>230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8">
        <f>IFERROR(__xludf.DUMMYFUNCTION("""COMPUTED_VALUE"""),1603.0)</f>
        <v>1603</v>
      </c>
      <c r="B50" s="19" t="str">
        <f>IFERROR(__xludf.DUMMYFUNCTION("""COMPUTED_VALUE"""),"GLOB-E")</f>
        <v>GLOB-E</v>
      </c>
      <c r="C50" s="15">
        <f>IFERROR(__xludf.DUMMYFUNCTION("""COMPUTED_VALUE"""),6603.69482421875)</f>
        <v>6603.694824</v>
      </c>
      <c r="D50" s="15">
        <f>IFERROR(__xludf.DUMMYFUNCTION("""COMPUTED_VALUE"""),6601.28)</f>
        <v>6601.28</v>
      </c>
      <c r="E50" s="19" t="str">
        <f>IFERROR(__xludf.DUMMYFUNCTION("""COMPUTED_VALUE"""),"Neutral?")</f>
        <v>Neutral?</v>
      </c>
      <c r="F50" s="19" t="str">
        <f>IFERROR(__xludf.DUMMYFUNCTION("""COMPUTED_VALUE"""),"UIL")</f>
        <v>UIL</v>
      </c>
      <c r="G50" s="15">
        <f>IFERROR(__xludf.DUMMYFUNCTION("""COMPUTED_VALUE"""),0.9)</f>
        <v>0.9</v>
      </c>
      <c r="H50" s="19" t="str">
        <f>IFERROR(__xludf.DUMMYFUNCTION("""COMPUTED_VALUE"""),"11, 101B")</f>
        <v>11, 101B</v>
      </c>
      <c r="I50" s="19" t="str">
        <f>IFERROR(__xludf.DUMMYFUNCTION("""COMPUTED_VALUE"""),"Weak ")</f>
        <v>Weak 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8">
        <f>IFERROR(__xludf.DUMMYFUNCTION("""COMPUTED_VALUE"""),1616.0)</f>
        <v>1616</v>
      </c>
      <c r="B51" s="19" t="str">
        <f>IFERROR(__xludf.DUMMYFUNCTION("""COMPUTED_VALUE"""),"GLOB-E")</f>
        <v>GLOB-E</v>
      </c>
      <c r="C51" s="15">
        <f>IFERROR(__xludf.DUMMYFUNCTION("""COMPUTED_VALUE"""),6619.94482421875)</f>
        <v>6619.944824</v>
      </c>
      <c r="D51" s="15">
        <f>IFERROR(__xludf.DUMMYFUNCTION("""COMPUTED_VALUE"""),6615.11)</f>
        <v>6615.11</v>
      </c>
      <c r="E51" s="19" t="str">
        <f>IFERROR(__xludf.DUMMYFUNCTION("""COMPUTED_VALUE"""),"?")</f>
        <v>?</v>
      </c>
      <c r="F51" s="19" t="str">
        <f>IFERROR(__xludf.DUMMYFUNCTION("""COMPUTED_VALUE"""),"UIL")</f>
        <v>UIL</v>
      </c>
      <c r="G51" s="15">
        <f>IFERROR(__xludf.DUMMYFUNCTION("""COMPUTED_VALUE"""),0.4)</f>
        <v>0.4</v>
      </c>
      <c r="H51" s="19" t="str">
        <f>IFERROR(__xludf.DUMMYFUNCTION("""COMPUTED_VALUE"""),"101B")</f>
        <v>101B</v>
      </c>
      <c r="I51" s="19" t="str">
        <f>IFERROR(__xludf.DUMMYFUNCTION("""COMPUTED_VALUE"""),"Broad profile and very weak")</f>
        <v>Broad profile and very weak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8">
        <f>IFERROR(__xludf.DUMMYFUNCTION("""COMPUTED_VALUE"""),1626.0)</f>
        <v>1626</v>
      </c>
      <c r="B52" s="19" t="str">
        <f>IFERROR(__xludf.DUMMYFUNCTION("""COMPUTED_VALUE"""),"GLOB-E")</f>
        <v>GLOB-E</v>
      </c>
      <c r="C52" s="15">
        <f>IFERROR(__xludf.DUMMYFUNCTION("""COMPUTED_VALUE"""),6632.44482421875)</f>
        <v>6632.444824</v>
      </c>
      <c r="D52" s="15">
        <f>IFERROR(__xludf.DUMMYFUNCTION("""COMPUTED_VALUE"""),6628.89)</f>
        <v>6628.89</v>
      </c>
      <c r="E52" s="19" t="str">
        <f>IFERROR(__xludf.DUMMYFUNCTION("""COMPUTED_VALUE"""),"Deep Neutral?")</f>
        <v>Deep Neutral?</v>
      </c>
      <c r="F52" s="19" t="str">
        <f>IFERROR(__xludf.DUMMYFUNCTION("""COMPUTED_VALUE"""),"UIL")</f>
        <v>UIL</v>
      </c>
      <c r="G52" s="15">
        <f>IFERROR(__xludf.DUMMYFUNCTION("""COMPUTED_VALUE"""),2.1)</f>
        <v>2.1</v>
      </c>
      <c r="H52" s="19" t="str">
        <f>IFERROR(__xludf.DUMMYFUNCTION("""COMPUTED_VALUE"""),"101B, 11")</f>
        <v>101B, 11</v>
      </c>
      <c r="I52" s="19" t="str">
        <f>IFERROR(__xludf.DUMMYFUNCTION("""COMPUTED_VALUE"""),"Left-hand guardian of the Raman dip")</f>
        <v>Left-hand guardian of the Raman dip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8">
        <f>IFERROR(__xludf.DUMMYFUNCTION("""COMPUTED_VALUE"""),1632.0)</f>
        <v>1632</v>
      </c>
      <c r="B53" s="19" t="str">
        <f>IFERROR(__xludf.DUMMYFUNCTION("""COMPUTED_VALUE"""),"GLOB-E")</f>
        <v>GLOB-E</v>
      </c>
      <c r="C53" s="15">
        <f>IFERROR(__xludf.DUMMYFUNCTION("""COMPUTED_VALUE"""),6639.94482421875)</f>
        <v>6639.944824</v>
      </c>
      <c r="D53" s="15">
        <f>IFERROR(__xludf.DUMMYFUNCTION("""COMPUTED_VALUE"""),6636.78)</f>
        <v>6636.78</v>
      </c>
      <c r="E53" s="19" t="str">
        <f>IFERROR(__xludf.DUMMYFUNCTION("""COMPUTED_VALUE"""),"Deep Neutral?")</f>
        <v>Deep Neutral?</v>
      </c>
      <c r="F53" s="19" t="str">
        <f>IFERROR(__xludf.DUMMYFUNCTION("""COMPUTED_VALUE"""),"UIL")</f>
        <v>UIL</v>
      </c>
      <c r="G53" s="15">
        <f>IFERROR(__xludf.DUMMYFUNCTION("""COMPUTED_VALUE"""),1.6)</f>
        <v>1.6</v>
      </c>
      <c r="H53" s="19" t="str">
        <f>IFERROR(__xludf.DUMMYFUNCTION("""COMPUTED_VALUE"""),"101B")</f>
        <v>101B</v>
      </c>
      <c r="I53" s="19" t="str">
        <f>IFERROR(__xludf.DUMMYFUNCTION("""COMPUTED_VALUE"""),"Right-hand guardian of the Raman dip")</f>
        <v>Right-hand guardian of the Raman dip</v>
      </c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8">
        <f>IFERROR(__xludf.DUMMYFUNCTION("""COMPUTED_VALUE"""),1640.0)</f>
        <v>1640</v>
      </c>
      <c r="B54" s="19" t="str">
        <f>IFERROR(__xludf.DUMMYFUNCTION("""COMPUTED_VALUE"""),"GLOB-E")</f>
        <v>GLOB-E</v>
      </c>
      <c r="C54" s="15">
        <f>IFERROR(__xludf.DUMMYFUNCTION("""COMPUTED_VALUE"""),6649.94482421875)</f>
        <v>6649.944824</v>
      </c>
      <c r="D54" s="15">
        <f>IFERROR(__xludf.DUMMYFUNCTION("""COMPUTED_VALUE"""),6645.63)</f>
        <v>6645.63</v>
      </c>
      <c r="E54" s="19" t="str">
        <f>IFERROR(__xludf.DUMMYFUNCTION("""COMPUTED_VALUE"""),"Deep Neutral?")</f>
        <v>Deep Neutral?</v>
      </c>
      <c r="F54" s="19" t="str">
        <f>IFERROR(__xludf.DUMMYFUNCTION("""COMPUTED_VALUE"""),"UIL")</f>
        <v>UIL</v>
      </c>
      <c r="G54" s="15">
        <f>IFERROR(__xludf.DUMMYFUNCTION("""COMPUTED_VALUE"""),1.3)</f>
        <v>1.3</v>
      </c>
      <c r="H54" s="19" t="str">
        <f>IFERROR(__xludf.DUMMYFUNCTION("""COMPUTED_VALUE"""),"101B")</f>
        <v>101B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8">
        <f>IFERROR(__xludf.DUMMYFUNCTION("""COMPUTED_VALUE"""),1648.0)</f>
        <v>1648</v>
      </c>
      <c r="B55" s="19" t="str">
        <f>IFERROR(__xludf.DUMMYFUNCTION("""COMPUTED_VALUE"""),"GLOB-E")</f>
        <v>GLOB-E</v>
      </c>
      <c r="C55" s="15">
        <f>IFERROR(__xludf.DUMMYFUNCTION("""COMPUTED_VALUE"""),6659.94482421875)</f>
        <v>6659.944824</v>
      </c>
      <c r="D55" s="15">
        <f>IFERROR(__xludf.DUMMYFUNCTION("""COMPUTED_VALUE"""),6655.67)</f>
        <v>6655.67</v>
      </c>
      <c r="E55" s="19" t="str">
        <f>IFERROR(__xludf.DUMMYFUNCTION("""COMPUTED_VALUE"""),"Deep Neutral?")</f>
        <v>Deep Neutral?</v>
      </c>
      <c r="F55" s="19" t="str">
        <f>IFERROR(__xludf.DUMMYFUNCTION("""COMPUTED_VALUE"""),"UIL")</f>
        <v>UIL</v>
      </c>
      <c r="G55" s="15">
        <f>IFERROR(__xludf.DUMMYFUNCTION("""COMPUTED_VALUE"""),0.7)</f>
        <v>0.7</v>
      </c>
      <c r="H55" s="19">
        <f>IFERROR(__xludf.DUMMYFUNCTION("""COMPUTED_VALUE"""),11.0)</f>
        <v>11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8">
        <f>IFERROR(__xludf.DUMMYFUNCTION("""COMPUTED_VALUE"""),1657.0)</f>
        <v>1657</v>
      </c>
      <c r="B56" s="19" t="str">
        <f>IFERROR(__xludf.DUMMYFUNCTION("""COMPUTED_VALUE"""),"GLOB-E")</f>
        <v>GLOB-E</v>
      </c>
      <c r="C56" s="15">
        <f>IFERROR(__xludf.DUMMYFUNCTION("""COMPUTED_VALUE"""),6671.19482421875)</f>
        <v>6671.194824</v>
      </c>
      <c r="D56" s="15">
        <f>IFERROR(__xludf.DUMMYFUNCTION("""COMPUTED_VALUE"""),6667.62)</f>
        <v>6667.62</v>
      </c>
      <c r="E56" s="19" t="str">
        <f>IFERROR(__xludf.DUMMYFUNCTION("""COMPUTED_VALUE"""),"Fe, Ni")</f>
        <v>Fe, Ni</v>
      </c>
      <c r="F56" s="19" t="str">
        <f>IFERROR(__xludf.DUMMYFUNCTION("""COMPUTED_VALUE"""),"[Ni II]  6666.80")</f>
        <v>[Ni II]  6666.80</v>
      </c>
      <c r="G56" s="15">
        <f>IFERROR(__xludf.DUMMYFUNCTION("""COMPUTED_VALUE"""),0.5)</f>
        <v>0.5</v>
      </c>
      <c r="H56" s="19" t="str">
        <f>IFERROR(__xludf.DUMMYFUNCTION("""COMPUTED_VALUE"""),"11, 101B")</f>
        <v>11, 101B</v>
      </c>
      <c r="I56" s="19" t="str">
        <f>IFERROR(__xludf.DUMMYFUNCTION("""COMPUTED_VALUE"""),"Diffuse emission is unclear (difffers between 11 and 101B)")</f>
        <v>Diffuse emission is unclear (difffers between 11 and 101B)</v>
      </c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8">
        <f>IFERROR(__xludf.DUMMYFUNCTION("""COMPUTED_VALUE"""),1665.0)</f>
        <v>1665</v>
      </c>
      <c r="B57" s="19" t="str">
        <f>IFERROR(__xludf.DUMMYFUNCTION("""COMPUTED_VALUE"""),"GLOB-E")</f>
        <v>GLOB-E</v>
      </c>
      <c r="C57" s="15">
        <f>IFERROR(__xludf.DUMMYFUNCTION("""COMPUTED_VALUE"""),6681.19482421875)</f>
        <v>6681.194824</v>
      </c>
      <c r="D57" s="15">
        <f>IFERROR(__xludf.DUMMYFUNCTION("""COMPUTED_VALUE"""),6677.94)</f>
        <v>6677.94</v>
      </c>
      <c r="E57" s="19" t="str">
        <f>IFERROR(__xludf.DUMMYFUNCTION("""COMPUTED_VALUE"""),"Med Neb")</f>
        <v>Med Neb</v>
      </c>
      <c r="F57" s="19" t="str">
        <f>IFERROR(__xludf.DUMMYFUNCTION("""COMPUTED_VALUE"""),"He I 6678.15")</f>
        <v>He I 6678.15</v>
      </c>
      <c r="G57" s="15">
        <f>IFERROR(__xludf.DUMMYFUNCTION("""COMPUTED_VALUE"""),78.0)</f>
        <v>78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8">
        <f>IFERROR(__xludf.DUMMYFUNCTION("""COMPUTED_VALUE"""),1682.0)</f>
        <v>1682</v>
      </c>
      <c r="B58" s="19" t="str">
        <f>IFERROR(__xludf.DUMMYFUNCTION("""COMPUTED_VALUE"""),"GLOB-E")</f>
        <v>GLOB-E</v>
      </c>
      <c r="C58" s="15">
        <f>IFERROR(__xludf.DUMMYFUNCTION("""COMPUTED_VALUE"""),6702.44482421875)</f>
        <v>6702.444824</v>
      </c>
      <c r="D58" s="15">
        <f>IFERROR(__xludf.DUMMYFUNCTION("""COMPUTED_VALUE"""),6699.06)</f>
        <v>6699.06</v>
      </c>
      <c r="E58" s="19" t="str">
        <f>IFERROR(__xludf.DUMMYFUNCTION("""COMPUTED_VALUE"""),"Deep Neutral?")</f>
        <v>Deep Neutral?</v>
      </c>
      <c r="F58" s="19" t="str">
        <f>IFERROR(__xludf.DUMMYFUNCTION("""COMPUTED_VALUE"""),"UIL")</f>
        <v>UIL</v>
      </c>
      <c r="G58" s="15">
        <f>IFERROR(__xludf.DUMMYFUNCTION("""COMPUTED_VALUE"""),0.9)</f>
        <v>0.9</v>
      </c>
      <c r="H58" s="19">
        <f>IFERROR(__xludf.DUMMYFUNCTION("""COMPUTED_VALUE"""),11.0)</f>
        <v>11</v>
      </c>
      <c r="I58" s="19" t="str">
        <f>IFERROR(__xludf.DUMMYFUNCTION("""COMPUTED_VALUE"""),"Weak but clearly detected in most GLOB/FIL regions")</f>
        <v>Weak but clearly detected in most GLOB/FIL regions</v>
      </c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8">
        <f>IFERROR(__xludf.DUMMYFUNCTION("""COMPUTED_VALUE"""),1692.0)</f>
        <v>1692</v>
      </c>
      <c r="B59" s="19" t="str">
        <f>IFERROR(__xludf.DUMMYFUNCTION("""COMPUTED_VALUE"""),"GLOB-E")</f>
        <v>GLOB-E</v>
      </c>
      <c r="C59" s="15">
        <f>IFERROR(__xludf.DUMMYFUNCTION("""COMPUTED_VALUE"""),6714.94482421875)</f>
        <v>6714.944824</v>
      </c>
      <c r="D59" s="15">
        <f>IFERROR(__xludf.DUMMYFUNCTION("""COMPUTED_VALUE"""),6710.69)</f>
        <v>6710.69</v>
      </c>
      <c r="E59" s="19"/>
      <c r="F59" s="19"/>
      <c r="G59" s="15"/>
      <c r="H59" s="19"/>
      <c r="I59" s="19" t="str">
        <f>IFERROR(__xludf.DUMMYFUNCTION("""COMPUTED_VALUE"""),"Possibly real, but too close to [S II] line to get a good cont")</f>
        <v>Possibly real, but too close to [S II] line to get a good cont</v>
      </c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8">
        <f>IFERROR(__xludf.DUMMYFUNCTION("""COMPUTED_VALUE"""),1696.0)</f>
        <v>1696</v>
      </c>
      <c r="B60" s="19" t="str">
        <f>IFERROR(__xludf.DUMMYFUNCTION("""COMPUTED_VALUE"""),"GLOB-E")</f>
        <v>GLOB-E</v>
      </c>
      <c r="C60" s="15">
        <f>IFERROR(__xludf.DUMMYFUNCTION("""COMPUTED_VALUE"""),6719.94482421875)</f>
        <v>6719.944824</v>
      </c>
      <c r="D60" s="15">
        <f>IFERROR(__xludf.DUMMYFUNCTION("""COMPUTED_VALUE"""),6716.47)</f>
        <v>6716.47</v>
      </c>
      <c r="E60" s="19" t="str">
        <f>IFERROR(__xludf.DUMMYFUNCTION("""COMPUTED_VALUE"""),"Low Neb")</f>
        <v>Low Neb</v>
      </c>
      <c r="F60" s="19" t="str">
        <f>IFERROR(__xludf.DUMMYFUNCTION("""COMPUTED_VALUE"""),"[S II] 6716.44")</f>
        <v>[S II] 6716.44</v>
      </c>
      <c r="G60" s="15">
        <f>IFERROR(__xludf.DUMMYFUNCTION("""COMPUTED_VALUE"""),385.0)</f>
        <v>385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8">
        <f>IFERROR(__xludf.DUMMYFUNCTION("""COMPUTED_VALUE"""),1708.0)</f>
        <v>1708</v>
      </c>
      <c r="B61" s="19" t="str">
        <f>IFERROR(__xludf.DUMMYFUNCTION("""COMPUTED_VALUE"""),"GLOB-E")</f>
        <v>GLOB-E</v>
      </c>
      <c r="C61" s="15">
        <f>IFERROR(__xludf.DUMMYFUNCTION("""COMPUTED_VALUE"""),6734.94482421875)</f>
        <v>6734.944824</v>
      </c>
      <c r="D61" s="15">
        <f>IFERROR(__xludf.DUMMYFUNCTION("""COMPUTED_VALUE"""),6730.74)</f>
        <v>6730.74</v>
      </c>
      <c r="E61" s="19" t="str">
        <f>IFERROR(__xludf.DUMMYFUNCTION("""COMPUTED_VALUE"""),"Low Neb")</f>
        <v>Low Neb</v>
      </c>
      <c r="F61" s="19" t="str">
        <f>IFERROR(__xludf.DUMMYFUNCTION("""COMPUTED_VALUE"""),"[S II] 6730.816")</f>
        <v>[S II] 6730.816</v>
      </c>
      <c r="G61" s="15">
        <f>IFERROR(__xludf.DUMMYFUNCTION("""COMPUTED_VALUE"""),286.0)</f>
        <v>286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8">
        <f>IFERROR(__xludf.DUMMYFUNCTION("""COMPUTED_VALUE"""),1744.0)</f>
        <v>1744</v>
      </c>
      <c r="B62" s="19" t="str">
        <f>IFERROR(__xludf.DUMMYFUNCTION("""COMPUTED_VALUE"""),"GLOB-E")</f>
        <v>GLOB-E</v>
      </c>
      <c r="C62" s="15">
        <f>IFERROR(__xludf.DUMMYFUNCTION("""COMPUTED_VALUE"""),6779.94482421875)</f>
        <v>6779.944824</v>
      </c>
      <c r="D62" s="15">
        <f>IFERROR(__xludf.DUMMYFUNCTION("""COMPUTED_VALUE"""),6776.88)</f>
        <v>6776.88</v>
      </c>
      <c r="E62" s="19" t="str">
        <f>IFERROR(__xludf.DUMMYFUNCTION("""COMPUTED_VALUE"""),"Deep Neutral")</f>
        <v>Deep Neutral</v>
      </c>
      <c r="F62" s="19" t="str">
        <f>IFERROR(__xludf.DUMMYFUNCTION("""COMPUTED_VALUE"""),"UIL")</f>
        <v>UIL</v>
      </c>
      <c r="G62" s="15">
        <f>IFERROR(__xludf.DUMMYFUNCTION("""COMPUTED_VALUE"""),2.3)</f>
        <v>2.3</v>
      </c>
      <c r="H62" s="19">
        <f>IFERROR(__xludf.DUMMYFUNCTION("""COMPUTED_VALUE"""),11.0)</f>
        <v>11</v>
      </c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8">
        <f>IFERROR(__xludf.DUMMYFUNCTION("""COMPUTED_VALUE"""),1759.0)</f>
        <v>1759</v>
      </c>
      <c r="B63" s="19" t="str">
        <f>IFERROR(__xludf.DUMMYFUNCTION("""COMPUTED_VALUE"""),"BS")</f>
        <v>BS</v>
      </c>
      <c r="C63" s="15">
        <f>IFERROR(__xludf.DUMMYFUNCTION("""COMPUTED_VALUE"""),6798.69482421875)</f>
        <v>6798.694824</v>
      </c>
      <c r="D63" s="15">
        <f>IFERROR(__xludf.DUMMYFUNCTION("""COMPUTED_VALUE"""),6794.52)</f>
        <v>6794.52</v>
      </c>
      <c r="E63" s="19" t="str">
        <f>IFERROR(__xludf.DUMMYFUNCTION("""COMPUTED_VALUE"""),"High Neb")</f>
        <v>High Neb</v>
      </c>
      <c r="F63" s="19" t="str">
        <f>IFERROR(__xludf.DUMMYFUNCTION("""COMPUTED_VALUE"""),"[K IV] 6795.1")</f>
        <v>[K IV] 6795.1</v>
      </c>
      <c r="G63" s="15">
        <f>IFERROR(__xludf.DUMMYFUNCTION("""COMPUTED_VALUE"""),1.1)</f>
        <v>1.1</v>
      </c>
      <c r="H63" s="19"/>
      <c r="I63" s="19" t="str">
        <f>IFERROR(__xludf.DUMMYFUNCTION("""COMPUTED_VALUE"""),"Very weak and diffuse")</f>
        <v>Very weak and diffuse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8">
        <f>IFERROR(__xludf.DUMMYFUNCTION("""COMPUTED_VALUE"""),1801.0)</f>
        <v>1801</v>
      </c>
      <c r="B64" s="19" t="str">
        <f>IFERROR(__xludf.DUMMYFUNCTION("""COMPUTED_VALUE"""),"GLOB-E")</f>
        <v>GLOB-E</v>
      </c>
      <c r="C64" s="15">
        <f>IFERROR(__xludf.DUMMYFUNCTION("""COMPUTED_VALUE"""),6851.19482421875)</f>
        <v>6851.194824</v>
      </c>
      <c r="D64" s="15">
        <f>IFERROR(__xludf.DUMMYFUNCTION("""COMPUTED_VALUE"""),6846.81)</f>
        <v>6846.81</v>
      </c>
      <c r="E64" s="19" t="str">
        <f>IFERROR(__xludf.DUMMYFUNCTION("""COMPUTED_VALUE"""),"Deep Neutral?")</f>
        <v>Deep Neutral?</v>
      </c>
      <c r="F64" s="19" t="str">
        <f>IFERROR(__xludf.DUMMYFUNCTION("""COMPUTED_VALUE"""),"UIL")</f>
        <v>UIL</v>
      </c>
      <c r="G64" s="15">
        <f>IFERROR(__xludf.DUMMYFUNCTION("""COMPUTED_VALUE"""),1.4)</f>
        <v>1.4</v>
      </c>
      <c r="H64" s="19">
        <f>IFERROR(__xludf.DUMMYFUNCTION("""COMPUTED_VALUE"""),11.0)</f>
        <v>11</v>
      </c>
      <c r="I64" s="19" t="str">
        <f>IFERROR(__xludf.DUMMYFUNCTION("""COMPUTED_VALUE"""),"Broad, so probably a blend")</f>
        <v>Broad, so probably a blend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8">
        <f>IFERROR(__xludf.DUMMYFUNCTION("""COMPUTED_VALUE"""),1913.0)</f>
        <v>1913</v>
      </c>
      <c r="B65" s="19" t="str">
        <f>IFERROR(__xludf.DUMMYFUNCTION("""COMPUTED_VALUE"""),"GLOB-E")</f>
        <v>GLOB-E</v>
      </c>
      <c r="C65" s="15">
        <f>IFERROR(__xludf.DUMMYFUNCTION("""COMPUTED_VALUE"""),6991.19482421875)</f>
        <v>6991.194824</v>
      </c>
      <c r="D65" s="15">
        <f>IFERROR(__xludf.DUMMYFUNCTION("""COMPUTED_VALUE"""),6987.38)</f>
        <v>6987.38</v>
      </c>
      <c r="E65" s="19" t="str">
        <f>IFERROR(__xludf.DUMMYFUNCTION("""COMPUTED_VALUE"""),"Deep Neutral?")</f>
        <v>Deep Neutral?</v>
      </c>
      <c r="F65" s="19" t="str">
        <f>IFERROR(__xludf.DUMMYFUNCTION("""COMPUTED_VALUE"""),"UIL")</f>
        <v>UIL</v>
      </c>
      <c r="G65" s="15">
        <f>IFERROR(__xludf.DUMMYFUNCTION("""COMPUTED_VALUE"""),2.1)</f>
        <v>2.1</v>
      </c>
      <c r="H65" s="19">
        <f>IFERROR(__xludf.DUMMYFUNCTION("""COMPUTED_VALUE"""),11.0)</f>
        <v>11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8">
        <f>IFERROR(__xludf.DUMMYFUNCTION("""COMPUTED_VALUE"""),1925.0)</f>
        <v>1925</v>
      </c>
      <c r="B66" s="19" t="str">
        <f>IFERROR(__xludf.DUMMYFUNCTION("""COMPUTED_VALUE"""),"GLOB-E")</f>
        <v>GLOB-E</v>
      </c>
      <c r="C66" s="15">
        <f>IFERROR(__xludf.DUMMYFUNCTION("""COMPUTED_VALUE"""),7006.19482421875)</f>
        <v>7006.194824</v>
      </c>
      <c r="D66" s="15">
        <f>IFERROR(__xludf.DUMMYFUNCTION("""COMPUTED_VALUE"""),7002.32)</f>
        <v>7002.32</v>
      </c>
      <c r="E66" s="19" t="str">
        <f>IFERROR(__xludf.DUMMYFUNCTION("""COMPUTED_VALUE"""),"Neutral")</f>
        <v>Neutral</v>
      </c>
      <c r="F66" s="19" t="str">
        <f>IFERROR(__xludf.DUMMYFUNCTION("""COMPUTED_VALUE"""),"O I 7001.92")</f>
        <v>O I 7001.92</v>
      </c>
      <c r="G66" s="15">
        <f>IFERROR(__xludf.DUMMYFUNCTION("""COMPUTED_VALUE"""),1.2)</f>
        <v>1.2</v>
      </c>
      <c r="H66" s="19" t="str">
        <f>IFERROR(__xludf.DUMMYFUNCTION("""COMPUTED_VALUE"""),"11, 101B")</f>
        <v>11, 101B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8">
        <f>IFERROR(__xludf.DUMMYFUNCTION("""COMPUTED_VALUE"""),1931.0)</f>
        <v>1931</v>
      </c>
      <c r="B67" s="19" t="str">
        <f>IFERROR(__xludf.DUMMYFUNCTION("""COMPUTED_VALUE"""),"GLOB-E")</f>
        <v>GLOB-E</v>
      </c>
      <c r="C67" s="15">
        <f>IFERROR(__xludf.DUMMYFUNCTION("""COMPUTED_VALUE"""),7013.69482421875)</f>
        <v>7013.694824</v>
      </c>
      <c r="D67" s="15">
        <f>IFERROR(__xludf.DUMMYFUNCTION("""COMPUTED_VALUE"""),7010.02)</f>
        <v>7010.02</v>
      </c>
      <c r="E67" s="19" t="str">
        <f>IFERROR(__xludf.DUMMYFUNCTION("""COMPUTED_VALUE"""),"Deep Neutral?")</f>
        <v>Deep Neutral?</v>
      </c>
      <c r="F67" s="19" t="str">
        <f>IFERROR(__xludf.DUMMYFUNCTION("""COMPUTED_VALUE"""),"UIL")</f>
        <v>UIL</v>
      </c>
      <c r="G67" s="15">
        <f>IFERROR(__xludf.DUMMYFUNCTION("""COMPUTED_VALUE"""),1.9)</f>
        <v>1.9</v>
      </c>
      <c r="H67" s="19" t="str">
        <f>IFERROR(__xludf.DUMMYFUNCTION("""COMPUTED_VALUE"""),"101B")</f>
        <v>101B</v>
      </c>
      <c r="I67" s="19" t="str">
        <f>IFERROR(__xludf.DUMMYFUNCTION("""COMPUTED_VALUE"""),"Broad")</f>
        <v>Broad</v>
      </c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8">
        <f>IFERROR(__xludf.DUMMYFUNCTION("""COMPUTED_VALUE"""),1935.0)</f>
        <v>1935</v>
      </c>
      <c r="B68" s="19" t="str">
        <f>IFERROR(__xludf.DUMMYFUNCTION("""COMPUTED_VALUE"""),"GLOB-E")</f>
        <v>GLOB-E</v>
      </c>
      <c r="C68" s="15">
        <f>IFERROR(__xludf.DUMMYFUNCTION("""COMPUTED_VALUE"""),7018.69482421875)</f>
        <v>7018.694824</v>
      </c>
      <c r="D68" s="15">
        <f>IFERROR(__xludf.DUMMYFUNCTION("""COMPUTED_VALUE"""),7015.18)</f>
        <v>7015.18</v>
      </c>
      <c r="E68" s="19" t="str">
        <f>IFERROR(__xludf.DUMMYFUNCTION("""COMPUTED_VALUE"""),"Deep Neutral?")</f>
        <v>Deep Neutral?</v>
      </c>
      <c r="F68" s="19" t="str">
        <f>IFERROR(__xludf.DUMMYFUNCTION("""COMPUTED_VALUE"""),"UIL")</f>
        <v>UIL</v>
      </c>
      <c r="G68" s="15">
        <f>IFERROR(__xludf.DUMMYFUNCTION("""COMPUTED_VALUE"""),0.4)</f>
        <v>0.4</v>
      </c>
      <c r="H68" s="19" t="str">
        <f>IFERROR(__xludf.DUMMYFUNCTION("""COMPUTED_VALUE"""),"101B")</f>
        <v>101B</v>
      </c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8">
        <f>IFERROR(__xludf.DUMMYFUNCTION("""COMPUTED_VALUE"""),1944.0)</f>
        <v>1944</v>
      </c>
      <c r="B69" s="19" t="str">
        <f>IFERROR(__xludf.DUMMYFUNCTION("""COMPUTED_VALUE"""),"GLOB-E")</f>
        <v>GLOB-E</v>
      </c>
      <c r="C69" s="15">
        <f>IFERROR(__xludf.DUMMYFUNCTION("""COMPUTED_VALUE"""),7029.94482421875)</f>
        <v>7029.944824</v>
      </c>
      <c r="D69" s="15">
        <f>IFERROR(__xludf.DUMMYFUNCTION("""COMPUTED_VALUE"""),7025.59)</f>
        <v>7025.59</v>
      </c>
      <c r="E69" s="19" t="str">
        <f>IFERROR(__xludf.DUMMYFUNCTION("""COMPUTED_VALUE"""),"Deep Neutral?")</f>
        <v>Deep Neutral?</v>
      </c>
      <c r="F69" s="19" t="str">
        <f>IFERROR(__xludf.DUMMYFUNCTION("""COMPUTED_VALUE"""),"UIL")</f>
        <v>UIL</v>
      </c>
      <c r="G69" s="15">
        <f>IFERROR(__xludf.DUMMYFUNCTION("""COMPUTED_VALUE"""),0.6)</f>
        <v>0.6</v>
      </c>
      <c r="H69" s="19" t="str">
        <f>IFERROR(__xludf.DUMMYFUNCTION("""COMPUTED_VALUE"""),"101B, 11")</f>
        <v>101B, 11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8">
        <f>IFERROR(__xludf.DUMMYFUNCTION("""COMPUTED_VALUE"""),1954.0)</f>
        <v>1954</v>
      </c>
      <c r="B70" s="19" t="str">
        <f>IFERROR(__xludf.DUMMYFUNCTION("""COMPUTED_VALUE"""),"GLOB-E")</f>
        <v>GLOB-E</v>
      </c>
      <c r="C70" s="15">
        <f>IFERROR(__xludf.DUMMYFUNCTION("""COMPUTED_VALUE"""),7042.44482421875)</f>
        <v>7042.444824</v>
      </c>
      <c r="D70" s="15">
        <f>IFERROR(__xludf.DUMMYFUNCTION("""COMPUTED_VALUE"""),7038.08)</f>
        <v>7038.08</v>
      </c>
      <c r="E70" s="19" t="str">
        <f>IFERROR(__xludf.DUMMYFUNCTION("""COMPUTED_VALUE"""),"Deep Neutral?")</f>
        <v>Deep Neutral?</v>
      </c>
      <c r="F70" s="19" t="str">
        <f>IFERROR(__xludf.DUMMYFUNCTION("""COMPUTED_VALUE"""),"UIL")</f>
        <v>UIL</v>
      </c>
      <c r="G70" s="15">
        <f>IFERROR(__xludf.DUMMYFUNCTION("""COMPUTED_VALUE"""),1.4)</f>
        <v>1.4</v>
      </c>
      <c r="H70" s="19" t="str">
        <f>IFERROR(__xludf.DUMMYFUNCTION("""COMPUTED_VALUE"""),"101B, 11")</f>
        <v>101B, 11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8">
        <f>IFERROR(__xludf.DUMMYFUNCTION("""COMPUTED_VALUE"""),1958.0)</f>
        <v>1958</v>
      </c>
      <c r="B71" s="19" t="str">
        <f>IFERROR(__xludf.DUMMYFUNCTION("""COMPUTED_VALUE"""),"GLOB-E")</f>
        <v>GLOB-E</v>
      </c>
      <c r="C71" s="15">
        <f>IFERROR(__xludf.DUMMYFUNCTION("""COMPUTED_VALUE"""),7047.44482421875)</f>
        <v>7047.444824</v>
      </c>
      <c r="D71" s="15">
        <f>IFERROR(__xludf.DUMMYFUNCTION("""COMPUTED_VALUE"""),7043.21)</f>
        <v>7043.21</v>
      </c>
      <c r="E71" s="19" t="str">
        <f>IFERROR(__xludf.DUMMYFUNCTION("""COMPUTED_VALUE"""),"Deep Neutral?")</f>
        <v>Deep Neutral?</v>
      </c>
      <c r="F71" s="19" t="str">
        <f>IFERROR(__xludf.DUMMYFUNCTION("""COMPUTED_VALUE"""),"UIL")</f>
        <v>UIL</v>
      </c>
      <c r="G71" s="15">
        <f>IFERROR(__xludf.DUMMYFUNCTION("""COMPUTED_VALUE"""),0.9)</f>
        <v>0.9</v>
      </c>
      <c r="H71" s="19" t="str">
        <f>IFERROR(__xludf.DUMMYFUNCTION("""COMPUTED_VALUE"""),"101B")</f>
        <v>101B</v>
      </c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8">
        <f>IFERROR(__xludf.DUMMYFUNCTION("""COMPUTED_VALUE"""),1969.0)</f>
        <v>1969</v>
      </c>
      <c r="B72" s="19" t="str">
        <f>IFERROR(__xludf.DUMMYFUNCTION("""COMPUTED_VALUE"""),"GLOB-E")</f>
        <v>GLOB-E</v>
      </c>
      <c r="C72" s="15">
        <f>IFERROR(__xludf.DUMMYFUNCTION("""COMPUTED_VALUE"""),7061.19482421875)</f>
        <v>7061.194824</v>
      </c>
      <c r="D72" s="15">
        <f>IFERROR(__xludf.DUMMYFUNCTION("""COMPUTED_VALUE"""),7056.76)</f>
        <v>7056.76</v>
      </c>
      <c r="E72" s="19" t="str">
        <f>IFERROR(__xludf.DUMMYFUNCTION("""COMPUTED_VALUE"""),"Deep Neutral?")</f>
        <v>Deep Neutral?</v>
      </c>
      <c r="F72" s="19" t="str">
        <f>IFERROR(__xludf.DUMMYFUNCTION("""COMPUTED_VALUE"""),"UIL")</f>
        <v>UIL</v>
      </c>
      <c r="G72" s="15">
        <f>IFERROR(__xludf.DUMMYFUNCTION("""COMPUTED_VALUE"""),1.0)</f>
        <v>1</v>
      </c>
      <c r="H72" s="19" t="str">
        <f>IFERROR(__xludf.DUMMYFUNCTION("""COMPUTED_VALUE"""),"11, 101B")</f>
        <v>11, 101B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8">
        <f>IFERROR(__xludf.DUMMYFUNCTION("""COMPUTED_VALUE"""),1975.0)</f>
        <v>1975</v>
      </c>
      <c r="B73" s="19" t="str">
        <f>IFERROR(__xludf.DUMMYFUNCTION("""COMPUTED_VALUE"""),"GLOB-E")</f>
        <v>GLOB-E</v>
      </c>
      <c r="C73" s="15">
        <f>IFERROR(__xludf.DUMMYFUNCTION("""COMPUTED_VALUE"""),7068.69482421875)</f>
        <v>7068.694824</v>
      </c>
      <c r="D73" s="15">
        <f>IFERROR(__xludf.DUMMYFUNCTION("""COMPUTED_VALUE"""),7065.11)</f>
        <v>7065.11</v>
      </c>
      <c r="E73" s="19" t="str">
        <f>IFERROR(__xludf.DUMMYFUNCTION("""COMPUTED_VALUE"""),"Med Neb")</f>
        <v>Med Neb</v>
      </c>
      <c r="F73" s="19" t="str">
        <f>IFERROR(__xludf.DUMMYFUNCTION("""COMPUTED_VALUE"""),"He I 7065.28")</f>
        <v>He I 7065.28</v>
      </c>
      <c r="G73" s="15">
        <f>IFERROR(__xludf.DUMMYFUNCTION("""COMPUTED_VALUE"""),61.0)</f>
        <v>61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8">
        <f>IFERROR(__xludf.DUMMYFUNCTION("""COMPUTED_VALUE"""),1987.0)</f>
        <v>1987</v>
      </c>
      <c r="B74" s="19" t="str">
        <f>IFERROR(__xludf.DUMMYFUNCTION("""COMPUTED_VALUE"""),"GLOB-E")</f>
        <v>GLOB-E</v>
      </c>
      <c r="C74" s="15">
        <f>IFERROR(__xludf.DUMMYFUNCTION("""COMPUTED_VALUE"""),7083.69482421875)</f>
        <v>7083.694824</v>
      </c>
      <c r="D74" s="15">
        <f>IFERROR(__xludf.DUMMYFUNCTION("""COMPUTED_VALUE"""),7078.89)</f>
        <v>7078.89</v>
      </c>
      <c r="E74" s="19" t="str">
        <f>IFERROR(__xludf.DUMMYFUNCTION("""COMPUTED_VALUE"""),"Deep Neutral?")</f>
        <v>Deep Neutral?</v>
      </c>
      <c r="F74" s="19" t="str">
        <f>IFERROR(__xludf.DUMMYFUNCTION("""COMPUTED_VALUE"""),"UIL")</f>
        <v>UIL</v>
      </c>
      <c r="G74" s="15">
        <f>IFERROR(__xludf.DUMMYFUNCTION("""COMPUTED_VALUE"""),0.6)</f>
        <v>0.6</v>
      </c>
      <c r="H74" s="19" t="str">
        <f>IFERROR(__xludf.DUMMYFUNCTION("""COMPUTED_VALUE"""),"11, 101B")</f>
        <v>11, 101B</v>
      </c>
      <c r="I74" s="19" t="str">
        <f>IFERROR(__xludf.DUMMYFUNCTION("""COMPUTED_VALUE"""),"Broad and weak")</f>
        <v>Broad and weak</v>
      </c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8">
        <f>IFERROR(__xludf.DUMMYFUNCTION("""COMPUTED_VALUE"""),1997.0)</f>
        <v>1997</v>
      </c>
      <c r="B75" s="19" t="str">
        <f>IFERROR(__xludf.DUMMYFUNCTION("""COMPUTED_VALUE"""),"GLOB-E")</f>
        <v>GLOB-E</v>
      </c>
      <c r="C75" s="15">
        <f>IFERROR(__xludf.DUMMYFUNCTION("""COMPUTED_VALUE"""),7096.19482421875)</f>
        <v>7096.194824</v>
      </c>
      <c r="D75" s="15">
        <f>IFERROR(__xludf.DUMMYFUNCTION("""COMPUTED_VALUE"""),7092.14)</f>
        <v>7092.14</v>
      </c>
      <c r="E75" s="19" t="str">
        <f>IFERROR(__xludf.DUMMYFUNCTION("""COMPUTED_VALUE"""),"Deep Neutral")</f>
        <v>Deep Neutral</v>
      </c>
      <c r="F75" s="19" t="str">
        <f>IFERROR(__xludf.DUMMYFUNCTION("""COMPUTED_VALUE"""),"UIL")</f>
        <v>UIL</v>
      </c>
      <c r="G75" s="15">
        <f>IFERROR(__xludf.DUMMYFUNCTION("""COMPUTED_VALUE"""),3.1)</f>
        <v>3.1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8">
        <f>IFERROR(__xludf.DUMMYFUNCTION("""COMPUTED_VALUE"""),2008.0)</f>
        <v>2008</v>
      </c>
      <c r="B76" s="19" t="str">
        <f>IFERROR(__xludf.DUMMYFUNCTION("""COMPUTED_VALUE"""),"GLOB-E")</f>
        <v>GLOB-E</v>
      </c>
      <c r="C76" s="15">
        <f>IFERROR(__xludf.DUMMYFUNCTION("""COMPUTED_VALUE"""),7109.94482421875)</f>
        <v>7109.944824</v>
      </c>
      <c r="D76" s="15">
        <f>IFERROR(__xludf.DUMMYFUNCTION("""COMPUTED_VALUE"""),7105.4)</f>
        <v>7105.4</v>
      </c>
      <c r="E76" s="19" t="str">
        <f>IFERROR(__xludf.DUMMYFUNCTION("""COMPUTED_VALUE"""),"Deep Neutral")</f>
        <v>Deep Neutral</v>
      </c>
      <c r="F76" s="19" t="str">
        <f>IFERROR(__xludf.DUMMYFUNCTION("""COMPUTED_VALUE"""),"UIL")</f>
        <v>UIL</v>
      </c>
      <c r="G76" s="15">
        <f>IFERROR(__xludf.DUMMYFUNCTION("""COMPUTED_VALUE"""),2.0)</f>
        <v>2</v>
      </c>
      <c r="H76" s="19" t="str">
        <f>IFERROR(__xludf.DUMMYFUNCTION("""COMPUTED_VALUE"""),"101B")</f>
        <v>101B</v>
      </c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8">
        <f>IFERROR(__xludf.DUMMYFUNCTION("""COMPUTED_VALUE"""),2012.0)</f>
        <v>2012</v>
      </c>
      <c r="B77" s="19" t="str">
        <f>IFERROR(__xludf.DUMMYFUNCTION("""COMPUTED_VALUE"""),"GLOB-E")</f>
        <v>GLOB-E</v>
      </c>
      <c r="C77" s="15">
        <f>IFERROR(__xludf.DUMMYFUNCTION("""COMPUTED_VALUE"""),7114.94482421875)</f>
        <v>7114.944824</v>
      </c>
      <c r="D77" s="15">
        <f>IFERROR(__xludf.DUMMYFUNCTION("""COMPUTED_VALUE"""),7111.43)</f>
        <v>7111.43</v>
      </c>
      <c r="E77" s="19" t="str">
        <f>IFERROR(__xludf.DUMMYFUNCTION("""COMPUTED_VALUE"""),"Deep Neutral")</f>
        <v>Deep Neutral</v>
      </c>
      <c r="F77" s="19" t="str">
        <f>IFERROR(__xludf.DUMMYFUNCTION("""COMPUTED_VALUE"""),"UIL")</f>
        <v>UIL</v>
      </c>
      <c r="G77" s="15">
        <f>IFERROR(__xludf.DUMMYFUNCTION("""COMPUTED_VALUE"""),2.2)</f>
        <v>2.2</v>
      </c>
      <c r="H77" s="19" t="str">
        <f>IFERROR(__xludf.DUMMYFUNCTION("""COMPUTED_VALUE"""),"101B")</f>
        <v>101B</v>
      </c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8">
        <f>IFERROR(__xludf.DUMMYFUNCTION("""COMPUTED_VALUE"""),2032.0)</f>
        <v>2032</v>
      </c>
      <c r="B78" s="19" t="str">
        <f>IFERROR(__xludf.DUMMYFUNCTION("""COMPUTED_VALUE"""),"GLOB-E")</f>
        <v>GLOB-E</v>
      </c>
      <c r="C78" s="15">
        <f>IFERROR(__xludf.DUMMYFUNCTION("""COMPUTED_VALUE"""),7139.94482421875)</f>
        <v>7139.944824</v>
      </c>
      <c r="D78" s="15">
        <f>IFERROR(__xludf.DUMMYFUNCTION("""COMPUTED_VALUE"""),7135.5)</f>
        <v>7135.5</v>
      </c>
      <c r="E78" s="19" t="str">
        <f>IFERROR(__xludf.DUMMYFUNCTION("""COMPUTED_VALUE"""),"Med Neb")</f>
        <v>Med Neb</v>
      </c>
      <c r="F78" s="19" t="str">
        <f>IFERROR(__xludf.DUMMYFUNCTION("""COMPUTED_VALUE"""),"[Ar III] 7135.78")</f>
        <v>[Ar III] 7135.78</v>
      </c>
      <c r="G78" s="15">
        <f>IFERROR(__xludf.DUMMYFUNCTION("""COMPUTED_VALUE"""),196.0)</f>
        <v>196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8">
        <f>IFERROR(__xludf.DUMMYFUNCTION("""COMPUTED_VALUE"""),2039.0)</f>
        <v>2039</v>
      </c>
      <c r="B79" s="19" t="str">
        <f>IFERROR(__xludf.DUMMYFUNCTION("""COMPUTED_VALUE"""),"GLOB-E")</f>
        <v>GLOB-E</v>
      </c>
      <c r="C79" s="15">
        <f>IFERROR(__xludf.DUMMYFUNCTION("""COMPUTED_VALUE"""),7148.69482421875)</f>
        <v>7148.694824</v>
      </c>
      <c r="D79" s="15">
        <f>IFERROR(__xludf.DUMMYFUNCTION("""COMPUTED_VALUE"""),7143.58)</f>
        <v>7143.58</v>
      </c>
      <c r="E79" s="19" t="str">
        <f>IFERROR(__xludf.DUMMYFUNCTION("""COMPUTED_VALUE"""),"Deep Neutral")</f>
        <v>Deep Neutral</v>
      </c>
      <c r="F79" s="19" t="str">
        <f>IFERROR(__xludf.DUMMYFUNCTION("""COMPUTED_VALUE"""),"UIL")</f>
        <v>UIL</v>
      </c>
      <c r="G79" s="15">
        <f>IFERROR(__xludf.DUMMYFUNCTION("""COMPUTED_VALUE"""),1.3)</f>
        <v>1.3</v>
      </c>
      <c r="H79" s="19" t="str">
        <f>IFERROR(__xludf.DUMMYFUNCTION("""COMPUTED_VALUE"""),"101B, 101")</f>
        <v>101B, 101</v>
      </c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8">
        <f>IFERROR(__xludf.DUMMYFUNCTION("""COMPUTED_VALUE"""),2047.0)</f>
        <v>2047</v>
      </c>
      <c r="B80" s="19" t="str">
        <f>IFERROR(__xludf.DUMMYFUNCTION("""COMPUTED_VALUE"""),"GLOB-E")</f>
        <v>GLOB-E</v>
      </c>
      <c r="C80" s="15">
        <f>IFERROR(__xludf.DUMMYFUNCTION("""COMPUTED_VALUE"""),7158.69482421875)</f>
        <v>7158.694824</v>
      </c>
      <c r="D80" s="15">
        <f>IFERROR(__xludf.DUMMYFUNCTION("""COMPUTED_VALUE"""),7155.04)</f>
        <v>7155.04</v>
      </c>
      <c r="E80" s="19" t="str">
        <f>IFERROR(__xludf.DUMMYFUNCTION("""COMPUTED_VALUE"""),"Fe, Ni")</f>
        <v>Fe, Ni</v>
      </c>
      <c r="F80" s="19" t="str">
        <f>IFERROR(__xludf.DUMMYFUNCTION("""COMPUTED_VALUE"""),"[Fe II] 7155.14")</f>
        <v>[Fe II] 7155.14</v>
      </c>
      <c r="G80" s="15">
        <f>IFERROR(__xludf.DUMMYFUNCTION("""COMPUTED_VALUE"""),0.9)</f>
        <v>0.9</v>
      </c>
      <c r="H80" s="19"/>
      <c r="I80" s="19" t="str">
        <f>IFERROR(__xludf.DUMMYFUNCTION("""COMPUTED_VALUE"""),"No clear diffuse. Seen in YSO, GLOB-F, GLOB-B. Maybe redo in YSO region?")</f>
        <v>No clear diffuse. Seen in YSO, GLOB-F, GLOB-B. Maybe redo in YSO region?</v>
      </c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8">
        <f>IFERROR(__xludf.DUMMYFUNCTION("""COMPUTED_VALUE"""),2052.0)</f>
        <v>2052</v>
      </c>
      <c r="B81" s="19" t="str">
        <f>IFERROR(__xludf.DUMMYFUNCTION("""COMPUTED_VALUE"""),"GLOB-E")</f>
        <v>GLOB-E</v>
      </c>
      <c r="C81" s="15">
        <f>IFERROR(__xludf.DUMMYFUNCTION("""COMPUTED_VALUE"""),7164.94482421875)</f>
        <v>7164.944824</v>
      </c>
      <c r="D81" s="15">
        <f>IFERROR(__xludf.DUMMYFUNCTION("""COMPUTED_VALUE"""),7161.26)</f>
        <v>7161.26</v>
      </c>
      <c r="E81" s="19" t="str">
        <f>IFERROR(__xludf.DUMMYFUNCTION("""COMPUTED_VALUE"""),"Med Neb")</f>
        <v>Med Neb</v>
      </c>
      <c r="F81" s="19" t="str">
        <f>IFERROR(__xludf.DUMMYFUNCTION("""COMPUTED_VALUE"""),"He I 7160.13")</f>
        <v>He I 7160.13</v>
      </c>
      <c r="G81" s="15">
        <f>IFERROR(__xludf.DUMMYFUNCTION("""COMPUTED_VALUE"""),0.7)</f>
        <v>0.7</v>
      </c>
      <c r="H81" s="19" t="str">
        <f>IFERROR(__xludf.DUMMYFUNCTION("""COMPUTED_VALUE"""),"101B")</f>
        <v>101B</v>
      </c>
      <c r="I81" s="19" t="str">
        <f>IFERROR(__xludf.DUMMYFUNCTION("""COMPUTED_VALUE"""),"Wavelength is strangely off: blend?")</f>
        <v>Wavelength is strangely off: blend?</v>
      </c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8">
        <f>IFERROR(__xludf.DUMMYFUNCTION("""COMPUTED_VALUE"""),2060.0)</f>
        <v>2060</v>
      </c>
      <c r="B82" s="19" t="str">
        <f>IFERROR(__xludf.DUMMYFUNCTION("""COMPUTED_VALUE"""),"BS")</f>
        <v>BS</v>
      </c>
      <c r="C82" s="15">
        <f>IFERROR(__xludf.DUMMYFUNCTION("""COMPUTED_VALUE"""),7174.94482421875)</f>
        <v>7174.944824</v>
      </c>
      <c r="D82" s="15">
        <f>IFERROR(__xludf.DUMMYFUNCTION("""COMPUTED_VALUE"""),7170.18)</f>
        <v>7170.18</v>
      </c>
      <c r="E82" s="19" t="str">
        <f>IFERROR(__xludf.DUMMYFUNCTION("""COMPUTED_VALUE"""),"High Neb")</f>
        <v>High Neb</v>
      </c>
      <c r="F82" s="19" t="str">
        <f>IFERROR(__xludf.DUMMYFUNCTION("""COMPUTED_VALUE"""),"[Ar IV] 7170.5")</f>
        <v>[Ar IV] 7170.5</v>
      </c>
      <c r="G82" s="15">
        <f>IFERROR(__xludf.DUMMYFUNCTION("""COMPUTED_VALUE"""),3.1)</f>
        <v>3.1</v>
      </c>
      <c r="H82" s="19">
        <f>IFERROR(__xludf.DUMMYFUNCTION("""COMPUTED_VALUE"""),11.0)</f>
        <v>11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8">
        <f>IFERROR(__xludf.DUMMYFUNCTION("""COMPUTED_VALUE"""),2066.0)</f>
        <v>2066</v>
      </c>
      <c r="B83" s="19" t="str">
        <f>IFERROR(__xludf.DUMMYFUNCTION("""COMPUTED_VALUE"""),"GLOB-E")</f>
        <v>GLOB-E</v>
      </c>
      <c r="C83" s="15">
        <f>IFERROR(__xludf.DUMMYFUNCTION("""COMPUTED_VALUE"""),7182.44482421875)</f>
        <v>7182.444824</v>
      </c>
      <c r="D83" s="15">
        <f>IFERROR(__xludf.DUMMYFUNCTION("""COMPUTED_VALUE"""),7178.54)</f>
        <v>7178.54</v>
      </c>
      <c r="E83" s="19" t="str">
        <f>IFERROR(__xludf.DUMMYFUNCTION("""COMPUTED_VALUE"""),"Deep Neutral")</f>
        <v>Deep Neutral</v>
      </c>
      <c r="F83" s="19" t="str">
        <f>IFERROR(__xludf.DUMMYFUNCTION("""COMPUTED_VALUE"""),"UIL")</f>
        <v>UIL</v>
      </c>
      <c r="G83" s="15">
        <f>IFERROR(__xludf.DUMMYFUNCTION("""COMPUTED_VALUE"""),2.6)</f>
        <v>2.6</v>
      </c>
      <c r="H83" s="19" t="str">
        <f>IFERROR(__xludf.DUMMYFUNCTION("""COMPUTED_VALUE"""),"11, 101B")</f>
        <v>11, 101B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8">
        <f>IFERROR(__xludf.DUMMYFUNCTION("""COMPUTED_VALUE"""),2079.0)</f>
        <v>2079</v>
      </c>
      <c r="B84" s="19" t="str">
        <f>IFERROR(__xludf.DUMMYFUNCTION("""COMPUTED_VALUE"""),"GLOB-E")</f>
        <v>GLOB-E</v>
      </c>
      <c r="C84" s="15">
        <f>IFERROR(__xludf.DUMMYFUNCTION("""COMPUTED_VALUE"""),7198.69482421875)</f>
        <v>7198.694824</v>
      </c>
      <c r="D84" s="15">
        <f>IFERROR(__xludf.DUMMYFUNCTION("""COMPUTED_VALUE"""),7194.0)</f>
        <v>7194</v>
      </c>
      <c r="E84" s="19" t="str">
        <f>IFERROR(__xludf.DUMMYFUNCTION("""COMPUTED_VALUE"""),"Deep Neutral?")</f>
        <v>Deep Neutral?</v>
      </c>
      <c r="F84" s="19" t="str">
        <f>IFERROR(__xludf.DUMMYFUNCTION("""COMPUTED_VALUE"""),"UIL")</f>
        <v>UIL</v>
      </c>
      <c r="G84" s="15">
        <f>IFERROR(__xludf.DUMMYFUNCTION("""COMPUTED_VALUE"""),2.1)</f>
        <v>2.1</v>
      </c>
      <c r="H84" s="19">
        <f>IFERROR(__xludf.DUMMYFUNCTION("""COMPUTED_VALUE"""),11.0)</f>
        <v>11</v>
      </c>
      <c r="I84" s="19" t="str">
        <f>IFERROR(__xludf.DUMMYFUNCTION("""COMPUTED_VALUE"""),"Definite detection in all GLOB/FIL regions, even though map does not look great. Broad with wing to blue, so possibly blended multiplet")</f>
        <v>Definite detection in all GLOB/FIL regions, even though map does not look great. Broad with wing to blue, so possibly blended multiplet</v>
      </c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8">
        <f>IFERROR(__xludf.DUMMYFUNCTION("""COMPUTED_VALUE"""),2082.0)</f>
        <v>2082</v>
      </c>
      <c r="B85" s="19" t="str">
        <f>IFERROR(__xludf.DUMMYFUNCTION("""COMPUTED_VALUE"""),"GLOB-E")</f>
        <v>GLOB-E</v>
      </c>
      <c r="C85" s="15">
        <f>IFERROR(__xludf.DUMMYFUNCTION("""COMPUTED_VALUE"""),7202.44482421875)</f>
        <v>7202.444824</v>
      </c>
      <c r="D85" s="15">
        <f>IFERROR(__xludf.DUMMYFUNCTION("""COMPUTED_VALUE"""),7198.82)</f>
        <v>7198.82</v>
      </c>
      <c r="E85" s="19" t="str">
        <f>IFERROR(__xludf.DUMMYFUNCTION("""COMPUTED_VALUE"""),"Deep Neutral??")</f>
        <v>Deep Neutral??</v>
      </c>
      <c r="F85" s="19" t="str">
        <f>IFERROR(__xludf.DUMMYFUNCTION("""COMPUTED_VALUE"""),"UIL")</f>
        <v>UIL</v>
      </c>
      <c r="G85" s="15">
        <f>IFERROR(__xludf.DUMMYFUNCTION("""COMPUTED_VALUE"""),0.5)</f>
        <v>0.5</v>
      </c>
      <c r="H85" s="19" t="str">
        <f>IFERROR(__xludf.DUMMYFUNCTION("""COMPUTED_VALUE"""),"101B")</f>
        <v>101B</v>
      </c>
      <c r="I85" s="19" t="str">
        <f>IFERROR(__xludf.DUMMYFUNCTION("""COMPUTED_VALUE"""),"Very marginal detection")</f>
        <v>Very marginal detection</v>
      </c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8">
        <f>IFERROR(__xludf.DUMMYFUNCTION("""COMPUTED_VALUE"""),2101.0)</f>
        <v>2101</v>
      </c>
      <c r="B86" s="19" t="str">
        <f>IFERROR(__xludf.DUMMYFUNCTION("""COMPUTED_VALUE"""),"GLOB-E")</f>
        <v>GLOB-E</v>
      </c>
      <c r="C86" s="15">
        <f>IFERROR(__xludf.DUMMYFUNCTION("""COMPUTED_VALUE"""),7226.19482421875)</f>
        <v>7226.194824</v>
      </c>
      <c r="D86" s="15">
        <f>IFERROR(__xludf.DUMMYFUNCTION("""COMPUTED_VALUE"""),7223.39)</f>
        <v>7223.39</v>
      </c>
      <c r="E86" s="19" t="str">
        <f>IFERROR(__xludf.DUMMYFUNCTION("""COMPUTED_VALUE"""),"Neutral?")</f>
        <v>Neutral?</v>
      </c>
      <c r="F86" s="19" t="str">
        <f>IFERROR(__xludf.DUMMYFUNCTION("""COMPUTED_VALUE"""),"UIL")</f>
        <v>UIL</v>
      </c>
      <c r="G86" s="15">
        <f>IFERROR(__xludf.DUMMYFUNCTION("""COMPUTED_VALUE"""),1.9)</f>
        <v>1.9</v>
      </c>
      <c r="H86" s="19"/>
      <c r="I86" s="19" t="str">
        <f>IFERROR(__xludf.DUMMYFUNCTION("""COMPUTED_VALUE"""),"Also seen in YSO. ")</f>
        <v>Also seen in YSO. </v>
      </c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8">
        <f>IFERROR(__xludf.DUMMYFUNCTION("""COMPUTED_VALUE"""),2114.0)</f>
        <v>2114</v>
      </c>
      <c r="B87" s="19" t="str">
        <f>IFERROR(__xludf.DUMMYFUNCTION("""COMPUTED_VALUE"""),"GLOB-E")</f>
        <v>GLOB-E</v>
      </c>
      <c r="C87" s="15">
        <f>IFERROR(__xludf.DUMMYFUNCTION("""COMPUTED_VALUE"""),7242.44482421875)</f>
        <v>7242.444824</v>
      </c>
      <c r="D87" s="15">
        <f>IFERROR(__xludf.DUMMYFUNCTION("""COMPUTED_VALUE"""),7237.66)</f>
        <v>7237.66</v>
      </c>
      <c r="E87" s="19" t="str">
        <f>IFERROR(__xludf.DUMMYFUNCTION("""COMPUTED_VALUE"""),"Deep Neutral")</f>
        <v>Deep Neutral</v>
      </c>
      <c r="F87" s="19" t="str">
        <f>IFERROR(__xludf.DUMMYFUNCTION("""COMPUTED_VALUE"""),"UIL+")</f>
        <v>UIL+</v>
      </c>
      <c r="G87" s="15">
        <f>IFERROR(__xludf.DUMMYFUNCTION("""COMPUTED_VALUE"""),3.8)</f>
        <v>3.8</v>
      </c>
      <c r="H87" s="19" t="str">
        <f>IFERROR(__xludf.DUMMYFUNCTION("""COMPUTED_VALUE"""),"11, 101B")</f>
        <v>11, 101B</v>
      </c>
      <c r="I87" s="19" t="str">
        <f>IFERROR(__xludf.DUMMYFUNCTION("""COMPUTED_VALUE"""),"This is a high/low blend, where the neutral line is stronger")</f>
        <v>This is a high/low blend, where the neutral line is stronger</v>
      </c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8">
        <f>IFERROR(__xludf.DUMMYFUNCTION("""COMPUTED_VALUE"""),2127.0)</f>
        <v>2127</v>
      </c>
      <c r="B88" s="19" t="str">
        <f>IFERROR(__xludf.DUMMYFUNCTION("""COMPUTED_VALUE"""),"GLOB-E")</f>
        <v>GLOB-E</v>
      </c>
      <c r="C88" s="15">
        <f>IFERROR(__xludf.DUMMYFUNCTION("""COMPUTED_VALUE"""),7258.69482421875)</f>
        <v>7258.694824</v>
      </c>
      <c r="D88" s="15">
        <f>IFERROR(__xludf.DUMMYFUNCTION("""COMPUTED_VALUE"""),7254.2)</f>
        <v>7254.2</v>
      </c>
      <c r="E88" s="19" t="str">
        <f>IFERROR(__xludf.DUMMYFUNCTION("""COMPUTED_VALUE"""),"Neutral")</f>
        <v>Neutral</v>
      </c>
      <c r="F88" s="19" t="str">
        <f>IFERROR(__xludf.DUMMYFUNCTION("""COMPUTED_VALUE"""),"O I 7254.15+")</f>
        <v>O I 7254.15+</v>
      </c>
      <c r="G88" s="15">
        <f>IFERROR(__xludf.DUMMYFUNCTION("""COMPUTED_VALUE"""),5.4)</f>
        <v>5.4</v>
      </c>
      <c r="H88" s="19" t="str">
        <f>IFERROR(__xludf.DUMMYFUNCTION("""COMPUTED_VALUE"""),"101, 11")</f>
        <v>101, 11</v>
      </c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8">
        <f>IFERROR(__xludf.DUMMYFUNCTION("""COMPUTED_VALUE"""),2134.0)</f>
        <v>2134</v>
      </c>
      <c r="B89" s="19" t="str">
        <f>IFERROR(__xludf.DUMMYFUNCTION("""COMPUTED_VALUE"""),"BS")</f>
        <v>BS</v>
      </c>
      <c r="C89" s="15">
        <f>IFERROR(__xludf.DUMMYFUNCTION("""COMPUTED_VALUE"""),7267.44482421875)</f>
        <v>7267.444824</v>
      </c>
      <c r="D89" s="15">
        <f>IFERROR(__xludf.DUMMYFUNCTION("""COMPUTED_VALUE"""),7262.95)</f>
        <v>7262.95</v>
      </c>
      <c r="E89" s="19" t="str">
        <f>IFERROR(__xludf.DUMMYFUNCTION("""COMPUTED_VALUE"""),"High Neb")</f>
        <v>High Neb</v>
      </c>
      <c r="F89" s="19" t="str">
        <f>IFERROR(__xludf.DUMMYFUNCTION("""COMPUTED_VALUE"""),"[Ar IV] 7262.7+")</f>
        <v>[Ar IV] 7262.7+</v>
      </c>
      <c r="G89" s="15">
        <f>IFERROR(__xludf.DUMMYFUNCTION("""COMPUTED_VALUE"""),3.2)</f>
        <v>3.2</v>
      </c>
      <c r="H89" s="19">
        <f>IFERROR(__xludf.DUMMYFUNCTION("""COMPUTED_VALUE"""),11.0)</f>
        <v>11</v>
      </c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8">
        <f>IFERROR(__xludf.DUMMYFUNCTION("""COMPUTED_VALUE"""),2148.0)</f>
        <v>2148</v>
      </c>
      <c r="B90" s="19" t="str">
        <f>IFERROR(__xludf.DUMMYFUNCTION("""COMPUTED_VALUE"""),"GLOB-E")</f>
        <v>GLOB-E</v>
      </c>
      <c r="C90" s="15">
        <f>IFERROR(__xludf.DUMMYFUNCTION("""COMPUTED_VALUE"""),7284.94482421875)</f>
        <v>7284.944824</v>
      </c>
      <c r="D90" s="15">
        <f>IFERROR(__xludf.DUMMYFUNCTION("""COMPUTED_VALUE"""),7281.16)</f>
        <v>7281.16</v>
      </c>
      <c r="E90" s="19" t="str">
        <f>IFERROR(__xludf.DUMMYFUNCTION("""COMPUTED_VALUE"""),"Med Neb")</f>
        <v>Med Neb</v>
      </c>
      <c r="F90" s="19" t="str">
        <f>IFERROR(__xludf.DUMMYFUNCTION("""COMPUTED_VALUE"""),"He I 7281.35")</f>
        <v>He I 7281.35</v>
      </c>
      <c r="G90" s="15">
        <f>IFERROR(__xludf.DUMMYFUNCTION("""COMPUTED_VALUE"""),20.2)</f>
        <v>20.2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8">
        <f>IFERROR(__xludf.DUMMYFUNCTION("""COMPUTED_VALUE"""),2154.0)</f>
        <v>2154</v>
      </c>
      <c r="B91" s="19" t="str">
        <f>IFERROR(__xludf.DUMMYFUNCTION("""COMPUTED_VALUE"""),"GLOB-E")</f>
        <v>GLOB-E</v>
      </c>
      <c r="C91" s="15">
        <f>IFERROR(__xludf.DUMMYFUNCTION("""COMPUTED_VALUE"""),7292.44482421875)</f>
        <v>7292.444824</v>
      </c>
      <c r="D91" s="15">
        <f>IFERROR(__xludf.DUMMYFUNCTION("""COMPUTED_VALUE"""),7288.21)</f>
        <v>7288.21</v>
      </c>
      <c r="E91" s="19" t="str">
        <f>IFERROR(__xludf.DUMMYFUNCTION("""COMPUTED_VALUE"""),"?")</f>
        <v>?</v>
      </c>
      <c r="F91" s="19" t="str">
        <f>IFERROR(__xludf.DUMMYFUNCTION("""COMPUTED_VALUE"""),"UIL")</f>
        <v>UIL</v>
      </c>
      <c r="G91" s="15">
        <f>IFERROR(__xludf.DUMMYFUNCTION("""COMPUTED_VALUE"""),0.5)</f>
        <v>0.5</v>
      </c>
      <c r="H91" s="19"/>
      <c r="I91" s="19" t="str">
        <f>IFERROR(__xludf.DUMMYFUNCTION("""COMPUTED_VALUE"""),"Only compact sources, but weak in YSO-c")</f>
        <v>Only compact sources, but weak in YSO-c</v>
      </c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8">
        <f>IFERROR(__xludf.DUMMYFUNCTION("""COMPUTED_VALUE"""),2168.0)</f>
        <v>2168</v>
      </c>
      <c r="B92" s="19" t="str">
        <f>IFERROR(__xludf.DUMMYFUNCTION("""COMPUTED_VALUE"""),"GLOB-E")</f>
        <v>GLOB-E</v>
      </c>
      <c r="C92" s="15">
        <f>IFERROR(__xludf.DUMMYFUNCTION("""COMPUTED_VALUE"""),7309.94482421875)</f>
        <v>7309.944824</v>
      </c>
      <c r="D92" s="15">
        <f>IFERROR(__xludf.DUMMYFUNCTION("""COMPUTED_VALUE"""),7306.08)</f>
        <v>7306.08</v>
      </c>
      <c r="E92" s="19" t="str">
        <f>IFERROR(__xludf.DUMMYFUNCTION("""COMPUTED_VALUE"""),"Deep Neutral??")</f>
        <v>Deep Neutral??</v>
      </c>
      <c r="F92" s="19" t="str">
        <f>IFERROR(__xludf.DUMMYFUNCTION("""COMPUTED_VALUE"""),"UIL")</f>
        <v>UIL</v>
      </c>
      <c r="G92" s="15">
        <f>IFERROR(__xludf.DUMMYFUNCTION("""COMPUTED_VALUE"""),0.2)</f>
        <v>0.2</v>
      </c>
      <c r="H92" s="19" t="str">
        <f>IFERROR(__xludf.DUMMYFUNCTION("""COMPUTED_VALUE"""),"101B")</f>
        <v>101B</v>
      </c>
      <c r="I92" s="19" t="str">
        <f>IFERROR(__xludf.DUMMYFUNCTION("""COMPUTED_VALUE"""),"Very weak. Not convinced this is real")</f>
        <v>Very weak. Not convinced this is real</v>
      </c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8">
        <f>IFERROR(__xludf.DUMMYFUNCTION("""COMPUTED_VALUE"""),2173.0)</f>
        <v>2173</v>
      </c>
      <c r="B93" s="19" t="str">
        <f>IFERROR(__xludf.DUMMYFUNCTION("""COMPUTED_VALUE"""),"GLOB-E")</f>
        <v>GLOB-E</v>
      </c>
      <c r="C93" s="15">
        <f>IFERROR(__xludf.DUMMYFUNCTION("""COMPUTED_VALUE"""),7316.19482421875)</f>
        <v>7316.194824</v>
      </c>
      <c r="D93" s="15">
        <f>IFERROR(__xludf.DUMMYFUNCTION("""COMPUTED_VALUE"""),7312.98)</f>
        <v>7312.98</v>
      </c>
      <c r="E93" s="19" t="str">
        <f>IFERROR(__xludf.DUMMYFUNCTION("""COMPUTED_VALUE"""),"Sky")</f>
        <v>Sky</v>
      </c>
      <c r="F93" s="19" t="str">
        <f>IFERROR(__xludf.DUMMYFUNCTION("""COMPUTED_VALUE"""),"OH 7316.3+")</f>
        <v>OH 7316.3+</v>
      </c>
      <c r="G93" s="15">
        <f>IFERROR(__xludf.DUMMYFUNCTION("""COMPUTED_VALUE"""),2.6)</f>
        <v>2.6</v>
      </c>
      <c r="H93" s="19" t="str">
        <f>IFERROR(__xludf.DUMMYFUNCTION("""COMPUTED_VALUE"""),"101, 101B")</f>
        <v>101, 101B</v>
      </c>
      <c r="I93" s="19" t="str">
        <f>IFERROR(__xludf.DUMMYFUNCTION("""COMPUTED_VALUE"""),"There may be a real line here too, but hard to see")</f>
        <v>There may be a real line here too, but hard to see</v>
      </c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8">
        <f>IFERROR(__xludf.DUMMYFUNCTION("""COMPUTED_VALUE"""),2179.0)</f>
        <v>2179</v>
      </c>
      <c r="B94" s="19" t="str">
        <f>IFERROR(__xludf.DUMMYFUNCTION("""COMPUTED_VALUE"""),"GLOB-E")</f>
        <v>GLOB-E</v>
      </c>
      <c r="C94" s="15">
        <f>IFERROR(__xludf.DUMMYFUNCTION("""COMPUTED_VALUE"""),7323.69482421875)</f>
        <v>7323.694824</v>
      </c>
      <c r="D94" s="15">
        <f>IFERROR(__xludf.DUMMYFUNCTION("""COMPUTED_VALUE"""),7319.85)</f>
        <v>7319.85</v>
      </c>
      <c r="E94" s="19" t="str">
        <f>IFERROR(__xludf.DUMMYFUNCTION("""COMPUTED_VALUE"""),"Low Neb")</f>
        <v>Low Neb</v>
      </c>
      <c r="F94" s="19" t="str">
        <f>IFERROR(__xludf.DUMMYFUNCTION("""COMPUTED_VALUE"""),"[O II] 7319.99+")</f>
        <v>[O II] 7319.99+</v>
      </c>
      <c r="G94" s="15">
        <f>IFERROR(__xludf.DUMMYFUNCTION("""COMPUTED_VALUE"""),71.0)</f>
        <v>71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8">
        <f>IFERROR(__xludf.DUMMYFUNCTION("""COMPUTED_VALUE"""),2187.0)</f>
        <v>2187</v>
      </c>
      <c r="B95" s="19" t="str">
        <f>IFERROR(__xludf.DUMMYFUNCTION("""COMPUTED_VALUE"""),"GLOB-E")</f>
        <v>GLOB-E</v>
      </c>
      <c r="C95" s="15">
        <f>IFERROR(__xludf.DUMMYFUNCTION("""COMPUTED_VALUE"""),7333.69482421875)</f>
        <v>7333.694824</v>
      </c>
      <c r="D95" s="15">
        <f>IFERROR(__xludf.DUMMYFUNCTION("""COMPUTED_VALUE"""),7330.14)</f>
        <v>7330.14</v>
      </c>
      <c r="E95" s="19" t="str">
        <f>IFERROR(__xludf.DUMMYFUNCTION("""COMPUTED_VALUE"""),"Low Neb")</f>
        <v>Low Neb</v>
      </c>
      <c r="F95" s="19" t="str">
        <f>IFERROR(__xludf.DUMMYFUNCTION("""COMPUTED_VALUE"""),"[O II] 7330.73+")</f>
        <v>[O II] 7330.73+</v>
      </c>
      <c r="G95" s="15">
        <f>IFERROR(__xludf.DUMMYFUNCTION("""COMPUTED_VALUE"""),48.0)</f>
        <v>48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8">
        <f>IFERROR(__xludf.DUMMYFUNCTION("""COMPUTED_VALUE"""),2199.0)</f>
        <v>2199</v>
      </c>
      <c r="B96" s="19" t="str">
        <f>IFERROR(__xludf.DUMMYFUNCTION("""COMPUTED_VALUE"""),"GLOB-E")</f>
        <v>GLOB-E</v>
      </c>
      <c r="C96" s="15">
        <f>IFERROR(__xludf.DUMMYFUNCTION("""COMPUTED_VALUE"""),7348.69482421875)</f>
        <v>7348.694824</v>
      </c>
      <c r="D96" s="15">
        <f>IFERROR(__xludf.DUMMYFUNCTION("""COMPUTED_VALUE"""),7345.24)</f>
        <v>7345.24</v>
      </c>
      <c r="E96" s="19" t="str">
        <f>IFERROR(__xludf.DUMMYFUNCTION("""COMPUTED_VALUE"""),"Deep Neutral?")</f>
        <v>Deep Neutral?</v>
      </c>
      <c r="F96" s="19" t="str">
        <f>IFERROR(__xludf.DUMMYFUNCTION("""COMPUTED_VALUE"""),"UIL")</f>
        <v>UIL</v>
      </c>
      <c r="G96" s="15">
        <f>IFERROR(__xludf.DUMMYFUNCTION("""COMPUTED_VALUE"""),0.8)</f>
        <v>0.8</v>
      </c>
      <c r="H96" s="19" t="str">
        <f>IFERROR(__xludf.DUMMYFUNCTION("""COMPUTED_VALUE"""),"101B")</f>
        <v>101B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8">
        <f>IFERROR(__xludf.DUMMYFUNCTION("""COMPUTED_VALUE"""),2225.0)</f>
        <v>2225</v>
      </c>
      <c r="B97" s="19" t="str">
        <f>IFERROR(__xludf.DUMMYFUNCTION("""COMPUTED_VALUE"""),"GLOB-E")</f>
        <v>GLOB-E</v>
      </c>
      <c r="C97" s="15">
        <f>IFERROR(__xludf.DUMMYFUNCTION("""COMPUTED_VALUE"""),7381.19482421875)</f>
        <v>7381.194824</v>
      </c>
      <c r="D97" s="15">
        <f>IFERROR(__xludf.DUMMYFUNCTION("""COMPUTED_VALUE"""),7377.51)</f>
        <v>7377.51</v>
      </c>
      <c r="E97" s="19" t="str">
        <f>IFERROR(__xludf.DUMMYFUNCTION("""COMPUTED_VALUE"""),"Fe, Ni")</f>
        <v>Fe, Ni</v>
      </c>
      <c r="F97" s="19" t="str">
        <f>IFERROR(__xludf.DUMMYFUNCTION("""COMPUTED_VALUE"""),"[Ni II] 7377.83")</f>
        <v>[Ni II] 7377.83</v>
      </c>
      <c r="G97" s="15">
        <f>IFERROR(__xludf.DUMMYFUNCTION("""COMPUTED_VALUE"""),1.3)</f>
        <v>1.3</v>
      </c>
      <c r="H97" s="19"/>
      <c r="I97" s="19" t="str">
        <f>IFERROR(__xludf.DUMMYFUNCTION("""COMPUTED_VALUE"""),"Compact sources only")</f>
        <v>Compact sources only</v>
      </c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8">
        <f>IFERROR(__xludf.DUMMYFUNCTION("""COMPUTED_VALUE"""),2252.0)</f>
        <v>2252</v>
      </c>
      <c r="B98" s="19" t="str">
        <f>IFERROR(__xludf.DUMMYFUNCTION("""COMPUTED_VALUE"""),"GLOB-E")</f>
        <v>GLOB-E</v>
      </c>
      <c r="C98" s="15">
        <f>IFERROR(__xludf.DUMMYFUNCTION("""COMPUTED_VALUE"""),7414.94482421875)</f>
        <v>7414.944824</v>
      </c>
      <c r="D98" s="15">
        <f>IFERROR(__xludf.DUMMYFUNCTION("""COMPUTED_VALUE"""),7411.65)</f>
        <v>7411.65</v>
      </c>
      <c r="E98" s="19" t="str">
        <f>IFERROR(__xludf.DUMMYFUNCTION("""COMPUTED_VALUE"""),"Fe, Ni")</f>
        <v>Fe, Ni</v>
      </c>
      <c r="F98" s="19" t="str">
        <f>IFERROR(__xludf.DUMMYFUNCTION("""COMPUTED_VALUE"""),"[Ni II] 7411.61 ")</f>
        <v>[Ni II] 7411.61 </v>
      </c>
      <c r="G98" s="15">
        <f>IFERROR(__xludf.DUMMYFUNCTION("""COMPUTED_VALUE"""),0.6)</f>
        <v>0.6</v>
      </c>
      <c r="H98" s="19"/>
      <c r="I98" s="19" t="str">
        <f>IFERROR(__xludf.DUMMYFUNCTION("""COMPUTED_VALUE"""),"Compact sources only")</f>
        <v>Compact sources only</v>
      </c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8">
        <f>IFERROR(__xludf.DUMMYFUNCTION("""COMPUTED_VALUE"""),2263.0)</f>
        <v>2263</v>
      </c>
      <c r="B99" s="19" t="str">
        <f>IFERROR(__xludf.DUMMYFUNCTION("""COMPUTED_VALUE"""),"GLOB-E")</f>
        <v>GLOB-E</v>
      </c>
      <c r="C99" s="15">
        <f>IFERROR(__xludf.DUMMYFUNCTION("""COMPUTED_VALUE"""),7428.69482421875)</f>
        <v>7428.694824</v>
      </c>
      <c r="D99" s="15">
        <f>IFERROR(__xludf.DUMMYFUNCTION("""COMPUTED_VALUE"""),7426.28)</f>
        <v>7426.28</v>
      </c>
      <c r="E99" s="19" t="str">
        <f>IFERROR(__xludf.DUMMYFUNCTION("""COMPUTED_VALUE"""),"Fe, Ni?")</f>
        <v>Fe, Ni?</v>
      </c>
      <c r="F99" s="19" t="str">
        <f>IFERROR(__xludf.DUMMYFUNCTION("""COMPUTED_VALUE"""),"UIL")</f>
        <v>UIL</v>
      </c>
      <c r="G99" s="15">
        <f>IFERROR(__xludf.DUMMYFUNCTION("""COMPUTED_VALUE"""),0.5)</f>
        <v>0.5</v>
      </c>
      <c r="H99" s="19"/>
      <c r="I99" s="19" t="str">
        <f>IFERROR(__xludf.DUMMYFUNCTION("""COMPUTED_VALUE"""),"Compact sources only")</f>
        <v>Compact sources only</v>
      </c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8">
        <f>IFERROR(__xludf.DUMMYFUNCTION("""COMPUTED_VALUE"""),2277.0)</f>
        <v>2277</v>
      </c>
      <c r="B100" s="19" t="str">
        <f>IFERROR(__xludf.DUMMYFUNCTION("""COMPUTED_VALUE"""),"GLOB-E")</f>
        <v>GLOB-E</v>
      </c>
      <c r="C100" s="15">
        <f>IFERROR(__xludf.DUMMYFUNCTION("""COMPUTED_VALUE"""),7446.19482421875)</f>
        <v>7446.194824</v>
      </c>
      <c r="D100" s="15">
        <f>IFERROR(__xludf.DUMMYFUNCTION("""COMPUTED_VALUE"""),7442.47)</f>
        <v>7442.47</v>
      </c>
      <c r="E100" s="19" t="str">
        <f>IFERROR(__xludf.DUMMYFUNCTION("""COMPUTED_VALUE"""),"Neutral")</f>
        <v>Neutral</v>
      </c>
      <c r="F100" s="19" t="str">
        <f>IFERROR(__xludf.DUMMYFUNCTION("""COMPUTED_VALUE"""),"N I 7442.30")</f>
        <v>N I 7442.30</v>
      </c>
      <c r="G100" s="15">
        <f>IFERROR(__xludf.DUMMYFUNCTION("""COMPUTED_VALUE"""),1.1)</f>
        <v>1.1</v>
      </c>
      <c r="H100" s="19">
        <f>IFERROR(__xludf.DUMMYFUNCTION("""COMPUTED_VALUE"""),101.0)</f>
        <v>101</v>
      </c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8">
        <f>IFERROR(__xludf.DUMMYFUNCTION("""COMPUTED_VALUE"""),2294.0)</f>
        <v>2294</v>
      </c>
      <c r="B101" s="19" t="str">
        <f>IFERROR(__xludf.DUMMYFUNCTION("""COMPUTED_VALUE"""),"GLOB-E")</f>
        <v>GLOB-E</v>
      </c>
      <c r="C101" s="15">
        <f>IFERROR(__xludf.DUMMYFUNCTION("""COMPUTED_VALUE"""),7467.44482421875)</f>
        <v>7467.444824</v>
      </c>
      <c r="D101" s="15">
        <f>IFERROR(__xludf.DUMMYFUNCTION("""COMPUTED_VALUE"""),7462.86)</f>
        <v>7462.86</v>
      </c>
      <c r="E101" s="19" t="str">
        <f>IFERROR(__xludf.DUMMYFUNCTION("""COMPUTED_VALUE"""),"Deep Neutral")</f>
        <v>Deep Neutral</v>
      </c>
      <c r="F101" s="19" t="str">
        <f>IFERROR(__xludf.DUMMYFUNCTION("""COMPUTED_VALUE"""),"UIL")</f>
        <v>UIL</v>
      </c>
      <c r="G101" s="15">
        <f>IFERROR(__xludf.DUMMYFUNCTION("""COMPUTED_VALUE"""),3.7)</f>
        <v>3.7</v>
      </c>
      <c r="H101" s="19">
        <f>IFERROR(__xludf.DUMMYFUNCTION("""COMPUTED_VALUE"""),101.0)</f>
        <v>101</v>
      </c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8">
        <f>IFERROR(__xludf.DUMMYFUNCTION("""COMPUTED_VALUE"""),2298.0)</f>
        <v>2298</v>
      </c>
      <c r="B102" s="19" t="str">
        <f>IFERROR(__xludf.DUMMYFUNCTION("""COMPUTED_VALUE"""),"GLOB-E")</f>
        <v>GLOB-E</v>
      </c>
      <c r="C102" s="15">
        <f>IFERROR(__xludf.DUMMYFUNCTION("""COMPUTED_VALUE"""),7472.44482421875)</f>
        <v>7472.444824</v>
      </c>
      <c r="D102" s="15">
        <f>IFERROR(__xludf.DUMMYFUNCTION("""COMPUTED_VALUE"""),7468.61)</f>
        <v>7468.61</v>
      </c>
      <c r="E102" s="19" t="str">
        <f>IFERROR(__xludf.DUMMYFUNCTION("""COMPUTED_VALUE"""),"Neutral")</f>
        <v>Neutral</v>
      </c>
      <c r="F102" s="19" t="str">
        <f>IFERROR(__xludf.DUMMYFUNCTION("""COMPUTED_VALUE"""),"N I 7468.31")</f>
        <v>N I 7468.31</v>
      </c>
      <c r="G102" s="15">
        <f>IFERROR(__xludf.DUMMYFUNCTION("""COMPUTED_VALUE"""),2.0)</f>
        <v>2</v>
      </c>
      <c r="H102" s="19">
        <f>IFERROR(__xludf.DUMMYFUNCTION("""COMPUTED_VALUE"""),101.0)</f>
        <v>101</v>
      </c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8">
        <f>IFERROR(__xludf.DUMMYFUNCTION("""COMPUTED_VALUE"""),2314.0)</f>
        <v>2314</v>
      </c>
      <c r="B103" s="19" t="str">
        <f>IFERROR(__xludf.DUMMYFUNCTION("""COMPUTED_VALUE"""),"GLOB-E")</f>
        <v>GLOB-E</v>
      </c>
      <c r="C103" s="15">
        <f>IFERROR(__xludf.DUMMYFUNCTION("""COMPUTED_VALUE"""),7492.44482421875)</f>
        <v>7492.444824</v>
      </c>
      <c r="D103" s="15">
        <f>IFERROR(__xludf.DUMMYFUNCTION("""COMPUTED_VALUE"""),7488.22)</f>
        <v>7488.22</v>
      </c>
      <c r="E103" s="19" t="str">
        <f>IFERROR(__xludf.DUMMYFUNCTION("""COMPUTED_VALUE"""),"Deep Neutral")</f>
        <v>Deep Neutral</v>
      </c>
      <c r="F103" s="19" t="str">
        <f>IFERROR(__xludf.DUMMYFUNCTION("""COMPUTED_VALUE"""),"UIL")</f>
        <v>UIL</v>
      </c>
      <c r="G103" s="15">
        <f>IFERROR(__xludf.DUMMYFUNCTION("""COMPUTED_VALUE"""),1.6)</f>
        <v>1.6</v>
      </c>
      <c r="H103" s="19" t="str">
        <f>IFERROR(__xludf.DUMMYFUNCTION("""COMPUTED_VALUE"""),"11, 101")</f>
        <v>11, 101</v>
      </c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8">
        <f>IFERROR(__xludf.DUMMYFUNCTION("""COMPUTED_VALUE"""),2323.0)</f>
        <v>2323</v>
      </c>
      <c r="B104" s="19" t="str">
        <f>IFERROR(__xludf.DUMMYFUNCTION("""COMPUTED_VALUE"""),"GLOB-E")</f>
        <v>GLOB-E</v>
      </c>
      <c r="C104" s="15">
        <f>IFERROR(__xludf.DUMMYFUNCTION("""COMPUTED_VALUE"""),7503.69482421875)</f>
        <v>7503.694824</v>
      </c>
      <c r="D104" s="15">
        <f>IFERROR(__xludf.DUMMYFUNCTION("""COMPUTED_VALUE"""),7499.61)</f>
        <v>7499.61</v>
      </c>
      <c r="E104" s="19" t="str">
        <f>IFERROR(__xludf.DUMMYFUNCTION("""COMPUTED_VALUE"""),"Med Neb")</f>
        <v>Med Neb</v>
      </c>
      <c r="F104" s="19" t="str">
        <f>IFERROR(__xludf.DUMMYFUNCTION("""COMPUTED_VALUE"""),"He I 7499.85")</f>
        <v>He I 7499.85</v>
      </c>
      <c r="G104" s="15">
        <f>IFERROR(__xludf.DUMMYFUNCTION("""COMPUTED_VALUE"""),1.2)</f>
        <v>1.2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8">
        <f>IFERROR(__xludf.DUMMYFUNCTION("""COMPUTED_VALUE"""),2334.0)</f>
        <v>2334</v>
      </c>
      <c r="B105" s="19" t="str">
        <f>IFERROR(__xludf.DUMMYFUNCTION("""COMPUTED_VALUE"""),"GLOB-E")</f>
        <v>GLOB-E</v>
      </c>
      <c r="C105" s="15">
        <f>IFERROR(__xludf.DUMMYFUNCTION("""COMPUTED_VALUE"""),7517.44482421875)</f>
        <v>7517.444824</v>
      </c>
      <c r="D105" s="15">
        <f>IFERROR(__xludf.DUMMYFUNCTION("""COMPUTED_VALUE"""),7513.3)</f>
        <v>7513.3</v>
      </c>
      <c r="E105" s="19" t="str">
        <f>IFERROR(__xludf.DUMMYFUNCTION("""COMPUTED_VALUE"""),"Fe, Ni")</f>
        <v>Fe, Ni</v>
      </c>
      <c r="F105" s="19" t="str">
        <f>IFERROR(__xludf.DUMMYFUNCTION("""COMPUTED_VALUE"""),"Fe II 7513.1762")</f>
        <v>Fe II 7513.1762</v>
      </c>
      <c r="G105" s="15">
        <f>IFERROR(__xludf.DUMMYFUNCTION("""COMPUTED_VALUE"""),1.5)</f>
        <v>1.5</v>
      </c>
      <c r="H105" s="19"/>
      <c r="I105" s="19" t="str">
        <f>IFERROR(__xludf.DUMMYFUNCTION("""COMPUTED_VALUE"""),"Compact sources only")</f>
        <v>Compact sources only</v>
      </c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8">
        <f>IFERROR(__xludf.DUMMYFUNCTION("""COMPUTED_VALUE"""),2345.0)</f>
        <v>2345</v>
      </c>
      <c r="B106" s="19" t="str">
        <f>IFERROR(__xludf.DUMMYFUNCTION("""COMPUTED_VALUE"""),"GLOB-E")</f>
        <v>GLOB-E</v>
      </c>
      <c r="C106" s="15">
        <f>IFERROR(__xludf.DUMMYFUNCTION("""COMPUTED_VALUE"""),7531.19482421875)</f>
        <v>7531.194824</v>
      </c>
      <c r="D106" s="15">
        <f>IFERROR(__xludf.DUMMYFUNCTION("""COMPUTED_VALUE"""),7528.26)</f>
        <v>7528.26</v>
      </c>
      <c r="E106" s="19" t="str">
        <f>IFERROR(__xludf.DUMMYFUNCTION("""COMPUTED_VALUE"""),"Deep Neutral?")</f>
        <v>Deep Neutral?</v>
      </c>
      <c r="F106" s="19" t="str">
        <f>IFERROR(__xludf.DUMMYFUNCTION("""COMPUTED_VALUE"""),"UIL+")</f>
        <v>UIL+</v>
      </c>
      <c r="G106" s="15">
        <f>IFERROR(__xludf.DUMMYFUNCTION("""COMPUTED_VALUE"""),2.4)</f>
        <v>2.4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8">
        <f>IFERROR(__xludf.DUMMYFUNCTION("""COMPUTED_VALUE"""),2348.0)</f>
        <v>2348</v>
      </c>
      <c r="B107" s="19" t="str">
        <f>IFERROR(__xludf.DUMMYFUNCTION("""COMPUTED_VALUE"""),"BS")</f>
        <v>BS</v>
      </c>
      <c r="C107" s="15">
        <f>IFERROR(__xludf.DUMMYFUNCTION("""COMPUTED_VALUE"""),7534.94482421875)</f>
        <v>7534.944824</v>
      </c>
      <c r="D107" s="15">
        <f>IFERROR(__xludf.DUMMYFUNCTION("""COMPUTED_VALUE"""),7530.23)</f>
        <v>7530.23</v>
      </c>
      <c r="E107" s="19" t="str">
        <f>IFERROR(__xludf.DUMMYFUNCTION("""COMPUTED_VALUE"""),"High Neb")</f>
        <v>High Neb</v>
      </c>
      <c r="F107" s="19" t="str">
        <f>IFERROR(__xludf.DUMMYFUNCTION("""COMPUTED_VALUE"""),"[Cl IV] 7530.8")</f>
        <v>[Cl IV] 7530.8</v>
      </c>
      <c r="G107" s="15">
        <f>IFERROR(__xludf.DUMMYFUNCTION("""COMPUTED_VALUE"""),6.7)</f>
        <v>6.7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8">
        <f>IFERROR(__xludf.DUMMYFUNCTION("""COMPUTED_VALUE"""),2378.0)</f>
        <v>2378</v>
      </c>
      <c r="B108" s="19" t="str">
        <f>IFERROR(__xludf.DUMMYFUNCTION("""COMPUTED_VALUE"""),"GLOB-E")</f>
        <v>GLOB-E</v>
      </c>
      <c r="C108" s="15">
        <f>IFERROR(__xludf.DUMMYFUNCTION("""COMPUTED_VALUE"""),7572.44482421875)</f>
        <v>7572.444824</v>
      </c>
      <c r="D108" s="15">
        <f>IFERROR(__xludf.DUMMYFUNCTION("""COMPUTED_VALUE"""),7567.84)</f>
        <v>7567.84</v>
      </c>
      <c r="E108" s="19" t="str">
        <f>IFERROR(__xludf.DUMMYFUNCTION("""COMPUTED_VALUE"""),"Sky")</f>
        <v>Sky</v>
      </c>
      <c r="F108" s="19" t="str">
        <f>IFERROR(__xludf.DUMMYFUNCTION("""COMPUTED_VALUE"""),"OH 7571.7+")</f>
        <v>OH 7571.7+</v>
      </c>
      <c r="G108" s="15">
        <f>IFERROR(__xludf.DUMMYFUNCTION("""COMPUTED_VALUE"""),1.9)</f>
        <v>1.9</v>
      </c>
      <c r="H108" s="19"/>
      <c r="I108" s="19" t="str">
        <f>IFERROR(__xludf.DUMMYFUNCTION("""COMPUTED_VALUE"""),"Possible blend with weak Deep Neutral UIL")</f>
        <v>Possible blend with weak Deep Neutral UIL</v>
      </c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8">
        <f>IFERROR(__xludf.DUMMYFUNCTION("""COMPUTED_VALUE"""),2426.0)</f>
        <v>2426</v>
      </c>
      <c r="B109" s="19" t="str">
        <f>IFERROR(__xludf.DUMMYFUNCTION("""COMPUTED_VALUE"""),"GLOB-E")</f>
        <v>GLOB-E</v>
      </c>
      <c r="C109" s="15">
        <f>IFERROR(__xludf.DUMMYFUNCTION("""COMPUTED_VALUE"""),7632.44482421875)</f>
        <v>7632.444824</v>
      </c>
      <c r="D109" s="15">
        <f>IFERROR(__xludf.DUMMYFUNCTION("""COMPUTED_VALUE"""),7628.76)</f>
        <v>7628.76</v>
      </c>
      <c r="E109" s="19" t="str">
        <f>IFERROR(__xludf.DUMMYFUNCTION("""COMPUTED_VALUE"""),"Deep Neutral")</f>
        <v>Deep Neutral</v>
      </c>
      <c r="F109" s="19" t="str">
        <f>IFERROR(__xludf.DUMMYFUNCTION("""COMPUTED_VALUE"""),"UIL")</f>
        <v>UIL</v>
      </c>
      <c r="G109" s="15">
        <f>IFERROR(__xludf.DUMMYFUNCTION("""COMPUTED_VALUE"""),8.2)</f>
        <v>8.2</v>
      </c>
      <c r="H109" s="19">
        <f>IFERROR(__xludf.DUMMYFUNCTION("""COMPUTED_VALUE"""),11.0)</f>
        <v>11</v>
      </c>
      <c r="I109" s="19" t="str">
        <f>IFERROR(__xludf.DUMMYFUNCTION("""COMPUTED_VALUE"""),"Strength overestimated in GLOB-E due to  telluric oversubtraction")</f>
        <v>Strength overestimated in GLOB-E due to  telluric oversubtraction</v>
      </c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8">
        <f>IFERROR(__xludf.DUMMYFUNCTION("""COMPUTED_VALUE"""),2434.0)</f>
        <v>2434</v>
      </c>
      <c r="B110" s="19" t="str">
        <f>IFERROR(__xludf.DUMMYFUNCTION("""COMPUTED_VALUE"""),"GLOB-E")</f>
        <v>GLOB-E</v>
      </c>
      <c r="C110" s="15">
        <f>IFERROR(__xludf.DUMMYFUNCTION("""COMPUTED_VALUE"""),7642.44482421875)</f>
        <v>7642.444824</v>
      </c>
      <c r="D110" s="15">
        <f>IFERROR(__xludf.DUMMYFUNCTION("""COMPUTED_VALUE"""),7637.63)</f>
        <v>7637.63</v>
      </c>
      <c r="E110" s="19" t="str">
        <f>IFERROR(__xludf.DUMMYFUNCTION("""COMPUTED_VALUE"""),"Deep Neutral")</f>
        <v>Deep Neutral</v>
      </c>
      <c r="F110" s="19" t="str">
        <f>IFERROR(__xludf.DUMMYFUNCTION("""COMPUTED_VALUE"""),"UIL")</f>
        <v>UIL</v>
      </c>
      <c r="G110" s="15">
        <f>IFERROR(__xludf.DUMMYFUNCTION("""COMPUTED_VALUE"""),5.2)</f>
        <v>5.2</v>
      </c>
      <c r="H110" s="19">
        <f>IFERROR(__xludf.DUMMYFUNCTION("""COMPUTED_VALUE"""),11.0)</f>
        <v>11</v>
      </c>
      <c r="I110" s="19" t="str">
        <f>IFERROR(__xludf.DUMMYFUNCTION("""COMPUTED_VALUE"""),"Same as previous")</f>
        <v>Same as previous</v>
      </c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8">
        <f>IFERROR(__xludf.DUMMYFUNCTION("""COMPUTED_VALUE"""),2454.0)</f>
        <v>2454</v>
      </c>
      <c r="B111" s="19" t="str">
        <f>IFERROR(__xludf.DUMMYFUNCTION("""COMPUTED_VALUE"""),"GLOB-E")</f>
        <v>GLOB-E</v>
      </c>
      <c r="C111" s="15">
        <f>IFERROR(__xludf.DUMMYFUNCTION("""COMPUTED_VALUE"""),7667.44482421875)</f>
        <v>7667.444824</v>
      </c>
      <c r="D111" s="15">
        <f>IFERROR(__xludf.DUMMYFUNCTION("""COMPUTED_VALUE"""),7663.33)</f>
        <v>7663.33</v>
      </c>
      <c r="E111" s="19" t="str">
        <f>IFERROR(__xludf.DUMMYFUNCTION("""COMPUTED_VALUE"""),"Deep Neutral")</f>
        <v>Deep Neutral</v>
      </c>
      <c r="F111" s="19" t="str">
        <f>IFERROR(__xludf.DUMMYFUNCTION("""COMPUTED_VALUE"""),"UIL")</f>
        <v>UIL</v>
      </c>
      <c r="G111" s="15">
        <f>IFERROR(__xludf.DUMMYFUNCTION("""COMPUTED_VALUE"""),6.3)</f>
        <v>6.3</v>
      </c>
      <c r="H111" s="19" t="str">
        <f>IFERROR(__xludf.DUMMYFUNCTION("""COMPUTED_VALUE"""),"11, 101")</f>
        <v>11, 101</v>
      </c>
      <c r="I111" s="19" t="str">
        <f>IFERROR(__xludf.DUMMYFUNCTION("""COMPUTED_VALUE"""),"Telluric affect much less here")</f>
        <v>Telluric affect much less here</v>
      </c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8">
        <f>IFERROR(__xludf.DUMMYFUNCTION("""COMPUTED_VALUE"""),2490.0)</f>
        <v>2490</v>
      </c>
      <c r="B112" s="19" t="str">
        <f>IFERROR(__xludf.DUMMYFUNCTION("""COMPUTED_VALUE"""),"GLOB-E")</f>
        <v>GLOB-E</v>
      </c>
      <c r="C112" s="15">
        <f>IFERROR(__xludf.DUMMYFUNCTION("""COMPUTED_VALUE"""),7712.44482421875)</f>
        <v>7712.444824</v>
      </c>
      <c r="D112" s="15">
        <f>IFERROR(__xludf.DUMMYFUNCTION("""COMPUTED_VALUE"""),7707.51)</f>
        <v>7707.51</v>
      </c>
      <c r="E112" s="19" t="str">
        <f>IFERROR(__xludf.DUMMYFUNCTION("""COMPUTED_VALUE"""),"Deep Neutral")</f>
        <v>Deep Neutral</v>
      </c>
      <c r="F112" s="19" t="str">
        <f>IFERROR(__xludf.DUMMYFUNCTION("""COMPUTED_VALUE"""),"UIL+")</f>
        <v>UIL+</v>
      </c>
      <c r="G112" s="15">
        <f>IFERROR(__xludf.DUMMYFUNCTION("""COMPUTED_VALUE"""),4.0)</f>
        <v>4</v>
      </c>
      <c r="H112" s="19" t="str">
        <f>IFERROR(__xludf.DUMMYFUNCTION("""COMPUTED_VALUE"""),"11, 101")</f>
        <v>11, 101</v>
      </c>
      <c r="I112" s="19" t="str">
        <f>IFERROR(__xludf.DUMMYFUNCTION("""COMPUTED_VALUE"""),"Osterbrock has OH 7712 slightly weaker than 7717, so sky contamination is probably &lt; 50%")</f>
        <v>Osterbrock has OH 7712 slightly weaker than 7717, so sky contamination is probably &lt; 50%</v>
      </c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8">
        <f>IFERROR(__xludf.DUMMYFUNCTION("""COMPUTED_VALUE"""),2494.0)</f>
        <v>2494</v>
      </c>
      <c r="B113" s="19" t="str">
        <f>IFERROR(__xludf.DUMMYFUNCTION("""COMPUTED_VALUE"""),"GLOB-E")</f>
        <v>GLOB-E</v>
      </c>
      <c r="C113" s="15">
        <f>IFERROR(__xludf.DUMMYFUNCTION("""COMPUTED_VALUE"""),7717.44482421875)</f>
        <v>7717.444824</v>
      </c>
      <c r="D113" s="15">
        <f>IFERROR(__xludf.DUMMYFUNCTION("""COMPUTED_VALUE"""),7713.58)</f>
        <v>7713.58</v>
      </c>
      <c r="E113" s="19" t="str">
        <f>IFERROR(__xludf.DUMMYFUNCTION("""COMPUTED_VALUE"""),"Sky")</f>
        <v>Sky</v>
      </c>
      <c r="F113" s="19" t="str">
        <f>IFERROR(__xludf.DUMMYFUNCTION("""COMPUTED_VALUE"""),"OH 7717+")</f>
        <v>OH 7717+</v>
      </c>
      <c r="G113" s="15">
        <f>IFERROR(__xludf.DUMMYFUNCTION("""COMPUTED_VALUE"""),2.5)</f>
        <v>2.5</v>
      </c>
      <c r="H113" s="19"/>
      <c r="I113" s="19" t="str">
        <f>IFERROR(__xludf.DUMMYFUNCTION("""COMPUTED_VALUE"""),"Sky contamination is too strong to measure line")</f>
        <v>Sky contamination is too strong to measure line</v>
      </c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8">
        <f>IFERROR(__xludf.DUMMYFUNCTION("""COMPUTED_VALUE"""),2501.0)</f>
        <v>2501</v>
      </c>
      <c r="B114" s="19" t="str">
        <f>IFERROR(__xludf.DUMMYFUNCTION("""COMPUTED_VALUE"""),"GLOB-E")</f>
        <v>GLOB-E</v>
      </c>
      <c r="C114" s="15">
        <f>IFERROR(__xludf.DUMMYFUNCTION("""COMPUTED_VALUE"""),7726.19482421875)</f>
        <v>7726.194824</v>
      </c>
      <c r="D114" s="15">
        <f>IFERROR(__xludf.DUMMYFUNCTION("""COMPUTED_VALUE"""),7722.36)</f>
        <v>7722.36</v>
      </c>
      <c r="E114" s="19" t="str">
        <f>IFERROR(__xludf.DUMMYFUNCTION("""COMPUTED_VALUE"""),"Deep Neutral?")</f>
        <v>Deep Neutral?</v>
      </c>
      <c r="F114" s="19" t="str">
        <f>IFERROR(__xludf.DUMMYFUNCTION("""COMPUTED_VALUE"""),"UIL+")</f>
        <v>UIL+</v>
      </c>
      <c r="G114" s="15">
        <f>IFERROR(__xludf.DUMMYFUNCTION("""COMPUTED_VALUE"""),1.1)</f>
        <v>1.1</v>
      </c>
      <c r="H114" s="19" t="str">
        <f>IFERROR(__xludf.DUMMYFUNCTION("""COMPUTED_VALUE"""),"101B")</f>
        <v>101B</v>
      </c>
      <c r="I114" s="19" t="str">
        <f>IFERROR(__xludf.DUMMYFUNCTION("""COMPUTED_VALUE"""),"OH 7726 should be about 1/4 of 7717, so around 50% sky contamination")</f>
        <v>OH 7726 should be about 1/4 of 7717, so around 50% sky contamination</v>
      </c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8">
        <f>IFERROR(__xludf.DUMMYFUNCTION("""COMPUTED_VALUE"""),2516.0)</f>
        <v>2516</v>
      </c>
      <c r="B115" s="19" t="str">
        <f>IFERROR(__xludf.DUMMYFUNCTION("""COMPUTED_VALUE"""),"GLOB-E")</f>
        <v>GLOB-E</v>
      </c>
      <c r="C115" s="15">
        <f>IFERROR(__xludf.DUMMYFUNCTION("""COMPUTED_VALUE"""),7744.94482421875)</f>
        <v>7744.944824</v>
      </c>
      <c r="D115" s="15">
        <f>IFERROR(__xludf.DUMMYFUNCTION("""COMPUTED_VALUE"""),7739.1)</f>
        <v>7739.1</v>
      </c>
      <c r="E115" s="19" t="str">
        <f>IFERROR(__xludf.DUMMYFUNCTION("""COMPUTED_VALUE"""),"Deep Neutral?")</f>
        <v>Deep Neutral?</v>
      </c>
      <c r="F115" s="19" t="str">
        <f>IFERROR(__xludf.DUMMYFUNCTION("""COMPUTED_VALUE"""),"UIL")</f>
        <v>UIL</v>
      </c>
      <c r="G115" s="15">
        <f>IFERROR(__xludf.DUMMYFUNCTION("""COMPUTED_VALUE"""),1.5)</f>
        <v>1.5</v>
      </c>
      <c r="H115" s="19">
        <f>IFERROR(__xludf.DUMMYFUNCTION("""COMPUTED_VALUE"""),11.0)</f>
        <v>11</v>
      </c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8">
        <f>IFERROR(__xludf.DUMMYFUNCTION("""COMPUTED_VALUE"""),2524.0)</f>
        <v>2524</v>
      </c>
      <c r="B116" s="19" t="str">
        <f>IFERROR(__xludf.DUMMYFUNCTION("""COMPUTED_VALUE"""),"GLOB-E")</f>
        <v>GLOB-E</v>
      </c>
      <c r="C116" s="15">
        <f>IFERROR(__xludf.DUMMYFUNCTION("""COMPUTED_VALUE"""),7754.94482421875)</f>
        <v>7754.944824</v>
      </c>
      <c r="D116" s="15">
        <f>IFERROR(__xludf.DUMMYFUNCTION("""COMPUTED_VALUE"""),7750.92)</f>
        <v>7750.92</v>
      </c>
      <c r="E116" s="19" t="str">
        <f>IFERROR(__xludf.DUMMYFUNCTION("""COMPUTED_VALUE"""),"Med Neb")</f>
        <v>Med Neb</v>
      </c>
      <c r="F116" s="19" t="str">
        <f>IFERROR(__xludf.DUMMYFUNCTION("""COMPUTED_VALUE"""),"[Ar III] 7751.10")</f>
        <v>[Ar III] 7751.10</v>
      </c>
      <c r="G116" s="15">
        <f>IFERROR(__xludf.DUMMYFUNCTION("""COMPUTED_VALUE"""),48.2)</f>
        <v>48.2</v>
      </c>
      <c r="H116" s="19" t="str">
        <f>IFERROR(__xludf.DUMMYFUNCTION("""COMPUTED_VALUE"""),"11, 101")</f>
        <v>11, 101</v>
      </c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8">
        <f>IFERROR(__xludf.DUMMYFUNCTION("""COMPUTED_VALUE"""),2528.0)</f>
        <v>2528</v>
      </c>
      <c r="B117" s="19" t="str">
        <f>IFERROR(__xludf.DUMMYFUNCTION("""COMPUTED_VALUE"""),"GLOB-E")</f>
        <v>GLOB-E</v>
      </c>
      <c r="C117" s="15">
        <f>IFERROR(__xludf.DUMMYFUNCTION("""COMPUTED_VALUE"""),7759.94482421875)</f>
        <v>7759.944824</v>
      </c>
      <c r="D117" s="15">
        <f>IFERROR(__xludf.DUMMYFUNCTION("""COMPUTED_VALUE"""),7756.7)</f>
        <v>7756.7</v>
      </c>
      <c r="E117" s="19" t="str">
        <f>IFERROR(__xludf.DUMMYFUNCTION("""COMPUTED_VALUE"""),"Sky")</f>
        <v>Sky</v>
      </c>
      <c r="F117" s="19" t="str">
        <f>IFERROR(__xludf.DUMMYFUNCTION("""COMPUTED_VALUE"""),"OH 7760+")</f>
        <v>OH 7760+</v>
      </c>
      <c r="G117" s="15">
        <f>IFERROR(__xludf.DUMMYFUNCTION("""COMPUTED_VALUE"""),1.2)</f>
        <v>1.2</v>
      </c>
      <c r="H117" s="19" t="str">
        <f>IFERROR(__xludf.DUMMYFUNCTION("""COMPUTED_VALUE"""),"101B")</f>
        <v>101B</v>
      </c>
      <c r="I117" s="19" t="str">
        <f>IFERROR(__xludf.DUMMYFUNCTION("""COMPUTED_VALUE"""),"Sky contamination is too strong to measure line")</f>
        <v>Sky contamination is too strong to measure line</v>
      </c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8">
        <f>IFERROR(__xludf.DUMMYFUNCTION("""COMPUTED_VALUE"""),2538.0)</f>
        <v>2538</v>
      </c>
      <c r="B118" s="19" t="str">
        <f>IFERROR(__xludf.DUMMYFUNCTION("""COMPUTED_VALUE"""),"GLOB-E")</f>
        <v>GLOB-E</v>
      </c>
      <c r="C118" s="15">
        <f>IFERROR(__xludf.DUMMYFUNCTION("""COMPUTED_VALUE"""),7772.44482421875)</f>
        <v>7772.444824</v>
      </c>
      <c r="D118" s="15">
        <f>IFERROR(__xludf.DUMMYFUNCTION("""COMPUTED_VALUE"""),7768.63)</f>
        <v>7768.63</v>
      </c>
      <c r="E118" s="19" t="str">
        <f>IFERROR(__xludf.DUMMYFUNCTION("""COMPUTED_VALUE"""),"Deep Neutral")</f>
        <v>Deep Neutral</v>
      </c>
      <c r="F118" s="19" t="str">
        <f>IFERROR(__xludf.DUMMYFUNCTION("""COMPUTED_VALUE"""),"UIL")</f>
        <v>UIL</v>
      </c>
      <c r="G118" s="15">
        <f>IFERROR(__xludf.DUMMYFUNCTION("""COMPUTED_VALUE"""),5.6)</f>
        <v>5.6</v>
      </c>
      <c r="H118" s="19" t="str">
        <f>IFERROR(__xludf.DUMMYFUNCTION("""COMPUTED_VALUE"""),"11, 101")</f>
        <v>11, 101</v>
      </c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8">
        <f>IFERROR(__xludf.DUMMYFUNCTION("""COMPUTED_VALUE"""),2549.0)</f>
        <v>2549</v>
      </c>
      <c r="B119" s="19" t="str">
        <f>IFERROR(__xludf.DUMMYFUNCTION("""COMPUTED_VALUE"""),"GLOB-E")</f>
        <v>GLOB-E</v>
      </c>
      <c r="C119" s="15">
        <f>IFERROR(__xludf.DUMMYFUNCTION("""COMPUTED_VALUE"""),7786.19482421875)</f>
        <v>7786.194824</v>
      </c>
      <c r="D119" s="15">
        <f>IFERROR(__xludf.DUMMYFUNCTION("""COMPUTED_VALUE"""),7781.32)</f>
        <v>7781.32</v>
      </c>
      <c r="E119" s="19" t="str">
        <f>IFERROR(__xludf.DUMMYFUNCTION("""COMPUTED_VALUE"""),"Deep Neutral")</f>
        <v>Deep Neutral</v>
      </c>
      <c r="F119" s="19" t="str">
        <f>IFERROR(__xludf.DUMMYFUNCTION("""COMPUTED_VALUE"""),"UIL")</f>
        <v>UIL</v>
      </c>
      <c r="G119" s="15">
        <f>IFERROR(__xludf.DUMMYFUNCTION("""COMPUTED_VALUE"""),5.3)</f>
        <v>5.3</v>
      </c>
      <c r="H119" s="19" t="str">
        <f>IFERROR(__xludf.DUMMYFUNCTION("""COMPUTED_VALUE"""),"11, 101")</f>
        <v>11, 101</v>
      </c>
      <c r="I119" s="19" t="str">
        <f>IFERROR(__xludf.DUMMYFUNCTION("""COMPUTED_VALUE"""),"Broad with wing to blue. Probably multiplet blend")</f>
        <v>Broad with wing to blue. Probably multiplet blend</v>
      </c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8">
        <f>IFERROR(__xludf.DUMMYFUNCTION("""COMPUTED_VALUE"""),2556.0)</f>
        <v>2556</v>
      </c>
      <c r="B120" s="19" t="str">
        <f>IFERROR(__xludf.DUMMYFUNCTION("""COMPUTED_VALUE"""),"GLOB-E")</f>
        <v>GLOB-E</v>
      </c>
      <c r="C120" s="15">
        <f>IFERROR(__xludf.DUMMYFUNCTION("""COMPUTED_VALUE"""),7794.94482421875)</f>
        <v>7794.944824</v>
      </c>
      <c r="D120" s="15">
        <f>IFERROR(__xludf.DUMMYFUNCTION("""COMPUTED_VALUE"""),7790.47)</f>
        <v>7790.47</v>
      </c>
      <c r="E120" s="19" t="str">
        <f>IFERROR(__xludf.DUMMYFUNCTION("""COMPUTED_VALUE"""),"Deep Neutral")</f>
        <v>Deep Neutral</v>
      </c>
      <c r="F120" s="19" t="str">
        <f>IFERROR(__xludf.DUMMYFUNCTION("""COMPUTED_VALUE"""),"UIL+")</f>
        <v>UIL+</v>
      </c>
      <c r="G120" s="15">
        <f>IFERROR(__xludf.DUMMYFUNCTION("""COMPUTED_VALUE"""),5.6)</f>
        <v>5.6</v>
      </c>
      <c r="H120" s="19" t="str">
        <f>IFERROR(__xludf.DUMMYFUNCTION("""COMPUTED_VALUE"""),"11, 101")</f>
        <v>11, 101</v>
      </c>
      <c r="I120" s="19" t="str">
        <f>IFERROR(__xludf.DUMMYFUNCTION("""COMPUTED_VALUE"""),"Slight contamination from sky line")</f>
        <v>Slight contamination from sky line</v>
      </c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8">
        <f>IFERROR(__xludf.DUMMYFUNCTION("""COMPUTED_VALUE"""),2565.0)</f>
        <v>2565</v>
      </c>
      <c r="B121" s="19" t="str">
        <f>IFERROR(__xludf.DUMMYFUNCTION("""COMPUTED_VALUE"""),"GLOB-E")</f>
        <v>GLOB-E</v>
      </c>
      <c r="C121" s="15">
        <f>IFERROR(__xludf.DUMMYFUNCTION("""COMPUTED_VALUE"""),7806.19482421875)</f>
        <v>7806.194824</v>
      </c>
      <c r="D121" s="15">
        <f>IFERROR(__xludf.DUMMYFUNCTION("""COMPUTED_VALUE"""),7802.54)</f>
        <v>7802.54</v>
      </c>
      <c r="E121" s="19" t="str">
        <f>IFERROR(__xludf.DUMMYFUNCTION("""COMPUTED_VALUE"""),"Deep Neutral")</f>
        <v>Deep Neutral</v>
      </c>
      <c r="F121" s="19" t="str">
        <f>IFERROR(__xludf.DUMMYFUNCTION("""COMPUTED_VALUE"""),"UIL")</f>
        <v>UIL</v>
      </c>
      <c r="G121" s="15">
        <f>IFERROR(__xludf.DUMMYFUNCTION("""COMPUTED_VALUE"""),1.9)</f>
        <v>1.9</v>
      </c>
      <c r="H121" s="19" t="str">
        <f>IFERROR(__xludf.DUMMYFUNCTION("""COMPUTED_VALUE"""),"101B")</f>
        <v>101B</v>
      </c>
      <c r="I121" s="19" t="str">
        <f>IFERROR(__xludf.DUMMYFUNCTION("""COMPUTED_VALUE"""),"Broad with wing to red. Possibly multiplet blend")</f>
        <v>Broad with wing to red. Possibly multiplet blend</v>
      </c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8">
        <f>IFERROR(__xludf.DUMMYFUNCTION("""COMPUTED_VALUE"""),2577.0)</f>
        <v>2577</v>
      </c>
      <c r="B122" s="19" t="str">
        <f>IFERROR(__xludf.DUMMYFUNCTION("""COMPUTED_VALUE"""),"GLOB-E")</f>
        <v>GLOB-E</v>
      </c>
      <c r="C122" s="15">
        <f>IFERROR(__xludf.DUMMYFUNCTION("""COMPUTED_VALUE"""),7821.19482421875)</f>
        <v>7821.194824</v>
      </c>
      <c r="D122" s="15">
        <f>IFERROR(__xludf.DUMMYFUNCTION("""COMPUTED_VALUE"""),7817.38)</f>
        <v>7817.38</v>
      </c>
      <c r="E122" s="19" t="str">
        <f>IFERROR(__xludf.DUMMYFUNCTION("""COMPUTED_VALUE"""),"Med Neb")</f>
        <v>Med Neb</v>
      </c>
      <c r="F122" s="19" t="str">
        <f>IFERROR(__xludf.DUMMYFUNCTION("""COMPUTED_VALUE"""),"He I 7816.13+")</f>
        <v>He I 7816.13+</v>
      </c>
      <c r="G122" s="15"/>
      <c r="H122" s="19" t="str">
        <f>IFERROR(__xludf.DUMMYFUNCTION("""COMPUTED_VALUE"""),"11, 101B")</f>
        <v>11, 101B</v>
      </c>
      <c r="I122" s="19" t="str">
        <f>IFERROR(__xludf.DUMMYFUNCTION("""COMPUTED_VALUE"""),"Blend with sky line might explain wavelength discrepancy")</f>
        <v>Blend with sky line might explain wavelength discrepancy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8">
        <f>IFERROR(__xludf.DUMMYFUNCTION("""COMPUTED_VALUE"""),2594.0)</f>
        <v>2594</v>
      </c>
      <c r="B123" s="19" t="str">
        <f>IFERROR(__xludf.DUMMYFUNCTION("""COMPUTED_VALUE"""),"GLOB-E")</f>
        <v>GLOB-E</v>
      </c>
      <c r="C123" s="15">
        <f>IFERROR(__xludf.DUMMYFUNCTION("""COMPUTED_VALUE"""),7842.44482421875)</f>
        <v>7842.444824</v>
      </c>
      <c r="D123" s="15">
        <f>IFERROR(__xludf.DUMMYFUNCTION("""COMPUTED_VALUE"""),7837.68)</f>
        <v>7837.68</v>
      </c>
      <c r="E123" s="19" t="str">
        <f>IFERROR(__xludf.DUMMYFUNCTION("""COMPUTED_VALUE"""),"Deep Neutral")</f>
        <v>Deep Neutral</v>
      </c>
      <c r="F123" s="19" t="str">
        <f>IFERROR(__xludf.DUMMYFUNCTION("""COMPUTED_VALUE"""),"UIL")</f>
        <v>UIL</v>
      </c>
      <c r="G123" s="15">
        <f>IFERROR(__xludf.DUMMYFUNCTION("""COMPUTED_VALUE"""),7.3)</f>
        <v>7.3</v>
      </c>
      <c r="H123" s="19" t="str">
        <f>IFERROR(__xludf.DUMMYFUNCTION("""COMPUTED_VALUE"""),"11, 101")</f>
        <v>11, 101</v>
      </c>
      <c r="I123" s="19" t="str">
        <f>IFERROR(__xludf.DUMMYFUNCTION("""COMPUTED_VALUE"""),"Weak sky line at 7841 has very little effect")</f>
        <v>Weak sky line at 7841 has very little effect</v>
      </c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8">
        <f>IFERROR(__xludf.DUMMYFUNCTION("""COMPUTED_VALUE"""),2602.0)</f>
        <v>2602</v>
      </c>
      <c r="B124" s="19" t="str">
        <f>IFERROR(__xludf.DUMMYFUNCTION("""COMPUTED_VALUE"""),"GLOB-E")</f>
        <v>GLOB-E</v>
      </c>
      <c r="C124" s="15">
        <f>IFERROR(__xludf.DUMMYFUNCTION("""COMPUTED_VALUE"""),7852.44482421875)</f>
        <v>7852.444824</v>
      </c>
      <c r="D124" s="15">
        <f>IFERROR(__xludf.DUMMYFUNCTION("""COMPUTED_VALUE"""),7848.43)</f>
        <v>7848.43</v>
      </c>
      <c r="E124" s="19" t="str">
        <f>IFERROR(__xludf.DUMMYFUNCTION("""COMPUTED_VALUE"""),"Deep Neutral")</f>
        <v>Deep Neutral</v>
      </c>
      <c r="F124" s="19" t="str">
        <f>IFERROR(__xludf.DUMMYFUNCTION("""COMPUTED_VALUE"""),"UIL+")</f>
        <v>UIL+</v>
      </c>
      <c r="G124" s="15">
        <f>IFERROR(__xludf.DUMMYFUNCTION("""COMPUTED_VALUE"""),3.3)</f>
        <v>3.3</v>
      </c>
      <c r="H124" s="19" t="str">
        <f>IFERROR(__xludf.DUMMYFUNCTION("""COMPUTED_VALUE"""),"11, 101")</f>
        <v>11, 101</v>
      </c>
      <c r="I124" s="19" t="str">
        <f>IFERROR(__xludf.DUMMYFUNCTION("""COMPUTED_VALUE"""),"Strength in GLOB-E overestimated due to 7853 sky blend")</f>
        <v>Strength in GLOB-E overestimated due to 7853 sky blend</v>
      </c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8">
        <f>IFERROR(__xludf.DUMMYFUNCTION("""COMPUTED_VALUE"""),2614.0)</f>
        <v>2614</v>
      </c>
      <c r="B125" s="19" t="str">
        <f>IFERROR(__xludf.DUMMYFUNCTION("""COMPUTED_VALUE"""),"GLOB-E")</f>
        <v>GLOB-E</v>
      </c>
      <c r="C125" s="15">
        <f>IFERROR(__xludf.DUMMYFUNCTION("""COMPUTED_VALUE"""),7867.44482421875)</f>
        <v>7867.444824</v>
      </c>
      <c r="D125" s="15">
        <f>IFERROR(__xludf.DUMMYFUNCTION("""COMPUTED_VALUE"""),7862.6)</f>
        <v>7862.6</v>
      </c>
      <c r="E125" s="19" t="str">
        <f>IFERROR(__xludf.DUMMYFUNCTION("""COMPUTED_VALUE"""),"Neutral??")</f>
        <v>Neutral??</v>
      </c>
      <c r="F125" s="19" t="str">
        <f>IFERROR(__xludf.DUMMYFUNCTION("""COMPUTED_VALUE"""),"UIL+")</f>
        <v>UIL+</v>
      </c>
      <c r="G125" s="15">
        <f>IFERROR(__xludf.DUMMYFUNCTION("""COMPUTED_VALUE"""),1.3)</f>
        <v>1.3</v>
      </c>
      <c r="H125" s="19">
        <f>IFERROR(__xludf.DUMMYFUNCTION("""COMPUTED_VALUE"""),11.0)</f>
        <v>11</v>
      </c>
      <c r="I125" s="19" t="str">
        <f>IFERROR(__xludf.DUMMYFUNCTION("""COMPUTED_VALUE"""),"Sky 7868 blend. Better measured in YSO")</f>
        <v>Sky 7868 blend. Better measured in YSO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8">
        <f>IFERROR(__xludf.DUMMYFUNCTION("""COMPUTED_VALUE"""),2623.0)</f>
        <v>2623</v>
      </c>
      <c r="B126" s="19" t="str">
        <f>IFERROR(__xludf.DUMMYFUNCTION("""COMPUTED_VALUE"""),"GLOB-E")</f>
        <v>GLOB-E</v>
      </c>
      <c r="C126" s="15">
        <f>IFERROR(__xludf.DUMMYFUNCTION("""COMPUTED_VALUE"""),7878.69482421875)</f>
        <v>7878.694824</v>
      </c>
      <c r="D126" s="15">
        <f>IFERROR(__xludf.DUMMYFUNCTION("""COMPUTED_VALUE"""),7874.61)</f>
        <v>7874.61</v>
      </c>
      <c r="E126" s="19" t="str">
        <f>IFERROR(__xludf.DUMMYFUNCTION("""COMPUTED_VALUE"""),"Low Neb??")</f>
        <v>Low Neb??</v>
      </c>
      <c r="F126" s="19" t="str">
        <f>IFERROR(__xludf.DUMMYFUNCTION("""COMPUTED_VALUE"""),"[P II] 7875.99+")</f>
        <v>[P II] 7875.99+</v>
      </c>
      <c r="G126" s="15">
        <f>IFERROR(__xludf.DUMMYFUNCTION("""COMPUTED_VALUE"""),1.2)</f>
        <v>1.2</v>
      </c>
      <c r="H126" s="19" t="str">
        <f>IFERROR(__xludf.DUMMYFUNCTION("""COMPUTED_VALUE"""),"101B, 11")</f>
        <v>101B, 11</v>
      </c>
      <c r="I126" s="19" t="str">
        <f>IFERROR(__xludf.DUMMYFUNCTION("""COMPUTED_VALUE"""),"Sky 7879 blend. Better measured in YSO")</f>
        <v>Sky 7879 blend. Better measured in YSO</v>
      </c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8">
        <f>IFERROR(__xludf.DUMMYFUNCTION("""COMPUTED_VALUE"""),2636.0)</f>
        <v>2636</v>
      </c>
      <c r="B127" s="19" t="str">
        <f>IFERROR(__xludf.DUMMYFUNCTION("""COMPUTED_VALUE"""),"GLOB-E")</f>
        <v>GLOB-E</v>
      </c>
      <c r="C127" s="15">
        <f>IFERROR(__xludf.DUMMYFUNCTION("""COMPUTED_VALUE"""),7894.94482421875)</f>
        <v>7894.944824</v>
      </c>
      <c r="D127" s="15">
        <f>IFERROR(__xludf.DUMMYFUNCTION("""COMPUTED_VALUE"""),7890.26)</f>
        <v>7890.26</v>
      </c>
      <c r="E127" s="19" t="str">
        <f>IFERROR(__xludf.DUMMYFUNCTION("""COMPUTED_VALUE"""),"Deep Neutral")</f>
        <v>Deep Neutral</v>
      </c>
      <c r="F127" s="19" t="str">
        <f>IFERROR(__xludf.DUMMYFUNCTION("""COMPUTED_VALUE"""),"UIL")</f>
        <v>UIL</v>
      </c>
      <c r="G127" s="15">
        <f>IFERROR(__xludf.DUMMYFUNCTION("""COMPUTED_VALUE"""),3.7)</f>
        <v>3.7</v>
      </c>
      <c r="H127" s="19" t="str">
        <f>IFERROR(__xludf.DUMMYFUNCTION("""COMPUTED_VALUE"""),"11, 101")</f>
        <v>11, 101</v>
      </c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8">
        <f>IFERROR(__xludf.DUMMYFUNCTION("""COMPUTED_VALUE"""),2657.0)</f>
        <v>2657</v>
      </c>
      <c r="B128" s="19" t="str">
        <f>IFERROR(__xludf.DUMMYFUNCTION("""COMPUTED_VALUE"""),"GLOB-E")</f>
        <v>GLOB-E</v>
      </c>
      <c r="C128" s="15">
        <f>IFERROR(__xludf.DUMMYFUNCTION("""COMPUTED_VALUE"""),7921.19482421875)</f>
        <v>7921.194824</v>
      </c>
      <c r="D128" s="15">
        <f>IFERROR(__xludf.DUMMYFUNCTION("""COMPUTED_VALUE"""),7917.34)</f>
        <v>7917.34</v>
      </c>
      <c r="E128" s="19" t="str">
        <f>IFERROR(__xludf.DUMMYFUNCTION("""COMPUTED_VALUE"""),"Neutral?")</f>
        <v>Neutral?</v>
      </c>
      <c r="F128" s="19" t="str">
        <f>IFERROR(__xludf.DUMMYFUNCTION("""COMPUTED_VALUE"""),"UIL+")</f>
        <v>UIL+</v>
      </c>
      <c r="G128" s="15">
        <f>IFERROR(__xludf.DUMMYFUNCTION("""COMPUTED_VALUE"""),2.6)</f>
        <v>2.6</v>
      </c>
      <c r="H128" s="19" t="str">
        <f>IFERROR(__xludf.DUMMYFUNCTION("""COMPUTED_VALUE"""),"11, 101")</f>
        <v>11, 101</v>
      </c>
      <c r="I128" s="19" t="str">
        <f>IFERROR(__xludf.DUMMYFUNCTION("""COMPUTED_VALUE"""),"Sky 7921 blend")</f>
        <v>Sky 7921 blend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8">
        <f>IFERROR(__xludf.DUMMYFUNCTION("""COMPUTED_VALUE"""),2665.0)</f>
        <v>2665</v>
      </c>
      <c r="B129" s="19" t="str">
        <f>IFERROR(__xludf.DUMMYFUNCTION("""COMPUTED_VALUE"""),"GLOB-E")</f>
        <v>GLOB-E</v>
      </c>
      <c r="C129" s="15">
        <f>IFERROR(__xludf.DUMMYFUNCTION("""COMPUTED_VALUE"""),7931.19482421875)</f>
        <v>7931.194824</v>
      </c>
      <c r="D129" s="15">
        <f>IFERROR(__xludf.DUMMYFUNCTION("""COMPUTED_VALUE"""),7926.7)</f>
        <v>7926.7</v>
      </c>
      <c r="E129" s="19" t="str">
        <f>IFERROR(__xludf.DUMMYFUNCTION("""COMPUTED_VALUE"""),"Deep Neutral?")</f>
        <v>Deep Neutral?</v>
      </c>
      <c r="F129" s="19" t="str">
        <f>IFERROR(__xludf.DUMMYFUNCTION("""COMPUTED_VALUE"""),"UIL")</f>
        <v>UIL</v>
      </c>
      <c r="G129" s="15">
        <f>IFERROR(__xludf.DUMMYFUNCTION("""COMPUTED_VALUE"""),1.3)</f>
        <v>1.3</v>
      </c>
      <c r="H129" s="19" t="str">
        <f>IFERROR(__xludf.DUMMYFUNCTION("""COMPUTED_VALUE"""),"11, 101")</f>
        <v>11, 101</v>
      </c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8">
        <f>IFERROR(__xludf.DUMMYFUNCTION("""COMPUTED_VALUE"""),2692.0)</f>
        <v>2692</v>
      </c>
      <c r="B130" s="19" t="str">
        <f>IFERROR(__xludf.DUMMYFUNCTION("""COMPUTED_VALUE"""),"GLOB-E")</f>
        <v>GLOB-E</v>
      </c>
      <c r="C130" s="15">
        <f>IFERROR(__xludf.DUMMYFUNCTION("""COMPUTED_VALUE"""),7964.94482421875)</f>
        <v>7964.944824</v>
      </c>
      <c r="D130" s="15">
        <f>IFERROR(__xludf.DUMMYFUNCTION("""COMPUTED_VALUE"""),7959.85)</f>
        <v>7959.85</v>
      </c>
      <c r="E130" s="19" t="str">
        <f>IFERROR(__xludf.DUMMYFUNCTION("""COMPUTED_VALUE"""),"Deep Neutral")</f>
        <v>Deep Neutral</v>
      </c>
      <c r="F130" s="19" t="str">
        <f>IFERROR(__xludf.DUMMYFUNCTION("""COMPUTED_VALUE"""),"UIL")</f>
        <v>UIL</v>
      </c>
      <c r="G130" s="15">
        <f>IFERROR(__xludf.DUMMYFUNCTION("""COMPUTED_VALUE"""),10.0)</f>
        <v>10</v>
      </c>
      <c r="H130" s="19" t="str">
        <f>IFERROR(__xludf.DUMMYFUNCTION("""COMPUTED_VALUE"""),"11, 101")</f>
        <v>11, 101</v>
      </c>
      <c r="I130" s="19" t="str">
        <f>IFERROR(__xludf.DUMMYFUNCTION("""COMPUTED_VALUE"""),"Very strong. Sky 7965 contamination is minor")</f>
        <v>Very strong. Sky 7965 contamination is minor</v>
      </c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8">
        <f>IFERROR(__xludf.DUMMYFUNCTION("""COMPUTED_VALUE"""),2724.0)</f>
        <v>2724</v>
      </c>
      <c r="B131" s="19" t="str">
        <f>IFERROR(__xludf.DUMMYFUNCTION("""COMPUTED_VALUE"""),"GLOB-E")</f>
        <v>GLOB-E</v>
      </c>
      <c r="C131" s="15">
        <f>IFERROR(__xludf.DUMMYFUNCTION("""COMPUTED_VALUE"""),8004.94482421875)</f>
        <v>8004.944824</v>
      </c>
      <c r="D131" s="15">
        <f>IFERROR(__xludf.DUMMYFUNCTION("""COMPUTED_VALUE"""),7998.29)</f>
        <v>7998.29</v>
      </c>
      <c r="E131" s="19" t="str">
        <f>IFERROR(__xludf.DUMMYFUNCTION("""COMPUTED_VALUE"""),"Fe, Ni")</f>
        <v>Fe, Ni</v>
      </c>
      <c r="F131" s="19" t="str">
        <f>IFERROR(__xludf.DUMMYFUNCTION("""COMPUTED_VALUE"""),"[Fe II] 7997.03+")</f>
        <v>[Fe II] 7997.03+</v>
      </c>
      <c r="G131" s="15">
        <f>IFERROR(__xludf.DUMMYFUNCTION("""COMPUTED_VALUE"""),1.4)</f>
        <v>1.4</v>
      </c>
      <c r="H131" s="19"/>
      <c r="I131" s="19" t="str">
        <f>IFERROR(__xludf.DUMMYFUNCTION("""COMPUTED_VALUE"""),"Some weak diffuse emission")</f>
        <v>Some weak diffuse emission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8">
        <f>IFERROR(__xludf.DUMMYFUNCTION("""COMPUTED_VALUE"""),2731.0)</f>
        <v>2731</v>
      </c>
      <c r="B132" s="19" t="str">
        <f>IFERROR(__xludf.DUMMYFUNCTION("""COMPUTED_VALUE"""),"GLOB-E")</f>
        <v>GLOB-E</v>
      </c>
      <c r="C132" s="15">
        <f>IFERROR(__xludf.DUMMYFUNCTION("""COMPUTED_VALUE"""),8013.69482421875)</f>
        <v>8013.694824</v>
      </c>
      <c r="D132" s="15">
        <f>IFERROR(__xludf.DUMMYFUNCTION("""COMPUTED_VALUE"""),8008.98)</f>
        <v>8008.98</v>
      </c>
      <c r="E132" s="19"/>
      <c r="F132" s="19"/>
      <c r="G132" s="15">
        <f>IFERROR(__xludf.DUMMYFUNCTION("""COMPUTED_VALUE"""),2.4)</f>
        <v>2.4</v>
      </c>
      <c r="H132" s="19" t="str">
        <f>IFERROR(__xludf.DUMMYFUNCTION("""COMPUTED_VALUE"""),"11, 101")</f>
        <v>11, 101</v>
      </c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8">
        <f>IFERROR(__xludf.DUMMYFUNCTION("""COMPUTED_VALUE"""),2754.0)</f>
        <v>2754</v>
      </c>
      <c r="B133" s="19" t="str">
        <f>IFERROR(__xludf.DUMMYFUNCTION("""COMPUTED_VALUE"""),"GLOB-E")</f>
        <v>GLOB-E</v>
      </c>
      <c r="C133" s="15">
        <f>IFERROR(__xludf.DUMMYFUNCTION("""COMPUTED_VALUE"""),8042.44482421875)</f>
        <v>8042.444824</v>
      </c>
      <c r="D133" s="15">
        <f>IFERROR(__xludf.DUMMYFUNCTION("""COMPUTED_VALUE"""),8038.37)</f>
        <v>8038.37</v>
      </c>
      <c r="E133" s="19"/>
      <c r="F133" s="19"/>
      <c r="G133" s="15">
        <f>IFERROR(__xludf.DUMMYFUNCTION("""COMPUTED_VALUE"""),2.3)</f>
        <v>2.3</v>
      </c>
      <c r="H133" s="19" t="str">
        <f>IFERROR(__xludf.DUMMYFUNCTION("""COMPUTED_VALUE"""),"11, 101")</f>
        <v>11, 101</v>
      </c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8">
        <f>IFERROR(__xludf.DUMMYFUNCTION("""COMPUTED_VALUE"""),2760.0)</f>
        <v>2760</v>
      </c>
      <c r="B134" s="19" t="str">
        <f>IFERROR(__xludf.DUMMYFUNCTION("""COMPUTED_VALUE"""),"GLOB-E")</f>
        <v>GLOB-E</v>
      </c>
      <c r="C134" s="15">
        <f>IFERROR(__xludf.DUMMYFUNCTION("""COMPUTED_VALUE"""),8049.94482421875)</f>
        <v>8049.944824</v>
      </c>
      <c r="D134" s="15">
        <f>IFERROR(__xludf.DUMMYFUNCTION("""COMPUTED_VALUE"""),8045.98)</f>
        <v>8045.98</v>
      </c>
      <c r="E134" s="19"/>
      <c r="F134" s="19"/>
      <c r="G134" s="15">
        <f>IFERROR(__xludf.DUMMYFUNCTION("""COMPUTED_VALUE"""),2.6)</f>
        <v>2.6</v>
      </c>
      <c r="H134" s="19" t="str">
        <f>IFERROR(__xludf.DUMMYFUNCTION("""COMPUTED_VALUE"""),"11, 101")</f>
        <v>11, 101</v>
      </c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8">
        <f>IFERROR(__xludf.DUMMYFUNCTION("""COMPUTED_VALUE"""),2790.0)</f>
        <v>2790</v>
      </c>
      <c r="B135" s="19" t="str">
        <f>IFERROR(__xludf.DUMMYFUNCTION("""COMPUTED_VALUE"""),"GLOB-E")</f>
        <v>GLOB-E</v>
      </c>
      <c r="C135" s="15">
        <f>IFERROR(__xludf.DUMMYFUNCTION("""COMPUTED_VALUE"""),8087.44482421875)</f>
        <v>8087.444824</v>
      </c>
      <c r="D135" s="15">
        <f>IFERROR(__xludf.DUMMYFUNCTION("""COMPUTED_VALUE"""),8082.78)</f>
        <v>8082.78</v>
      </c>
      <c r="E135" s="19"/>
      <c r="F135" s="19"/>
      <c r="G135" s="15">
        <f>IFERROR(__xludf.DUMMYFUNCTION("""COMPUTED_VALUE"""),1.6)</f>
        <v>1.6</v>
      </c>
      <c r="H135" s="19" t="str">
        <f>IFERROR(__xludf.DUMMYFUNCTION("""COMPUTED_VALUE"""),"11, 101")</f>
        <v>11, 101</v>
      </c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8">
        <f>IFERROR(__xludf.DUMMYFUNCTION("""COMPUTED_VALUE"""),2844.0)</f>
        <v>2844</v>
      </c>
      <c r="B136" s="19" t="str">
        <f>IFERROR(__xludf.DUMMYFUNCTION("""COMPUTED_VALUE"""),"GLOB-E")</f>
        <v>GLOB-E</v>
      </c>
      <c r="C136" s="15">
        <f>IFERROR(__xludf.DUMMYFUNCTION("""COMPUTED_VALUE"""),8154.94482421875)</f>
        <v>8154.944824</v>
      </c>
      <c r="D136" s="15">
        <f>IFERROR(__xludf.DUMMYFUNCTION("""COMPUTED_VALUE"""),8150.72)</f>
        <v>8150.72</v>
      </c>
      <c r="E136" s="19"/>
      <c r="F136" s="19"/>
      <c r="G136" s="15">
        <f>IFERROR(__xludf.DUMMYFUNCTION("""COMPUTED_VALUE"""),2.6)</f>
        <v>2.6</v>
      </c>
      <c r="H136" s="19" t="str">
        <f>IFERROR(__xludf.DUMMYFUNCTION("""COMPUTED_VALUE"""),"11, 101")</f>
        <v>11, 101</v>
      </c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8">
        <f>IFERROR(__xludf.DUMMYFUNCTION("""COMPUTED_VALUE"""),2874.0)</f>
        <v>2874</v>
      </c>
      <c r="B137" s="19" t="str">
        <f>IFERROR(__xludf.DUMMYFUNCTION("""COMPUTED_VALUE"""),"GLOB-E")</f>
        <v>GLOB-E</v>
      </c>
      <c r="C137" s="15">
        <f>IFERROR(__xludf.DUMMYFUNCTION("""COMPUTED_VALUE"""),8192.44482421875)</f>
        <v>8192.444824</v>
      </c>
      <c r="D137" s="15">
        <f>IFERROR(__xludf.DUMMYFUNCTION("""COMPUTED_VALUE"""),8187.48)</f>
        <v>8187.48</v>
      </c>
      <c r="E137" s="19"/>
      <c r="F137" s="19"/>
      <c r="G137" s="15">
        <f>IFERROR(__xludf.DUMMYFUNCTION("""COMPUTED_VALUE"""),1.5)</f>
        <v>1.5</v>
      </c>
      <c r="H137" s="19">
        <f>IFERROR(__xludf.DUMMYFUNCTION("""COMPUTED_VALUE"""),101.0)</f>
        <v>101</v>
      </c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8">
        <f>IFERROR(__xludf.DUMMYFUNCTION("""COMPUTED_VALUE"""),2877.0)</f>
        <v>2877</v>
      </c>
      <c r="B138" s="19" t="str">
        <f>IFERROR(__xludf.DUMMYFUNCTION("""COMPUTED_VALUE"""),"GLOB-E")</f>
        <v>GLOB-E</v>
      </c>
      <c r="C138" s="15">
        <f>IFERROR(__xludf.DUMMYFUNCTION("""COMPUTED_VALUE"""),8196.19482421875)</f>
        <v>8196.194824</v>
      </c>
      <c r="D138" s="15">
        <f>IFERROR(__xludf.DUMMYFUNCTION("""COMPUTED_VALUE"""),8189.52)</f>
        <v>8189.52</v>
      </c>
      <c r="E138" s="19" t="str">
        <f>IFERROR(__xludf.DUMMYFUNCTION("""COMPUTED_VALUE"""),"****")</f>
        <v>****</v>
      </c>
      <c r="F138" s="19" t="str">
        <f>IFERROR(__xludf.DUMMYFUNCTION("""COMPUTED_VALUE"""),"****")</f>
        <v>****</v>
      </c>
      <c r="G138" s="15">
        <f>IFERROR(__xludf.DUMMYFUNCTION("""COMPUTED_VALUE"""),6.3)</f>
        <v>6.3</v>
      </c>
      <c r="H138" s="19">
        <f>IFERROR(__xludf.DUMMYFUNCTION("""COMPUTED_VALUE"""),101.0)</f>
        <v>101</v>
      </c>
      <c r="I138" s="19" t="str">
        <f>IFERROR(__xludf.DUMMYFUNCTION("""COMPUTED_VALUE"""),"*** aquí voy")</f>
        <v>*** aquí voy</v>
      </c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8">
        <f>IFERROR(__xludf.DUMMYFUNCTION("""COMPUTED_VALUE"""),2897.0)</f>
        <v>2897</v>
      </c>
      <c r="B139" s="19" t="str">
        <f>IFERROR(__xludf.DUMMYFUNCTION("""COMPUTED_VALUE"""),"GLOB-E")</f>
        <v>GLOB-E</v>
      </c>
      <c r="C139" s="15">
        <f>IFERROR(__xludf.DUMMYFUNCTION("""COMPUTED_VALUE"""),8221.19482421875)</f>
        <v>8221.194824</v>
      </c>
      <c r="D139" s="15">
        <f>IFERROR(__xludf.DUMMYFUNCTION("""COMPUTED_VALUE"""),8216.88)</f>
        <v>8216.88</v>
      </c>
      <c r="E139" s="19"/>
      <c r="F139" s="19"/>
      <c r="G139" s="15">
        <f>IFERROR(__xludf.DUMMYFUNCTION("""COMPUTED_VALUE"""),2.1335)</f>
        <v>2.1335</v>
      </c>
      <c r="H139" s="19">
        <f>IFERROR(__xludf.DUMMYFUNCTION("""COMPUTED_VALUE"""),101.0)</f>
        <v>101</v>
      </c>
      <c r="I139" s="19" t="str">
        <f>IFERROR(__xludf.DUMMYFUNCTION("""COMPUTED_VALUE"""),"valor G de n346-nostar-glob-e-peaks-p0002-d0030.csv")</f>
        <v>valor G de n346-nostar-glob-e-peaks-p0002-d0030.csv</v>
      </c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8">
        <f>IFERROR(__xludf.DUMMYFUNCTION("""COMPUTED_VALUE"""),2937.0)</f>
        <v>2937</v>
      </c>
      <c r="B140" s="19" t="str">
        <f>IFERROR(__xludf.DUMMYFUNCTION("""COMPUTED_VALUE"""),"GLOB-E")</f>
        <v>GLOB-E</v>
      </c>
      <c r="C140" s="15">
        <f>IFERROR(__xludf.DUMMYFUNCTION("""COMPUTED_VALUE"""),8271.19482421875)</f>
        <v>8271.194824</v>
      </c>
      <c r="D140" s="15">
        <f>IFERROR(__xludf.DUMMYFUNCTION("""COMPUTED_VALUE"""),8266.46)</f>
        <v>8266.46</v>
      </c>
      <c r="E140" s="19" t="str">
        <f>IFERROR(__xludf.DUMMYFUNCTION("""COMPUTED_VALUE"""),"Med Neb")</f>
        <v>Med Neb</v>
      </c>
      <c r="F140" s="19" t="str">
        <f>IFERROR(__xludf.DUMMYFUNCTION("""COMPUTED_VALUE"""),"H I 8267.94")</f>
        <v>H I 8267.94</v>
      </c>
      <c r="G140" s="15">
        <f>IFERROR(__xludf.DUMMYFUNCTION("""COMPUTED_VALUE"""),6.864)</f>
        <v>6.864</v>
      </c>
      <c r="H140" s="19" t="str">
        <f>IFERROR(__xludf.DUMMYFUNCTION("""COMPUTED_VALUE"""),"11, 101")</f>
        <v>11, 101</v>
      </c>
      <c r="I140" s="19" t="str">
        <f>IFERROR(__xludf.DUMMYFUNCTION("""COMPUTED_VALUE"""),"valor G de n346-nostar-glob-peaks-p0030-d0030.csv")</f>
        <v>valor G de n346-nostar-glob-peaks-p0030-d0030.csv</v>
      </c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8">
        <f>IFERROR(__xludf.DUMMYFUNCTION("""COMPUTED_VALUE"""),2942.0)</f>
        <v>2942</v>
      </c>
      <c r="B141" s="19" t="str">
        <f>IFERROR(__xludf.DUMMYFUNCTION("""COMPUTED_VALUE"""),"GLOB-E")</f>
        <v>GLOB-E</v>
      </c>
      <c r="C141" s="15">
        <f>IFERROR(__xludf.DUMMYFUNCTION("""COMPUTED_VALUE"""),8277.44482421875)</f>
        <v>8277.444824</v>
      </c>
      <c r="D141" s="15">
        <f>IFERROR(__xludf.DUMMYFUNCTION("""COMPUTED_VALUE"""),8272.32)</f>
        <v>8272.32</v>
      </c>
      <c r="E141" s="19" t="str">
        <f>IFERROR(__xludf.DUMMYFUNCTION("""COMPUTED_VALUE"""),"Med Neb")</f>
        <v>Med Neb</v>
      </c>
      <c r="F141" s="19" t="str">
        <f>IFERROR(__xludf.DUMMYFUNCTION("""COMPUTED_VALUE"""),"H I 8271.93")</f>
        <v>H I 8271.93</v>
      </c>
      <c r="G141" s="15">
        <f>IFERROR(__xludf.DUMMYFUNCTION("""COMPUTED_VALUE"""),4.5099)</f>
        <v>4.5099</v>
      </c>
      <c r="H141" s="19" t="str">
        <f>IFERROR(__xludf.DUMMYFUNCTION("""COMPUTED_VALUE"""),"11, 101")</f>
        <v>11, 101</v>
      </c>
      <c r="I141" s="19" t="str">
        <f>IFERROR(__xludf.DUMMYFUNCTION("""COMPUTED_VALUE"""),"valor G de n346-nostar-glob-peaks-p0030-d0030.csv")</f>
        <v>valor G de n346-nostar-glob-peaks-p0030-d0030.csv</v>
      </c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8">
        <f>IFERROR(__xludf.DUMMYFUNCTION("""COMPUTED_VALUE"""),2951.0)</f>
        <v>2951</v>
      </c>
      <c r="B142" s="19" t="str">
        <f>IFERROR(__xludf.DUMMYFUNCTION("""COMPUTED_VALUE"""),"GLOB-E")</f>
        <v>GLOB-E</v>
      </c>
      <c r="C142" s="15">
        <f>IFERROR(__xludf.DUMMYFUNCTION("""COMPUTED_VALUE"""),8288.69482421875)</f>
        <v>8288.694824</v>
      </c>
      <c r="D142" s="15">
        <f>IFERROR(__xludf.DUMMYFUNCTION("""COMPUTED_VALUE"""),8285.46)</f>
        <v>8285.46</v>
      </c>
      <c r="E142" s="19"/>
      <c r="F142" s="19"/>
      <c r="G142" s="15">
        <f>IFERROR(__xludf.DUMMYFUNCTION("""COMPUTED_VALUE"""),10.9715)</f>
        <v>10.9715</v>
      </c>
      <c r="H142" s="19" t="str">
        <f>IFERROR(__xludf.DUMMYFUNCTION("""COMPUTED_VALUE"""),"11, 101")</f>
        <v>11, 101</v>
      </c>
      <c r="I142" s="19" t="str">
        <f>IFERROR(__xludf.DUMMYFUNCTION("""COMPUTED_VALUE"""),"valor G de n346-nostar-glob-peaks-p0030-d0030.csv")</f>
        <v>valor G de n346-nostar-glob-peaks-p0030-d0030.csv</v>
      </c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8">
        <f>IFERROR(__xludf.DUMMYFUNCTION("""COMPUTED_VALUE"""),2954.0)</f>
        <v>2954</v>
      </c>
      <c r="B143" s="19" t="str">
        <f>IFERROR(__xludf.DUMMYFUNCTION("""COMPUTED_VALUE"""),"GLOB-E")</f>
        <v>GLOB-E</v>
      </c>
      <c r="C143" s="15">
        <f>IFERROR(__xludf.DUMMYFUNCTION("""COMPUTED_VALUE"""),8292.44482421875)</f>
        <v>8292.444824</v>
      </c>
      <c r="D143" s="15">
        <f>IFERROR(__xludf.DUMMYFUNCTION("""COMPUTED_VALUE"""),8286.94)</f>
        <v>8286.94</v>
      </c>
      <c r="E143" s="19" t="str">
        <f>IFERROR(__xludf.DUMMYFUNCTION("""COMPUTED_VALUE"""),"Med Neb")</f>
        <v>Med Neb</v>
      </c>
      <c r="F143" s="19" t="str">
        <f>IFERROR(__xludf.DUMMYFUNCTION("""COMPUTED_VALUE"""),"H I 8286.43")</f>
        <v>H I 8286.43</v>
      </c>
      <c r="G143" s="15">
        <f>IFERROR(__xludf.DUMMYFUNCTION("""COMPUTED_VALUE"""),1.5553)</f>
        <v>1.5553</v>
      </c>
      <c r="H143" s="19" t="str">
        <f>IFERROR(__xludf.DUMMYFUNCTION("""COMPUTED_VALUE"""),"11, 101")</f>
        <v>11, 101</v>
      </c>
      <c r="I143" s="19" t="str">
        <f>IFERROR(__xludf.DUMMYFUNCTION("""COMPUTED_VALUE"""),"valor G de n346-nostar-glob-e-peaks-p0002-d0030.csv")</f>
        <v>valor G de n346-nostar-glob-e-peaks-p0002-d0030.csv</v>
      </c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8">
        <f>IFERROR(__xludf.DUMMYFUNCTION("""COMPUTED_VALUE"""),2957.0)</f>
        <v>2957</v>
      </c>
      <c r="B144" s="19" t="str">
        <f>IFERROR(__xludf.DUMMYFUNCTION("""COMPUTED_VALUE"""),"GLOB-E")</f>
        <v>GLOB-E</v>
      </c>
      <c r="C144" s="15">
        <f>IFERROR(__xludf.DUMMYFUNCTION("""COMPUTED_VALUE"""),8296.19482421875)</f>
        <v>8296.194824</v>
      </c>
      <c r="D144" s="15">
        <f>IFERROR(__xludf.DUMMYFUNCTION("""COMPUTED_VALUE"""),8292.13)</f>
        <v>8292.13</v>
      </c>
      <c r="E144" s="19" t="str">
        <f>IFERROR(__xludf.DUMMYFUNCTION("""COMPUTED_VALUE"""),"Med Neb")</f>
        <v>Med Neb</v>
      </c>
      <c r="F144" s="19" t="str">
        <f>IFERROR(__xludf.DUMMYFUNCTION("""COMPUTED_VALUE"""),"H I 8292.31")</f>
        <v>H I 8292.31</v>
      </c>
      <c r="G144" s="15">
        <f>IFERROR(__xludf.DUMMYFUNCTION("""COMPUTED_VALUE"""),3.1926)</f>
        <v>3.1926</v>
      </c>
      <c r="H144" s="19">
        <f>IFERROR(__xludf.DUMMYFUNCTION("""COMPUTED_VALUE"""),11.0)</f>
        <v>11</v>
      </c>
      <c r="I144" s="19" t="str">
        <f>IFERROR(__xludf.DUMMYFUNCTION("""COMPUTED_VALUE"""),"valor G de n346-nostar-glob-peaks-p0030-d0030.csv")</f>
        <v>valor G de n346-nostar-glob-peaks-p0030-d0030.csv</v>
      </c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8">
        <f>IFERROR(__xludf.DUMMYFUNCTION("""COMPUTED_VALUE"""),2963.0)</f>
        <v>2963</v>
      </c>
      <c r="B145" s="19" t="str">
        <f>IFERROR(__xludf.DUMMYFUNCTION("""COMPUTED_VALUE"""),"GLOB-E")</f>
        <v>GLOB-E</v>
      </c>
      <c r="C145" s="15">
        <f>IFERROR(__xludf.DUMMYFUNCTION("""COMPUTED_VALUE"""),8303.69482421875)</f>
        <v>8303.694824</v>
      </c>
      <c r="D145" s="15">
        <f>IFERROR(__xludf.DUMMYFUNCTION("""COMPUTED_VALUE"""),8299.39)</f>
        <v>8299.39</v>
      </c>
      <c r="E145" s="19" t="str">
        <f>IFERROR(__xludf.DUMMYFUNCTION("""COMPUTED_VALUE"""),"H I, Ni")</f>
        <v>H I, Ni</v>
      </c>
      <c r="F145" s="19" t="str">
        <f>IFERROR(__xludf.DUMMYFUNCTION("""COMPUTED_VALUE"""),"H I 8298.83, [Ni II] 8300.99")</f>
        <v>H I 8298.83, [Ni II] 8300.99</v>
      </c>
      <c r="G145" s="15">
        <f>IFERROR(__xludf.DUMMYFUNCTION("""COMPUTED_VALUE"""),6.0488)</f>
        <v>6.0488</v>
      </c>
      <c r="H145" s="19">
        <f>IFERROR(__xludf.DUMMYFUNCTION("""COMPUTED_VALUE"""),101.0)</f>
        <v>101</v>
      </c>
      <c r="I145" s="19" t="str">
        <f>IFERROR(__xludf.DUMMYFUNCTION("""COMPUTED_VALUE"""),"valor G de n346-nostar-glob-peaks-p0030-d0030.csv")</f>
        <v>valor G de n346-nostar-glob-peaks-p0030-d0030.csv</v>
      </c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8">
        <f>IFERROR(__xludf.DUMMYFUNCTION("""COMPUTED_VALUE"""),2968.0)</f>
        <v>2968</v>
      </c>
      <c r="B146" s="19" t="str">
        <f>IFERROR(__xludf.DUMMYFUNCTION("""COMPUTED_VALUE"""),"GLOB-E")</f>
        <v>GLOB-E</v>
      </c>
      <c r="C146" s="15">
        <f>IFERROR(__xludf.DUMMYFUNCTION("""COMPUTED_VALUE"""),8309.94482421875)</f>
        <v>8309.944824</v>
      </c>
      <c r="D146" s="15">
        <f>IFERROR(__xludf.DUMMYFUNCTION("""COMPUTED_VALUE"""),8304.75)</f>
        <v>8304.75</v>
      </c>
      <c r="E146" s="19" t="str">
        <f>IFERROR(__xludf.DUMMYFUNCTION("""COMPUTED_VALUE"""),"Med Neb")</f>
        <v>Med Neb</v>
      </c>
      <c r="F146" s="19" t="str">
        <f>IFERROR(__xludf.DUMMYFUNCTION("""COMPUTED_VALUE"""),"H I 8306.11")</f>
        <v>H I 8306.11</v>
      </c>
      <c r="G146" s="15">
        <f>IFERROR(__xludf.DUMMYFUNCTION("""COMPUTED_VALUE"""),7.9314)</f>
        <v>7.9314</v>
      </c>
      <c r="H146" s="19" t="str">
        <f>IFERROR(__xludf.DUMMYFUNCTION("""COMPUTED_VALUE"""),"11, 101")</f>
        <v>11, 101</v>
      </c>
      <c r="I146" s="19" t="str">
        <f>IFERROR(__xludf.DUMMYFUNCTION("""COMPUTED_VALUE"""),"valor G de n346-nostar-glob-peaks-p0030-d0030.csv")</f>
        <v>valor G de n346-nostar-glob-peaks-p0030-d0030.csv</v>
      </c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8">
        <f>IFERROR(__xludf.DUMMYFUNCTION("""COMPUTED_VALUE"""),2975.0)</f>
        <v>2975</v>
      </c>
      <c r="B147" s="19" t="str">
        <f>IFERROR(__xludf.DUMMYFUNCTION("""COMPUTED_VALUE"""),"GLOB-E")</f>
        <v>GLOB-E</v>
      </c>
      <c r="C147" s="15">
        <f>IFERROR(__xludf.DUMMYFUNCTION("""COMPUTED_VALUE"""),8318.69482421875)</f>
        <v>8318.694824</v>
      </c>
      <c r="D147" s="15">
        <f>IFERROR(__xludf.DUMMYFUNCTION("""COMPUTED_VALUE"""),8314.11)</f>
        <v>8314.11</v>
      </c>
      <c r="E147" s="19" t="str">
        <f>IFERROR(__xludf.DUMMYFUNCTION("""COMPUTED_VALUE"""),"Med Neb")</f>
        <v>Med Neb</v>
      </c>
      <c r="F147" s="19" t="str">
        <f>IFERROR(__xludf.DUMMYFUNCTION("""COMPUTED_VALUE"""),"H I 8314.26")</f>
        <v>H I 8314.26</v>
      </c>
      <c r="G147" s="15">
        <f>IFERROR(__xludf.DUMMYFUNCTION("""COMPUTED_VALUE"""),6.318)</f>
        <v>6.318</v>
      </c>
      <c r="H147" s="19">
        <f>IFERROR(__xludf.DUMMYFUNCTION("""COMPUTED_VALUE"""),11.0)</f>
        <v>11</v>
      </c>
      <c r="I147" s="19" t="str">
        <f>IFERROR(__xludf.DUMMYFUNCTION("""COMPUTED_VALUE"""),"valor G de n346-nostar-glob-peaks-p0030-d0030.csv")</f>
        <v>valor G de n346-nostar-glob-peaks-p0030-d0030.csv</v>
      </c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8">
        <f>IFERROR(__xludf.DUMMYFUNCTION("""COMPUTED_VALUE"""),2982.0)</f>
        <v>2982</v>
      </c>
      <c r="B148" s="19" t="str">
        <f>IFERROR(__xludf.DUMMYFUNCTION("""COMPUTED_VALUE"""),"GLOB-E")</f>
        <v>GLOB-E</v>
      </c>
      <c r="C148" s="15">
        <f>IFERROR(__xludf.DUMMYFUNCTION("""COMPUTED_VALUE"""),8327.44482421875)</f>
        <v>8327.444824</v>
      </c>
      <c r="D148" s="15">
        <f>IFERROR(__xludf.DUMMYFUNCTION("""COMPUTED_VALUE"""),8323.1)</f>
        <v>8323.1</v>
      </c>
      <c r="E148" s="19" t="str">
        <f>IFERROR(__xludf.DUMMYFUNCTION("""COMPUTED_VALUE"""),"Med Neb")</f>
        <v>Med Neb</v>
      </c>
      <c r="F148" s="19" t="str">
        <f>IFERROR(__xludf.DUMMYFUNCTION("""COMPUTED_VALUE"""),"H I 8323.42")</f>
        <v>H I 8323.42</v>
      </c>
      <c r="G148" s="15">
        <f>IFERROR(__xludf.DUMMYFUNCTION("""COMPUTED_VALUE"""),7.3863)</f>
        <v>7.3863</v>
      </c>
      <c r="H148" s="19" t="str">
        <f>IFERROR(__xludf.DUMMYFUNCTION("""COMPUTED_VALUE"""),"11, 101")</f>
        <v>11, 101</v>
      </c>
      <c r="I148" s="19" t="str">
        <f>IFERROR(__xludf.DUMMYFUNCTION("""COMPUTED_VALUE"""),"valor G de n346-nostar-glob-peaks-p0030-d0030.csv")</f>
        <v>valor G de n346-nostar-glob-peaks-p0030-d0030.csv</v>
      </c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8">
        <f>IFERROR(__xludf.DUMMYFUNCTION("""COMPUTED_VALUE"""),2991.0)</f>
        <v>2991</v>
      </c>
      <c r="B149" s="19" t="str">
        <f>IFERROR(__xludf.DUMMYFUNCTION("""COMPUTED_VALUE"""),"GLOB-E")</f>
        <v>GLOB-E</v>
      </c>
      <c r="C149" s="15">
        <f>IFERROR(__xludf.DUMMYFUNCTION("""COMPUTED_VALUE"""),8338.69482421875)</f>
        <v>8338.694824</v>
      </c>
      <c r="D149" s="15">
        <f>IFERROR(__xludf.DUMMYFUNCTION("""COMPUTED_VALUE"""),8334.06)</f>
        <v>8334.06</v>
      </c>
      <c r="E149" s="19" t="str">
        <f>IFERROR(__xludf.DUMMYFUNCTION("""COMPUTED_VALUE"""),"Med Neb")</f>
        <v>Med Neb</v>
      </c>
      <c r="F149" s="19" t="str">
        <f>IFERROR(__xludf.DUMMYFUNCTION("""COMPUTED_VALUE"""),"H I 8333.78")</f>
        <v>H I 8333.78</v>
      </c>
      <c r="G149" s="15">
        <f>IFERROR(__xludf.DUMMYFUNCTION("""COMPUTED_VALUE"""),18.488)</f>
        <v>18.488</v>
      </c>
      <c r="H149" s="19" t="str">
        <f>IFERROR(__xludf.DUMMYFUNCTION("""COMPUTED_VALUE"""),"11, 101")</f>
        <v>11, 101</v>
      </c>
      <c r="I149" s="19" t="str">
        <f>IFERROR(__xludf.DUMMYFUNCTION("""COMPUTED_VALUE"""),"valor G de n346-nostar-glob-peaks-p0030-d0030.csv")</f>
        <v>valor G de n346-nostar-glob-peaks-p0030-d0030.csv</v>
      </c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8">
        <f>IFERROR(__xludf.DUMMYFUNCTION("""COMPUTED_VALUE"""),3011.0)</f>
        <v>3011</v>
      </c>
      <c r="B150" s="19" t="str">
        <f>IFERROR(__xludf.DUMMYFUNCTION("""COMPUTED_VALUE"""),"GLOB-E")</f>
        <v>GLOB-E</v>
      </c>
      <c r="C150" s="15">
        <f>IFERROR(__xludf.DUMMYFUNCTION("""COMPUTED_VALUE"""),8363.69482421875)</f>
        <v>8363.694824</v>
      </c>
      <c r="D150" s="15">
        <f>IFERROR(__xludf.DUMMYFUNCTION("""COMPUTED_VALUE"""),8359.15)</f>
        <v>8359.15</v>
      </c>
      <c r="E150" s="19" t="str">
        <f>IFERROR(__xludf.DUMMYFUNCTION("""COMPUTED_VALUE"""),"Med Neb")</f>
        <v>Med Neb</v>
      </c>
      <c r="F150" s="19" t="str">
        <f>IFERROR(__xludf.DUMMYFUNCTION("""COMPUTED_VALUE"""),"H I 8359.00")</f>
        <v>H I 8359.00</v>
      </c>
      <c r="G150" s="15">
        <f>IFERROR(__xludf.DUMMYFUNCTION("""COMPUTED_VALUE"""),11.6166)</f>
        <v>11.6166</v>
      </c>
      <c r="H150" s="19" t="str">
        <f>IFERROR(__xludf.DUMMYFUNCTION("""COMPUTED_VALUE"""),"11, 101")</f>
        <v>11, 101</v>
      </c>
      <c r="I150" s="19" t="str">
        <f>IFERROR(__xludf.DUMMYFUNCTION("""COMPUTED_VALUE"""),"valor G de n346-nostar-glob-peaks-p0030-d0030.csv")</f>
        <v>valor G de n346-nostar-glob-peaks-p0030-d0030.csv</v>
      </c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8">
        <f>IFERROR(__xludf.DUMMYFUNCTION("""COMPUTED_VALUE"""),3023.0)</f>
        <v>3023</v>
      </c>
      <c r="B151" s="19" t="str">
        <f>IFERROR(__xludf.DUMMYFUNCTION("""COMPUTED_VALUE"""),"GLOB-E")</f>
        <v>GLOB-E</v>
      </c>
      <c r="C151" s="15">
        <f>IFERROR(__xludf.DUMMYFUNCTION("""COMPUTED_VALUE"""),8378.69482421875)</f>
        <v>8378.694824</v>
      </c>
      <c r="D151" s="15">
        <f>IFERROR(__xludf.DUMMYFUNCTION("""COMPUTED_VALUE"""),8374.27)</f>
        <v>8374.27</v>
      </c>
      <c r="E151" s="19" t="str">
        <f>IFERROR(__xludf.DUMMYFUNCTION("""COMPUTED_VALUE"""),"Med Neb")</f>
        <v>Med Neb</v>
      </c>
      <c r="F151" s="19" t="str">
        <f>IFERROR(__xludf.DUMMYFUNCTION("""COMPUTED_VALUE"""),"H I 8374.48")</f>
        <v>H I 8374.48</v>
      </c>
      <c r="G151" s="15">
        <f>IFERROR(__xludf.DUMMYFUNCTION("""COMPUTED_VALUE"""),12.1106)</f>
        <v>12.1106</v>
      </c>
      <c r="H151" s="19" t="str">
        <f>IFERROR(__xludf.DUMMYFUNCTION("""COMPUTED_VALUE"""),"11, 101")</f>
        <v>11, 101</v>
      </c>
      <c r="I151" s="19" t="str">
        <f>IFERROR(__xludf.DUMMYFUNCTION("""COMPUTED_VALUE"""),"valor G de n346-nostar-glob-peaks-p0030-d0030.csv")</f>
        <v>valor G de n346-nostar-glob-peaks-p0030-d0030.csv</v>
      </c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8">
        <f>IFERROR(__xludf.DUMMYFUNCTION("""COMPUTED_VALUE"""),3037.0)</f>
        <v>3037</v>
      </c>
      <c r="B152" s="19" t="str">
        <f>IFERROR(__xludf.DUMMYFUNCTION("""COMPUTED_VALUE"""),"GLOB-E")</f>
        <v>GLOB-E</v>
      </c>
      <c r="C152" s="15">
        <f>IFERROR(__xludf.DUMMYFUNCTION("""COMPUTED_VALUE"""),8396.19482421875)</f>
        <v>8396.194824</v>
      </c>
      <c r="D152" s="15">
        <f>IFERROR(__xludf.DUMMYFUNCTION("""COMPUTED_VALUE"""),8392.65)</f>
        <v>8392.65</v>
      </c>
      <c r="E152" s="19" t="str">
        <f>IFERROR(__xludf.DUMMYFUNCTION("""COMPUTED_VALUE"""),"Med Neb")</f>
        <v>Med Neb</v>
      </c>
      <c r="F152" s="19" t="str">
        <f>IFERROR(__xludf.DUMMYFUNCTION("""COMPUTED_VALUE"""),"H I 8392.40")</f>
        <v>H I 8392.40</v>
      </c>
      <c r="G152" s="15">
        <f>IFERROR(__xludf.DUMMYFUNCTION("""COMPUTED_VALUE"""),12.8163)</f>
        <v>12.8163</v>
      </c>
      <c r="H152" s="19">
        <f>IFERROR(__xludf.DUMMYFUNCTION("""COMPUTED_VALUE"""),101.0)</f>
        <v>101</v>
      </c>
      <c r="I152" s="19" t="str">
        <f>IFERROR(__xludf.DUMMYFUNCTION("""COMPUTED_VALUE"""),"valor G de n346-nostar-glob-e-peaks-p0002-d0030.csv")</f>
        <v>valor G de n346-nostar-glob-e-peaks-p0002-d0030.csv</v>
      </c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8">
        <f>IFERROR(__xludf.DUMMYFUNCTION("""COMPUTED_VALUE"""),3074.0)</f>
        <v>3074</v>
      </c>
      <c r="B153" s="19" t="str">
        <f>IFERROR(__xludf.DUMMYFUNCTION("""COMPUTED_VALUE"""),"GLOB-E")</f>
        <v>GLOB-E</v>
      </c>
      <c r="C153" s="15">
        <f>IFERROR(__xludf.DUMMYFUNCTION("""COMPUTED_VALUE"""),8442.44482421875)</f>
        <v>8442.444824</v>
      </c>
      <c r="D153" s="15">
        <f>IFERROR(__xludf.DUMMYFUNCTION("""COMPUTED_VALUE"""),8437.8)</f>
        <v>8437.8</v>
      </c>
      <c r="E153" s="19" t="str">
        <f>IFERROR(__xludf.DUMMYFUNCTION("""COMPUTED_VALUE"""),"Med Neb")</f>
        <v>Med Neb</v>
      </c>
      <c r="F153" s="19" t="str">
        <f>IFERROR(__xludf.DUMMYFUNCTION("""COMPUTED_VALUE"""),"H I 8437.96")</f>
        <v>H I 8437.96</v>
      </c>
      <c r="G153" s="15">
        <f>IFERROR(__xludf.DUMMYFUNCTION("""COMPUTED_VALUE"""),18.6757)</f>
        <v>18.6757</v>
      </c>
      <c r="H153" s="19" t="str">
        <f>IFERROR(__xludf.DUMMYFUNCTION("""COMPUTED_VALUE"""),"11, 101")</f>
        <v>11, 101</v>
      </c>
      <c r="I153" s="19" t="str">
        <f>IFERROR(__xludf.DUMMYFUNCTION("""COMPUTED_VALUE"""),"valor G de n346-nostar-glob-peaks-p0030-d0030.csv")</f>
        <v>valor G de n346-nostar-glob-peaks-p0030-d0030.csv</v>
      </c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8">
        <f>IFERROR(__xludf.DUMMYFUNCTION("""COMPUTED_VALUE"""),3081.0)</f>
        <v>3081</v>
      </c>
      <c r="B154" s="19" t="str">
        <f>IFERROR(__xludf.DUMMYFUNCTION("""COMPUTED_VALUE"""),"GLOB-E")</f>
        <v>GLOB-E</v>
      </c>
      <c r="C154" s="15">
        <f>IFERROR(__xludf.DUMMYFUNCTION("""COMPUTED_VALUE"""),8451.19482421875)</f>
        <v>8451.194824</v>
      </c>
      <c r="D154" s="15">
        <f>IFERROR(__xludf.DUMMYFUNCTION("""COMPUTED_VALUE"""),8446.48)</f>
        <v>8446.48</v>
      </c>
      <c r="E154" s="19" t="str">
        <f>IFERROR(__xludf.DUMMYFUNCTION("""COMPUTED_VALUE"""),"Neutral")</f>
        <v>Neutral</v>
      </c>
      <c r="F154" s="19" t="str">
        <f>IFERROR(__xludf.DUMMYFUNCTION("""COMPUTED_VALUE"""),"O I 8446.48")</f>
        <v>O I 8446.48</v>
      </c>
      <c r="G154" s="15">
        <f>IFERROR(__xludf.DUMMYFUNCTION("""COMPUTED_VALUE"""),10.9372)</f>
        <v>10.9372</v>
      </c>
      <c r="H154" s="19" t="str">
        <f>IFERROR(__xludf.DUMMYFUNCTION("""COMPUTED_VALUE"""),"11, 101")</f>
        <v>11, 101</v>
      </c>
      <c r="I154" s="19" t="str">
        <f>IFERROR(__xludf.DUMMYFUNCTION("""COMPUTED_VALUE"""),"valor G de n346-nostar-glob-peaks-p0030-d0030.csv")</f>
        <v>valor G de n346-nostar-glob-peaks-p0030-d0030.csv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8">
        <f>IFERROR(__xludf.DUMMYFUNCTION("""COMPUTED_VALUE"""),3091.0)</f>
        <v>3091</v>
      </c>
      <c r="B155" s="19" t="str">
        <f>IFERROR(__xludf.DUMMYFUNCTION("""COMPUTED_VALUE"""),"GLOB-E")</f>
        <v>GLOB-E</v>
      </c>
      <c r="C155" s="15">
        <f>IFERROR(__xludf.DUMMYFUNCTION("""COMPUTED_VALUE"""),8463.69482421875)</f>
        <v>8463.694824</v>
      </c>
      <c r="D155" s="15">
        <f>IFERROR(__xludf.DUMMYFUNCTION("""COMPUTED_VALUE"""),8459.38)</f>
        <v>8459.38</v>
      </c>
      <c r="E155" s="19"/>
      <c r="F155" s="19"/>
      <c r="G155" s="15">
        <f>IFERROR(__xludf.DUMMYFUNCTION("""COMPUTED_VALUE"""),9.6347)</f>
        <v>9.6347</v>
      </c>
      <c r="H155" s="19" t="str">
        <f>IFERROR(__xludf.DUMMYFUNCTION("""COMPUTED_VALUE"""),"11, 101")</f>
        <v>11, 101</v>
      </c>
      <c r="I155" s="19" t="str">
        <f>IFERROR(__xludf.DUMMYFUNCTION("""COMPUTED_VALUE"""),"valor G de n346-nostar-glob-e-peaks-p0002-d0030.csv")</f>
        <v>valor G de n346-nostar-glob-e-peaks-p0002-d0030.csv</v>
      </c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8">
        <f>IFERROR(__xludf.DUMMYFUNCTION("""COMPUTED_VALUE"""),3098.0)</f>
        <v>3098</v>
      </c>
      <c r="B156" s="19" t="str">
        <f>IFERROR(__xludf.DUMMYFUNCTION("""COMPUTED_VALUE"""),"GLOB-E")</f>
        <v>GLOB-E</v>
      </c>
      <c r="C156" s="15">
        <f>IFERROR(__xludf.DUMMYFUNCTION("""COMPUTED_VALUE"""),8472.44482421875)</f>
        <v>8472.444824</v>
      </c>
      <c r="D156" s="15">
        <f>IFERROR(__xludf.DUMMYFUNCTION("""COMPUTED_VALUE"""),8467.04)</f>
        <v>8467.04</v>
      </c>
      <c r="E156" s="19" t="str">
        <f>IFERROR(__xludf.DUMMYFUNCTION("""COMPUTED_VALUE"""),"Med Neb")</f>
        <v>Med Neb</v>
      </c>
      <c r="F156" s="19" t="str">
        <f>IFERROR(__xludf.DUMMYFUNCTION("""COMPUTED_VALUE"""),"H I 8467.26")</f>
        <v>H I 8467.26</v>
      </c>
      <c r="G156" s="15">
        <f>IFERROR(__xludf.DUMMYFUNCTION("""COMPUTED_VALUE"""),20.3892)</f>
        <v>20.3892</v>
      </c>
      <c r="H156" s="19" t="str">
        <f>IFERROR(__xludf.DUMMYFUNCTION("""COMPUTED_VALUE"""),"11, 101")</f>
        <v>11, 101</v>
      </c>
      <c r="I156" s="19" t="str">
        <f>IFERROR(__xludf.DUMMYFUNCTION("""COMPUTED_VALUE"""),"valor G de n346-nostar-glob-peaks-p0030-d0030.csv")</f>
        <v>valor G de n346-nostar-glob-peaks-p0030-d0030.csv</v>
      </c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8">
        <f>IFERROR(__xludf.DUMMYFUNCTION("""COMPUTED_VALUE"""),3104.0)</f>
        <v>3104</v>
      </c>
      <c r="B157" s="19" t="str">
        <f>IFERROR(__xludf.DUMMYFUNCTION("""COMPUTED_VALUE"""),"GLOB-E")</f>
        <v>GLOB-E</v>
      </c>
      <c r="C157" s="15">
        <f>IFERROR(__xludf.DUMMYFUNCTION("""COMPUTED_VALUE"""),8479.94482421875)</f>
        <v>8479.944824</v>
      </c>
      <c r="D157" s="15">
        <f>IFERROR(__xludf.DUMMYFUNCTION("""COMPUTED_VALUE"""),8475.07)</f>
        <v>8475.07</v>
      </c>
      <c r="E157" s="19"/>
      <c r="F157" s="19"/>
      <c r="G157" s="15">
        <f>IFERROR(__xludf.DUMMYFUNCTION("""COMPUTED_VALUE"""),3.242)</f>
        <v>3.242</v>
      </c>
      <c r="H157" s="19" t="str">
        <f>IFERROR(__xludf.DUMMYFUNCTION("""COMPUTED_VALUE"""),"11, 101")</f>
        <v>11, 101</v>
      </c>
      <c r="I157" s="19" t="str">
        <f>IFERROR(__xludf.DUMMYFUNCTION("""COMPUTED_VALUE"""),"valor G de n346-nostar-glob-peaks-p0030-d0030.csv")</f>
        <v>valor G de n346-nostar-glob-peaks-p0030-d0030.csv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8">
        <f>IFERROR(__xludf.DUMMYFUNCTION("""COMPUTED_VALUE"""),3126.0)</f>
        <v>3126</v>
      </c>
      <c r="B158" s="19" t="str">
        <f>IFERROR(__xludf.DUMMYFUNCTION("""COMPUTED_VALUE"""),"GLOB-E")</f>
        <v>GLOB-E</v>
      </c>
      <c r="C158" s="15">
        <f>IFERROR(__xludf.DUMMYFUNCTION("""COMPUTED_VALUE"""),8507.44482421875)</f>
        <v>8507.444824</v>
      </c>
      <c r="D158" s="15">
        <f>IFERROR(__xludf.DUMMYFUNCTION("""COMPUTED_VALUE"""),8502.05)</f>
        <v>8502.05</v>
      </c>
      <c r="E158" s="19" t="str">
        <f>IFERROR(__xludf.DUMMYFUNCTION("""COMPUTED_VALUE"""),"Med Neb")</f>
        <v>Med Neb</v>
      </c>
      <c r="F158" s="19" t="str">
        <f>IFERROR(__xludf.DUMMYFUNCTION("""COMPUTED_VALUE"""),"H I 8502.49")</f>
        <v>H I 8502.49</v>
      </c>
      <c r="G158" s="15">
        <f>IFERROR(__xludf.DUMMYFUNCTION("""COMPUTED_VALUE"""),25.4668)</f>
        <v>25.4668</v>
      </c>
      <c r="H158" s="19" t="str">
        <f>IFERROR(__xludf.DUMMYFUNCTION("""COMPUTED_VALUE"""),"11, 101")</f>
        <v>11, 101</v>
      </c>
      <c r="I158" s="19" t="str">
        <f>IFERROR(__xludf.DUMMYFUNCTION("""COMPUTED_VALUE"""),"valor G de n346-nostar-glob-peaks-p0030-d0030.csv")</f>
        <v>valor G de n346-nostar-glob-peaks-p0030-d0030.csv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8">
        <f>IFERROR(__xludf.DUMMYFUNCTION("""COMPUTED_VALUE"""),3142.0)</f>
        <v>3142</v>
      </c>
      <c r="B159" s="19" t="str">
        <f>IFERROR(__xludf.DUMMYFUNCTION("""COMPUTED_VALUE"""),"GLOB-E")</f>
        <v>GLOB-E</v>
      </c>
      <c r="C159" s="15">
        <f>IFERROR(__xludf.DUMMYFUNCTION("""COMPUTED_VALUE"""),8527.44482421875)</f>
        <v>8527.444824</v>
      </c>
      <c r="D159" s="15">
        <f>IFERROR(__xludf.DUMMYFUNCTION("""COMPUTED_VALUE"""),8522.46)</f>
        <v>8522.46</v>
      </c>
      <c r="E159" s="19"/>
      <c r="F159" s="19"/>
      <c r="G159" s="15">
        <f>IFERROR(__xludf.DUMMYFUNCTION("""COMPUTED_VALUE"""),3.3247)</f>
        <v>3.3247</v>
      </c>
      <c r="H159" s="19" t="str">
        <f>IFERROR(__xludf.DUMMYFUNCTION("""COMPUTED_VALUE"""),"11, 101")</f>
        <v>11, 101</v>
      </c>
      <c r="I159" s="19" t="str">
        <f>IFERROR(__xludf.DUMMYFUNCTION("""COMPUTED_VALUE"""),"valor G de n346-nostar-glob-peaks-p0030-d0030.csv")</f>
        <v>valor G de n346-nostar-glob-peaks-p0030-d0030.csv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8">
        <f>IFERROR(__xludf.DUMMYFUNCTION("""COMPUTED_VALUE"""),3147.0)</f>
        <v>3147</v>
      </c>
      <c r="B160" s="19" t="str">
        <f>IFERROR(__xludf.DUMMYFUNCTION("""COMPUTED_VALUE"""),"GLOB-E")</f>
        <v>GLOB-E</v>
      </c>
      <c r="C160" s="15">
        <f>IFERROR(__xludf.DUMMYFUNCTION("""COMPUTED_VALUE"""),8533.69482421875)</f>
        <v>8533.694824</v>
      </c>
      <c r="D160" s="15">
        <f>IFERROR(__xludf.DUMMYFUNCTION("""COMPUTED_VALUE"""),8529.34)</f>
        <v>8529.34</v>
      </c>
      <c r="E160" s="19" t="str">
        <f>IFERROR(__xludf.DUMMYFUNCTION("""COMPUTED_VALUE"""),"Med Neb")</f>
        <v>Med Neb</v>
      </c>
      <c r="F160" s="19" t="str">
        <f>IFERROR(__xludf.DUMMYFUNCTION("""COMPUTED_VALUE"""),"He I 8528.99")</f>
        <v>He I 8528.99</v>
      </c>
      <c r="G160" s="15">
        <f>IFERROR(__xludf.DUMMYFUNCTION("""COMPUTED_VALUE"""),0.5751)</f>
        <v>0.5751</v>
      </c>
      <c r="H160" s="19">
        <f>IFERROR(__xludf.DUMMYFUNCTION("""COMPUTED_VALUE"""),11.0)</f>
        <v>11</v>
      </c>
      <c r="I160" s="19" t="str">
        <f>IFERROR(__xludf.DUMMYFUNCTION("""COMPUTED_VALUE"""),"valor G de n346-nostar-glob-e-peaks-p0002-d0030.csv")</f>
        <v>valor G de n346-nostar-glob-e-peaks-p0002-d0030.csv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8">
        <f>IFERROR(__xludf.DUMMYFUNCTION("""COMPUTED_VALUE"""),3160.0)</f>
        <v>3160</v>
      </c>
      <c r="B161" s="19" t="str">
        <f>IFERROR(__xludf.DUMMYFUNCTION("""COMPUTED_VALUE"""),"GLOB-E")</f>
        <v>GLOB-E</v>
      </c>
      <c r="C161" s="15">
        <f>IFERROR(__xludf.DUMMYFUNCTION("""COMPUTED_VALUE"""),8549.94482421875)</f>
        <v>8549.944824</v>
      </c>
      <c r="D161" s="15">
        <f>IFERROR(__xludf.DUMMYFUNCTION("""COMPUTED_VALUE"""),8545.04)</f>
        <v>8545.04</v>
      </c>
      <c r="E161" s="19"/>
      <c r="F161" s="19"/>
      <c r="G161" s="15">
        <f>IFERROR(__xludf.DUMMYFUNCTION("""COMPUTED_VALUE"""),32.0507)</f>
        <v>32.0507</v>
      </c>
      <c r="H161" s="19" t="str">
        <f>IFERROR(__xludf.DUMMYFUNCTION("""COMPUTED_VALUE"""),"11, 101")</f>
        <v>11, 101</v>
      </c>
      <c r="I161" s="19" t="str">
        <f>IFERROR(__xludf.DUMMYFUNCTION("""COMPUTED_VALUE"""),"valor G de n346-nostar-glob-peaks-p0030-d0030.csv")</f>
        <v>valor G de n346-nostar-glob-peaks-p0030-d0030.csv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8">
        <f>IFERROR(__xludf.DUMMYFUNCTION("""COMPUTED_VALUE"""),3164.0)</f>
        <v>3164</v>
      </c>
      <c r="B162" s="19" t="str">
        <f>IFERROR(__xludf.DUMMYFUNCTION("""COMPUTED_VALUE"""),"GLOB-E")</f>
        <v>GLOB-E</v>
      </c>
      <c r="C162" s="15">
        <f>IFERROR(__xludf.DUMMYFUNCTION("""COMPUTED_VALUE"""),8554.94482421875)</f>
        <v>8554.944824</v>
      </c>
      <c r="D162" s="15">
        <f>IFERROR(__xludf.DUMMYFUNCTION("""COMPUTED_VALUE"""),8549.71)</f>
        <v>8549.71</v>
      </c>
      <c r="E162" s="19"/>
      <c r="F162" s="19"/>
      <c r="G162" s="15">
        <f>IFERROR(__xludf.DUMMYFUNCTION("""COMPUTED_VALUE"""),5.7859)</f>
        <v>5.7859</v>
      </c>
      <c r="H162" s="19" t="str">
        <f>IFERROR(__xludf.DUMMYFUNCTION("""COMPUTED_VALUE"""),"11, 101")</f>
        <v>11, 101</v>
      </c>
      <c r="I162" s="19" t="str">
        <f>IFERROR(__xludf.DUMMYFUNCTION("""COMPUTED_VALUE"""),"valor G de n346-nostar-glob-e-peaks-p0002-d0030.csv")</f>
        <v>valor G de n346-nostar-glob-e-peaks-p0002-d0030.csv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8">
        <f>IFERROR(__xludf.DUMMYFUNCTION("""COMPUTED_VALUE"""),3172.0)</f>
        <v>3172</v>
      </c>
      <c r="B163" s="19" t="str">
        <f>IFERROR(__xludf.DUMMYFUNCTION("""COMPUTED_VALUE"""),"GLOB-E")</f>
        <v>GLOB-E</v>
      </c>
      <c r="C163" s="15">
        <f>IFERROR(__xludf.DUMMYFUNCTION("""COMPUTED_VALUE"""),8564.94482421875)</f>
        <v>8564.944824</v>
      </c>
      <c r="D163" s="15">
        <f>IFERROR(__xludf.DUMMYFUNCTION("""COMPUTED_VALUE"""),8560.31)</f>
        <v>8560.31</v>
      </c>
      <c r="E163" s="19"/>
      <c r="F163" s="19"/>
      <c r="G163" s="15">
        <f>IFERROR(__xludf.DUMMYFUNCTION("""COMPUTED_VALUE"""),3.8417)</f>
        <v>3.8417</v>
      </c>
      <c r="H163" s="19" t="str">
        <f>IFERROR(__xludf.DUMMYFUNCTION("""COMPUTED_VALUE"""),"11, 101")</f>
        <v>11, 101</v>
      </c>
      <c r="I163" s="19" t="str">
        <f>IFERROR(__xludf.DUMMYFUNCTION("""COMPUTED_VALUE"""),"valor G de n346-nostar-glob-peaks-p0030-d0030.csv")</f>
        <v>valor G de n346-nostar-glob-peaks-p0030-d0030.csv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8">
        <f>IFERROR(__xludf.DUMMYFUNCTION("""COMPUTED_VALUE"""),3187.0)</f>
        <v>3187</v>
      </c>
      <c r="B164" s="19" t="str">
        <f>IFERROR(__xludf.DUMMYFUNCTION("""COMPUTED_VALUE"""),"GLOB-E")</f>
        <v>GLOB-E</v>
      </c>
      <c r="C164" s="15">
        <f>IFERROR(__xludf.DUMMYFUNCTION("""COMPUTED_VALUE"""),8583.69482421875)</f>
        <v>8583.694824</v>
      </c>
      <c r="D164" s="15">
        <f>IFERROR(__xludf.DUMMYFUNCTION("""COMPUTED_VALUE"""),8578.72)</f>
        <v>8578.72</v>
      </c>
      <c r="E164" s="19"/>
      <c r="F164" s="19"/>
      <c r="G164" s="15">
        <f>IFERROR(__xludf.DUMMYFUNCTION("""COMPUTED_VALUE"""),2.915)</f>
        <v>2.915</v>
      </c>
      <c r="H164" s="19">
        <f>IFERROR(__xludf.DUMMYFUNCTION("""COMPUTED_VALUE"""),11.0)</f>
        <v>11</v>
      </c>
      <c r="I164" s="19" t="str">
        <f>IFERROR(__xludf.DUMMYFUNCTION("""COMPUTED_VALUE"""),"valor G de n346-nostar-glob-e-peaks-p0002-d0030.csv")</f>
        <v>valor G de n346-nostar-glob-e-peaks-p0002-d0030.csv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8">
        <f>IFERROR(__xludf.DUMMYFUNCTION("""COMPUTED_VALUE"""),3202.0)</f>
        <v>3202</v>
      </c>
      <c r="B165" s="19" t="str">
        <f>IFERROR(__xludf.DUMMYFUNCTION("""COMPUTED_VALUE"""),"GLOB-E")</f>
        <v>GLOB-E</v>
      </c>
      <c r="C165" s="15">
        <f>IFERROR(__xludf.DUMMYFUNCTION("""COMPUTED_VALUE"""),8602.44482421875)</f>
        <v>8602.444824</v>
      </c>
      <c r="D165" s="15">
        <f>IFERROR(__xludf.DUMMYFUNCTION("""COMPUTED_VALUE"""),8598.16)</f>
        <v>8598.16</v>
      </c>
      <c r="E165" s="19"/>
      <c r="F165" s="19"/>
      <c r="G165" s="15">
        <f>IFERROR(__xludf.DUMMYFUNCTION("""COMPUTED_VALUE"""),19.2311)</f>
        <v>19.2311</v>
      </c>
      <c r="H165" s="19" t="str">
        <f>IFERROR(__xludf.DUMMYFUNCTION("""COMPUTED_VALUE"""),"11, 101")</f>
        <v>11, 101</v>
      </c>
      <c r="I165" s="19" t="str">
        <f>IFERROR(__xludf.DUMMYFUNCTION("""COMPUTED_VALUE"""),"valor G de n346-nostar-glob-e-peaks-p0002-d0030.csv")</f>
        <v>valor G de n346-nostar-glob-e-peaks-p0002-d0030.csv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8">
        <f>IFERROR(__xludf.DUMMYFUNCTION("""COMPUTED_VALUE"""),3213.0)</f>
        <v>3213</v>
      </c>
      <c r="B166" s="19" t="str">
        <f>IFERROR(__xludf.DUMMYFUNCTION("""COMPUTED_VALUE"""),"GLOB-E")</f>
        <v>GLOB-E</v>
      </c>
      <c r="C166" s="15">
        <f>IFERROR(__xludf.DUMMYFUNCTION("""COMPUTED_VALUE"""),8616.19482421875)</f>
        <v>8616.194824</v>
      </c>
      <c r="D166" s="15">
        <f>IFERROR(__xludf.DUMMYFUNCTION("""COMPUTED_VALUE"""),8610.91)</f>
        <v>8610.91</v>
      </c>
      <c r="E166" s="19"/>
      <c r="F166" s="19"/>
      <c r="G166" s="15">
        <f>IFERROR(__xludf.DUMMYFUNCTION("""COMPUTED_VALUE"""),2.878)</f>
        <v>2.878</v>
      </c>
      <c r="H166" s="19">
        <f>IFERROR(__xludf.DUMMYFUNCTION("""COMPUTED_VALUE"""),11.0)</f>
        <v>11</v>
      </c>
      <c r="I166" s="19" t="str">
        <f>IFERROR(__xludf.DUMMYFUNCTION("""COMPUTED_VALUE"""),"valor G de n346-nostar-glob-e-peaks-p0002-d0030.csv")</f>
        <v>valor G de n346-nostar-glob-e-peaks-p0002-d0030.csv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8">
        <f>IFERROR(__xludf.DUMMYFUNCTION("""COMPUTED_VALUE"""),3244.0)</f>
        <v>3244</v>
      </c>
      <c r="B167" s="19" t="str">
        <f>IFERROR(__xludf.DUMMYFUNCTION("""COMPUTED_VALUE"""),"GLOB-E")</f>
        <v>GLOB-E</v>
      </c>
      <c r="C167" s="15">
        <f>IFERROR(__xludf.DUMMYFUNCTION("""COMPUTED_VALUE"""),8654.94482421875)</f>
        <v>8654.944824</v>
      </c>
      <c r="D167" s="15">
        <f>IFERROR(__xludf.DUMMYFUNCTION("""COMPUTED_VALUE"""),8650.36)</f>
        <v>8650.36</v>
      </c>
      <c r="E167" s="19"/>
      <c r="F167" s="19"/>
      <c r="G167" s="15">
        <f>IFERROR(__xludf.DUMMYFUNCTION("""COMPUTED_VALUE"""),5.9669)</f>
        <v>5.9669</v>
      </c>
      <c r="H167" s="19" t="str">
        <f>IFERROR(__xludf.DUMMYFUNCTION("""COMPUTED_VALUE"""),"11, 101")</f>
        <v>11, 101</v>
      </c>
      <c r="I167" s="19" t="str">
        <f>IFERROR(__xludf.DUMMYFUNCTION("""COMPUTED_VALUE"""),"valor G de n346-nostar-glob-peaks-p0030-d0030.csv")</f>
        <v>valor G de n346-nostar-glob-peaks-p0030-d0030.csv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8">
        <f>IFERROR(__xludf.DUMMYFUNCTION("""COMPUTED_VALUE"""),3256.0)</f>
        <v>3256</v>
      </c>
      <c r="B168" s="19" t="str">
        <f>IFERROR(__xludf.DUMMYFUNCTION("""COMPUTED_VALUE"""),"GLOB-E")</f>
        <v>GLOB-E</v>
      </c>
      <c r="C168" s="15">
        <f>IFERROR(__xludf.DUMMYFUNCTION("""COMPUTED_VALUE"""),8669.94482421875)</f>
        <v>8669.944824</v>
      </c>
      <c r="D168" s="15">
        <f>IFERROR(__xludf.DUMMYFUNCTION("""COMPUTED_VALUE"""),8664.68)</f>
        <v>8664.68</v>
      </c>
      <c r="E168" s="19" t="str">
        <f>IFERROR(__xludf.DUMMYFUNCTION("""COMPUTED_VALUE"""),"Med Neb")</f>
        <v>Med Neb</v>
      </c>
      <c r="F168" s="19" t="str">
        <f>IFERROR(__xludf.DUMMYFUNCTION("""COMPUTED_VALUE"""),"H I 8665.02")</f>
        <v>H I 8665.02</v>
      </c>
      <c r="G168" s="15">
        <f>IFERROR(__xludf.DUMMYFUNCTION("""COMPUTED_VALUE"""),48.0993)</f>
        <v>48.0993</v>
      </c>
      <c r="H168" s="19" t="str">
        <f>IFERROR(__xludf.DUMMYFUNCTION("""COMPUTED_VALUE"""),"11, 101")</f>
        <v>11, 101</v>
      </c>
      <c r="I168" s="19" t="str">
        <f>IFERROR(__xludf.DUMMYFUNCTION("""COMPUTED_VALUE"""),"valor G de n346-nostar-glob-peaks-p0030-d0030.csv")</f>
        <v>valor G de n346-nostar-glob-peaks-p0030-d0030.csv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8">
        <f>IFERROR(__xludf.DUMMYFUNCTION("""COMPUTED_VALUE"""),3272.0)</f>
        <v>3272</v>
      </c>
      <c r="B169" s="19" t="str">
        <f>IFERROR(__xludf.DUMMYFUNCTION("""COMPUTED_VALUE"""),"GLOB-E")</f>
        <v>GLOB-E</v>
      </c>
      <c r="C169" s="15">
        <f>IFERROR(__xludf.DUMMYFUNCTION("""COMPUTED_VALUE"""),8689.94482421875)</f>
        <v>8689.944824</v>
      </c>
      <c r="D169" s="15">
        <f>IFERROR(__xludf.DUMMYFUNCTION("""COMPUTED_VALUE"""),8684.99)</f>
        <v>8684.99</v>
      </c>
      <c r="E169" s="19"/>
      <c r="F169" s="19"/>
      <c r="G169" s="15">
        <f>IFERROR(__xludf.DUMMYFUNCTION("""COMPUTED_VALUE"""),3.105)</f>
        <v>3.105</v>
      </c>
      <c r="H169" s="19">
        <f>IFERROR(__xludf.DUMMYFUNCTION("""COMPUTED_VALUE"""),11.0)</f>
        <v>11</v>
      </c>
      <c r="I169" s="19" t="str">
        <f>IFERROR(__xludf.DUMMYFUNCTION("""COMPUTED_VALUE"""),"valor G de n346-nostar-glob-peaks-p0030-d0030.csv")</f>
        <v>valor G de n346-nostar-glob-peaks-p0030-d0030.csv</v>
      </c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8">
        <f>IFERROR(__xludf.DUMMYFUNCTION("""COMPUTED_VALUE"""),3306.0)</f>
        <v>3306</v>
      </c>
      <c r="B170" s="19" t="str">
        <f>IFERROR(__xludf.DUMMYFUNCTION("""COMPUTED_VALUE"""),"GLOB-E")</f>
        <v>GLOB-E</v>
      </c>
      <c r="C170" s="15">
        <f>IFERROR(__xludf.DUMMYFUNCTION("""COMPUTED_VALUE"""),8732.44482421875)</f>
        <v>8732.444824</v>
      </c>
      <c r="D170" s="15">
        <f>IFERROR(__xludf.DUMMYFUNCTION("""COMPUTED_VALUE"""),8726.92)</f>
        <v>8726.92</v>
      </c>
      <c r="E170" s="19" t="str">
        <f>IFERROR(__xludf.DUMMYFUNCTION("""COMPUTED_VALUE"""),"Deep Neutral")</f>
        <v>Deep Neutral</v>
      </c>
      <c r="F170" s="19" t="str">
        <f>IFERROR(__xludf.DUMMYFUNCTION("""COMPUTED_VALUE"""),"[C I] 8727.13")</f>
        <v>[C I] 8727.13</v>
      </c>
      <c r="G170" s="15">
        <f>IFERROR(__xludf.DUMMYFUNCTION("""COMPUTED_VALUE"""),9.4181)</f>
        <v>9.4181</v>
      </c>
      <c r="H170" s="19" t="str">
        <f>IFERROR(__xludf.DUMMYFUNCTION("""COMPUTED_VALUE"""),"11, 101")</f>
        <v>11, 101</v>
      </c>
      <c r="I170" s="19" t="str">
        <f>IFERROR(__xludf.DUMMYFUNCTION("""COMPUTED_VALUE"""),"valor G de n346-nostar-glob-peaks-p0030-d0030.csv")</f>
        <v>valor G de n346-nostar-glob-peaks-p0030-d0030.csv</v>
      </c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8">
        <f>IFERROR(__xludf.DUMMYFUNCTION("""COMPUTED_VALUE"""),3315.0)</f>
        <v>3315</v>
      </c>
      <c r="B171" s="19" t="str">
        <f>IFERROR(__xludf.DUMMYFUNCTION("""COMPUTED_VALUE"""),"GLOB-E")</f>
        <v>GLOB-E</v>
      </c>
      <c r="C171" s="15">
        <f>IFERROR(__xludf.DUMMYFUNCTION("""COMPUTED_VALUE"""),8743.69482421875)</f>
        <v>8743.694824</v>
      </c>
      <c r="D171" s="15">
        <f>IFERROR(__xludf.DUMMYFUNCTION("""COMPUTED_VALUE"""),8738.39)</f>
        <v>8738.39</v>
      </c>
      <c r="E171" s="19" t="str">
        <f>IFERROR(__xludf.DUMMYFUNCTION("""COMPUTED_VALUE"""),"Med Neb")</f>
        <v>Med Neb</v>
      </c>
      <c r="F171" s="19" t="str">
        <f>IFERROR(__xludf.DUMMYFUNCTION("""COMPUTED_VALUE"""),"He I 8739.04")</f>
        <v>He I 8739.04</v>
      </c>
      <c r="G171" s="15">
        <f>IFERROR(__xludf.DUMMYFUNCTION("""COMPUTED_VALUE"""),2.0595)</f>
        <v>2.0595</v>
      </c>
      <c r="H171" s="19">
        <f>IFERROR(__xludf.DUMMYFUNCTION("""COMPUTED_VALUE"""),11.0)</f>
        <v>11</v>
      </c>
      <c r="I171" s="19" t="str">
        <f>IFERROR(__xludf.DUMMYFUNCTION("""COMPUTED_VALUE"""),"valor G de n346-nostar-glob-e-peaks-p0002-d0030.csv")</f>
        <v>valor G de n346-nostar-glob-e-peaks-p0002-d0030.csv</v>
      </c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8">
        <f>IFERROR(__xludf.DUMMYFUNCTION("""COMPUTED_VALUE"""),3324.0)</f>
        <v>3324</v>
      </c>
      <c r="B172" s="19" t="str">
        <f>IFERROR(__xludf.DUMMYFUNCTION("""COMPUTED_VALUE"""),"GLOB-E")</f>
        <v>GLOB-E</v>
      </c>
      <c r="C172" s="15">
        <f>IFERROR(__xludf.DUMMYFUNCTION("""COMPUTED_VALUE"""),8754.94482421875)</f>
        <v>8754.944824</v>
      </c>
      <c r="D172" s="15">
        <f>IFERROR(__xludf.DUMMYFUNCTION("""COMPUTED_VALUE"""),8750.17)</f>
        <v>8750.17</v>
      </c>
      <c r="E172" s="19" t="str">
        <f>IFERROR(__xludf.DUMMYFUNCTION("""COMPUTED_VALUE"""),"Med Neb")</f>
        <v>Med Neb</v>
      </c>
      <c r="F172" s="19" t="str">
        <f>IFERROR(__xludf.DUMMYFUNCTION("""COMPUTED_VALUE"""),"H I 8750.48")</f>
        <v>H I 8750.48</v>
      </c>
      <c r="G172" s="15">
        <f>IFERROR(__xludf.DUMMYFUNCTION("""COMPUTED_VALUE"""),58.8634)</f>
        <v>58.8634</v>
      </c>
      <c r="H172" s="19" t="str">
        <f>IFERROR(__xludf.DUMMYFUNCTION("""COMPUTED_VALUE"""),"11, 101")</f>
        <v>11, 101</v>
      </c>
      <c r="I172" s="19" t="str">
        <f>IFERROR(__xludf.DUMMYFUNCTION("""COMPUTED_VALUE"""),"valor G de n346-nostar-glob-peaks-p0030-d0030.csv")</f>
        <v>valor G de n346-nostar-glob-peaks-p0030-d0030.csv</v>
      </c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8">
        <f>IFERROR(__xludf.DUMMYFUNCTION("""COMPUTED_VALUE"""),3355.0)</f>
        <v>3355</v>
      </c>
      <c r="B173" s="19" t="str">
        <f>IFERROR(__xludf.DUMMYFUNCTION("""COMPUTED_VALUE"""),"GLOB-E")</f>
        <v>GLOB-E</v>
      </c>
      <c r="C173" s="15">
        <f>IFERROR(__xludf.DUMMYFUNCTION("""COMPUTED_VALUE"""),8793.69482421875)</f>
        <v>8793.694824</v>
      </c>
      <c r="D173" s="15">
        <f>IFERROR(__xludf.DUMMYFUNCTION("""COMPUTED_VALUE"""),8789.03)</f>
        <v>8789.03</v>
      </c>
      <c r="E173" s="19"/>
      <c r="F173" s="19"/>
      <c r="G173" s="15">
        <f>IFERROR(__xludf.DUMMYFUNCTION("""COMPUTED_VALUE"""),8.0066)</f>
        <v>8.0066</v>
      </c>
      <c r="H173" s="19" t="str">
        <f>IFERROR(__xludf.DUMMYFUNCTION("""COMPUTED_VALUE"""),"11, 101")</f>
        <v>11, 101</v>
      </c>
      <c r="I173" s="19" t="str">
        <f>IFERROR(__xludf.DUMMYFUNCTION("""COMPUTED_VALUE"""),"valor G de n346-nostar-glob-peaks-p0030-d0030.csv")</f>
        <v>valor G de n346-nostar-glob-peaks-p0030-d0030.csv</v>
      </c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8">
        <f>IFERROR(__xludf.DUMMYFUNCTION("""COMPUTED_VALUE"""),3372.0)</f>
        <v>3372</v>
      </c>
      <c r="B174" s="19" t="str">
        <f>IFERROR(__xludf.DUMMYFUNCTION("""COMPUTED_VALUE"""),"GLOB-E")</f>
        <v>GLOB-E</v>
      </c>
      <c r="C174" s="15">
        <f>IFERROR(__xludf.DUMMYFUNCTION("""COMPUTED_VALUE"""),8814.94482421875)</f>
        <v>8814.944824</v>
      </c>
      <c r="D174" s="15">
        <f>IFERROR(__xludf.DUMMYFUNCTION("""COMPUTED_VALUE"""),8809.78)</f>
        <v>8809.78</v>
      </c>
      <c r="E174" s="19" t="str">
        <f>IFERROR(__xludf.DUMMYFUNCTION("""COMPUTED_VALUE"""),"Deep Neutral")</f>
        <v>Deep Neutral</v>
      </c>
      <c r="F174" s="19" t="str">
        <f>IFERROR(__xludf.DUMMYFUNCTION("""COMPUTED_VALUE"""),"C_2 8809.841")</f>
        <v>C_2 8809.841</v>
      </c>
      <c r="G174" s="15">
        <f>IFERROR(__xludf.DUMMYFUNCTION("""COMPUTED_VALUE"""),2.9591)</f>
        <v>2.9591</v>
      </c>
      <c r="H174" s="19">
        <f>IFERROR(__xludf.DUMMYFUNCTION("""COMPUTED_VALUE"""),11.0)</f>
        <v>11</v>
      </c>
      <c r="I174" s="19" t="str">
        <f>IFERROR(__xludf.DUMMYFUNCTION("""COMPUTED_VALUE"""),"valor G de n346-nostar-glob-e-peaks-p0002-d0030.csv")</f>
        <v>valor G de n346-nostar-glob-e-peaks-p0002-d0030.csv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8">
        <f>IFERROR(__xludf.DUMMYFUNCTION("""COMPUTED_VALUE"""),3405.0)</f>
        <v>3405</v>
      </c>
      <c r="B175" s="19" t="str">
        <f>IFERROR(__xludf.DUMMYFUNCTION("""COMPUTED_VALUE"""),"GLOB-E")</f>
        <v>GLOB-E</v>
      </c>
      <c r="C175" s="15">
        <f>IFERROR(__xludf.DUMMYFUNCTION("""COMPUTED_VALUE"""),8856.19482421875)</f>
        <v>8856.194824</v>
      </c>
      <c r="D175" s="15">
        <f>IFERROR(__xludf.DUMMYFUNCTION("""COMPUTED_VALUE"""),8850.63)</f>
        <v>8850.63</v>
      </c>
      <c r="E175" s="19" t="str">
        <f>IFERROR(__xludf.DUMMYFUNCTION("""COMPUTED_VALUE"""),"Med Neb")</f>
        <v>Med Neb</v>
      </c>
      <c r="F175" s="19" t="str">
        <f>IFERROR(__xludf.DUMMYFUNCTION("""COMPUTED_VALUE"""),"He I 8848.05")</f>
        <v>He I 8848.05</v>
      </c>
      <c r="G175" s="15">
        <f>IFERROR(__xludf.DUMMYFUNCTION("""COMPUTED_VALUE"""),8.3094)</f>
        <v>8.3094</v>
      </c>
      <c r="H175" s="19" t="str">
        <f>IFERROR(__xludf.DUMMYFUNCTION("""COMPUTED_VALUE"""),"11, 101")</f>
        <v>11, 101</v>
      </c>
      <c r="I175" s="19" t="str">
        <f>IFERROR(__xludf.DUMMYFUNCTION("""COMPUTED_VALUE"""),"valor G de n346-nostar-glob-peaks-p0030-d0030.csv")</f>
        <v>valor G de n346-nostar-glob-peaks-p0030-d0030.csv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8">
        <f>IFERROR(__xludf.DUMMYFUNCTION("""COMPUTED_VALUE"""),3414.0)</f>
        <v>3414</v>
      </c>
      <c r="B176" s="19" t="str">
        <f>IFERROR(__xludf.DUMMYFUNCTION("""COMPUTED_VALUE"""),"GLOB-E")</f>
        <v>GLOB-E</v>
      </c>
      <c r="C176" s="15">
        <f>IFERROR(__xludf.DUMMYFUNCTION("""COMPUTED_VALUE"""),8867.44482421875)</f>
        <v>8867.444824</v>
      </c>
      <c r="D176" s="15">
        <f>IFERROR(__xludf.DUMMYFUNCTION("""COMPUTED_VALUE"""),8862.5)</f>
        <v>8862.5</v>
      </c>
      <c r="E176" s="19" t="str">
        <f>IFERROR(__xludf.DUMMYFUNCTION("""COMPUTED_VALUE"""),"Med Neb")</f>
        <v>Med Neb</v>
      </c>
      <c r="F176" s="19" t="str">
        <f>IFERROR(__xludf.DUMMYFUNCTION("""COMPUTED_VALUE"""),"H I 8862.79")</f>
        <v>H I 8862.79</v>
      </c>
      <c r="G176" s="15">
        <f>IFERROR(__xludf.DUMMYFUNCTION("""COMPUTED_VALUE"""),84.8766)</f>
        <v>84.8766</v>
      </c>
      <c r="H176" s="19" t="str">
        <f>IFERROR(__xludf.DUMMYFUNCTION("""COMPUTED_VALUE"""),"11, 101")</f>
        <v>11, 101</v>
      </c>
      <c r="I176" s="19" t="str">
        <f>IFERROR(__xludf.DUMMYFUNCTION("""COMPUTED_VALUE"""),"valor G de n346-nostar-glob-peaks-p0030-d0030.csv")</f>
        <v>valor G de n346-nostar-glob-peaks-p0030-d0030.csv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8">
        <f>IFERROR(__xludf.DUMMYFUNCTION("""COMPUTED_VALUE"""),3439.0)</f>
        <v>3439</v>
      </c>
      <c r="B177" s="19" t="str">
        <f>IFERROR(__xludf.DUMMYFUNCTION("""COMPUTED_VALUE"""),"GLOB-E")</f>
        <v>GLOB-E</v>
      </c>
      <c r="C177" s="15">
        <f>IFERROR(__xludf.DUMMYFUNCTION("""COMPUTED_VALUE"""),8898.69482421875)</f>
        <v>8898.694824</v>
      </c>
      <c r="D177" s="15">
        <f>IFERROR(__xludf.DUMMYFUNCTION("""COMPUTED_VALUE"""),8893.72)</f>
        <v>8893.72</v>
      </c>
      <c r="E177" s="19" t="str">
        <f>IFERROR(__xludf.DUMMYFUNCTION("""COMPUTED_VALUE"""),"Fe")</f>
        <v>Fe</v>
      </c>
      <c r="F177" s="19" t="str">
        <f>IFERROR(__xludf.DUMMYFUNCTION("""COMPUTED_VALUE"""),"[Fe II] 8891.91")</f>
        <v>[Fe II] 8891.91</v>
      </c>
      <c r="G177" s="15">
        <f>IFERROR(__xludf.DUMMYFUNCTION("""COMPUTED_VALUE"""),10.9281)</f>
        <v>10.9281</v>
      </c>
      <c r="H177" s="19" t="str">
        <f>IFERROR(__xludf.DUMMYFUNCTION("""COMPUTED_VALUE"""),"11, 101")</f>
        <v>11, 101</v>
      </c>
      <c r="I177" s="19" t="str">
        <f>IFERROR(__xludf.DUMMYFUNCTION("""COMPUTED_VALUE"""),"valor G de n346-nostar-glob-peaks-p0030-d0030.csv")</f>
        <v>valor G de n346-nostar-glob-peaks-p0030-d0030.csv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8">
        <f>IFERROR(__xludf.DUMMYFUNCTION("""COMPUTED_VALUE"""),3481.0)</f>
        <v>3481</v>
      </c>
      <c r="B178" s="19" t="str">
        <f>IFERROR(__xludf.DUMMYFUNCTION("""COMPUTED_VALUE"""),"GLOB-E")</f>
        <v>GLOB-E</v>
      </c>
      <c r="C178" s="15">
        <f>IFERROR(__xludf.DUMMYFUNCTION("""COMPUTED_VALUE"""),8951.19482421875)</f>
        <v>8951.194824</v>
      </c>
      <c r="D178" s="15">
        <f>IFERROR(__xludf.DUMMYFUNCTION("""COMPUTED_VALUE"""),8945.37)</f>
        <v>8945.37</v>
      </c>
      <c r="E178" s="19"/>
      <c r="F178" s="19"/>
      <c r="G178" s="15">
        <f>IFERROR(__xludf.DUMMYFUNCTION("""COMPUTED_VALUE"""),6.4582)</f>
        <v>6.4582</v>
      </c>
      <c r="H178" s="19">
        <f>IFERROR(__xludf.DUMMYFUNCTION("""COMPUTED_VALUE"""),101.0)</f>
        <v>101</v>
      </c>
      <c r="I178" s="19" t="str">
        <f>IFERROR(__xludf.DUMMYFUNCTION("""COMPUTED_VALUE"""),"valor G de n346-nostar-glob-peaks-p0030-d0030.csv")</f>
        <v>valor G de n346-nostar-glob-peaks-p0030-d0030.csv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8">
        <f>IFERROR(__xludf.DUMMYFUNCTION("""COMPUTED_VALUE"""),3522.0)</f>
        <v>3522</v>
      </c>
      <c r="B179" s="19" t="str">
        <f>IFERROR(__xludf.DUMMYFUNCTION("""COMPUTED_VALUE"""),"GLOB-E")</f>
        <v>GLOB-E</v>
      </c>
      <c r="C179" s="15">
        <f>IFERROR(__xludf.DUMMYFUNCTION("""COMPUTED_VALUE"""),9002.44482421875)</f>
        <v>9002.444824</v>
      </c>
      <c r="D179" s="15">
        <f>IFERROR(__xludf.DUMMYFUNCTION("""COMPUTED_VALUE"""),8997.12)</f>
        <v>8997.12</v>
      </c>
      <c r="E179" s="19" t="str">
        <f>IFERROR(__xludf.DUMMYFUNCTION("""COMPUTED_VALUE"""),"Sky")</f>
        <v>Sky</v>
      </c>
      <c r="F179" s="19" t="str">
        <f>IFERROR(__xludf.DUMMYFUNCTION("""COMPUTED_VALUE"""),"OH 9001.4+")</f>
        <v>OH 9001.4+</v>
      </c>
      <c r="G179" s="15"/>
      <c r="H179" s="19"/>
      <c r="I179" s="19" t="str">
        <f>IFERROR(__xludf.DUMMYFUNCTION("""COMPUTED_VALUE"""),"Impossible to measure the He I line because of sky OH")</f>
        <v>Impossible to measure the He I line because of sky OH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8">
        <f>IFERROR(__xludf.DUMMYFUNCTION("""COMPUTED_VALUE"""),3536.0)</f>
        <v>3536</v>
      </c>
      <c r="B180" s="19" t="str">
        <f>IFERROR(__xludf.DUMMYFUNCTION("""COMPUTED_VALUE"""),"GLOB-E")</f>
        <v>GLOB-E</v>
      </c>
      <c r="C180" s="15">
        <f>IFERROR(__xludf.DUMMYFUNCTION("""COMPUTED_VALUE"""),9019.94482421875)</f>
        <v>9019.944824</v>
      </c>
      <c r="D180" s="15">
        <f>IFERROR(__xludf.DUMMYFUNCTION("""COMPUTED_VALUE"""),9014.62)</f>
        <v>9014.62</v>
      </c>
      <c r="E180" s="19" t="str">
        <f>IFERROR(__xludf.DUMMYFUNCTION("""COMPUTED_VALUE"""),"Med Neb")</f>
        <v>Med Neb</v>
      </c>
      <c r="F180" s="19" t="str">
        <f>IFERROR(__xludf.DUMMYFUNCTION("""COMPUTED_VALUE"""),"H I 9014.91")</f>
        <v>H I 9014.91</v>
      </c>
      <c r="G180" s="15">
        <f>IFERROR(__xludf.DUMMYFUNCTION("""COMPUTED_VALUE"""),59.0)</f>
        <v>59</v>
      </c>
      <c r="H180" s="19" t="str">
        <f>IFERROR(__xludf.DUMMYFUNCTION("""COMPUTED_VALUE"""),"11, 101")</f>
        <v>11, 101</v>
      </c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8">
        <f>IFERROR(__xludf.DUMMYFUNCTION("""COMPUTED_VALUE"""),3539.0)</f>
        <v>3539</v>
      </c>
      <c r="B181" s="19" t="str">
        <f>IFERROR(__xludf.DUMMYFUNCTION("""COMPUTED_VALUE"""),"GLOB-E")</f>
        <v>GLOB-E</v>
      </c>
      <c r="C181" s="15">
        <f>IFERROR(__xludf.DUMMYFUNCTION("""COMPUTED_VALUE"""),9023.69482421875)</f>
        <v>9023.694824</v>
      </c>
      <c r="D181" s="15">
        <f>IFERROR(__xludf.DUMMYFUNCTION("""COMPUTED_VALUE"""),9019.07)</f>
        <v>9019.07</v>
      </c>
      <c r="E181" s="19" t="str">
        <f>IFERROR(__xludf.DUMMYFUNCTION("""COMPUTED_VALUE"""),"Deep Neutral")</f>
        <v>Deep Neutral</v>
      </c>
      <c r="F181" s="19" t="str">
        <f>IFERROR(__xludf.DUMMYFUNCTION("""COMPUTED_VALUE"""),"UIL")</f>
        <v>UIL</v>
      </c>
      <c r="G181" s="15">
        <f>IFERROR(__xludf.DUMMYFUNCTION("""COMPUTED_VALUE"""),7.2)</f>
        <v>7.2</v>
      </c>
      <c r="H181" s="19" t="str">
        <f>IFERROR(__xludf.DUMMYFUNCTION("""COMPUTED_VALUE"""),"11, 101")</f>
        <v>11, 101</v>
      </c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8">
        <f>IFERROR(__xludf.DUMMYFUNCTION("""COMPUTED_VALUE"""),3548.0)</f>
        <v>3548</v>
      </c>
      <c r="B182" s="19" t="str">
        <f>IFERROR(__xludf.DUMMYFUNCTION("""COMPUTED_VALUE"""),"GLOB-E")</f>
        <v>GLOB-E</v>
      </c>
      <c r="C182" s="15">
        <f>IFERROR(__xludf.DUMMYFUNCTION("""COMPUTED_VALUE"""),9034.94482421875)</f>
        <v>9034.944824</v>
      </c>
      <c r="D182" s="15">
        <f>IFERROR(__xludf.DUMMYFUNCTION("""COMPUTED_VALUE"""),9029.2)</f>
        <v>9029.2</v>
      </c>
      <c r="E182" s="19" t="str">
        <f>IFERROR(__xludf.DUMMYFUNCTION("""COMPUTED_VALUE"""),"Deep Neutral")</f>
        <v>Deep Neutral</v>
      </c>
      <c r="F182" s="19" t="str">
        <f>IFERROR(__xludf.DUMMYFUNCTION("""COMPUTED_VALUE"""),"UIL")</f>
        <v>UIL</v>
      </c>
      <c r="G182" s="15">
        <f>IFERROR(__xludf.DUMMYFUNCTION("""COMPUTED_VALUE"""),11.1)</f>
        <v>11.1</v>
      </c>
      <c r="H182" s="19" t="str">
        <f>IFERROR(__xludf.DUMMYFUNCTION("""COMPUTED_VALUE"""),"11, 101")</f>
        <v>11, 101</v>
      </c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8">
        <f>IFERROR(__xludf.DUMMYFUNCTION("""COMPUTED_VALUE"""),3570.0)</f>
        <v>3570</v>
      </c>
      <c r="B183" s="19" t="str">
        <f>IFERROR(__xludf.DUMMYFUNCTION("""COMPUTED_VALUE"""),"GLOB-E")</f>
        <v>GLOB-E</v>
      </c>
      <c r="C183" s="15">
        <f>IFERROR(__xludf.DUMMYFUNCTION("""COMPUTED_VALUE"""),9062.44482421875)</f>
        <v>9062.444824</v>
      </c>
      <c r="D183" s="15">
        <f>IFERROR(__xludf.DUMMYFUNCTION("""COMPUTED_VALUE"""),9057.14)</f>
        <v>9057.14</v>
      </c>
      <c r="E183" s="19" t="str">
        <f>IFERROR(__xludf.DUMMYFUNCTION("""COMPUTED_VALUE"""),"Deep Neutral")</f>
        <v>Deep Neutral</v>
      </c>
      <c r="F183" s="19" t="str">
        <f>IFERROR(__xludf.DUMMYFUNCTION("""COMPUTED_VALUE"""),"UIL")</f>
        <v>UIL</v>
      </c>
      <c r="G183" s="15">
        <f>IFERROR(__xludf.DUMMYFUNCTION("""COMPUTED_VALUE"""),6.7)</f>
        <v>6.7</v>
      </c>
      <c r="H183" s="19" t="str">
        <f>IFERROR(__xludf.DUMMYFUNCTION("""COMPUTED_VALUE"""),"11, 101")</f>
        <v>11, 101</v>
      </c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8">
        <f>IFERROR(__xludf.DUMMYFUNCTION("""COMPUTED_VALUE"""),3574.0)</f>
        <v>3574</v>
      </c>
      <c r="B184" s="19" t="str">
        <f>IFERROR(__xludf.DUMMYFUNCTION("""COMPUTED_VALUE"""),"GLOB-E")</f>
        <v>GLOB-E</v>
      </c>
      <c r="C184" s="15">
        <f>IFERROR(__xludf.DUMMYFUNCTION("""COMPUTED_VALUE"""),9067.44482421875)</f>
        <v>9067.444824</v>
      </c>
      <c r="D184" s="15">
        <f>IFERROR(__xludf.DUMMYFUNCTION("""COMPUTED_VALUE"""),9061.97)</f>
        <v>9061.97</v>
      </c>
      <c r="E184" s="19" t="str">
        <f>IFERROR(__xludf.DUMMYFUNCTION("""COMPUTED_VALUE"""),"Med Neb")</f>
        <v>Med Neb</v>
      </c>
      <c r="F184" s="19" t="str">
        <f>IFERROR(__xludf.DUMMYFUNCTION("""COMPUTED_VALUE"""),"He I 9063.29")</f>
        <v>He I 9063.29</v>
      </c>
      <c r="G184" s="15">
        <f>IFERROR(__xludf.DUMMYFUNCTION("""COMPUTED_VALUE"""),1.5067)</f>
        <v>1.5067</v>
      </c>
      <c r="H184" s="19">
        <f>IFERROR(__xludf.DUMMYFUNCTION("""COMPUTED_VALUE"""),101.0)</f>
        <v>101</v>
      </c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8">
        <f>IFERROR(__xludf.DUMMYFUNCTION("""COMPUTED_VALUE"""),3579.0)</f>
        <v>3579</v>
      </c>
      <c r="B185" s="19" t="str">
        <f>IFERROR(__xludf.DUMMYFUNCTION("""COMPUTED_VALUE"""),"GLOB-E")</f>
        <v>GLOB-E</v>
      </c>
      <c r="C185" s="15">
        <f>IFERROR(__xludf.DUMMYFUNCTION("""COMPUTED_VALUE"""),9073.69482421875)</f>
        <v>9073.694824</v>
      </c>
      <c r="D185" s="15">
        <f>IFERROR(__xludf.DUMMYFUNCTION("""COMPUTED_VALUE"""),9068.7)</f>
        <v>9068.7</v>
      </c>
      <c r="E185" s="19" t="str">
        <f>IFERROR(__xludf.DUMMYFUNCTION("""COMPUTED_VALUE"""),"Med Neb")</f>
        <v>Med Neb</v>
      </c>
      <c r="F185" s="19" t="str">
        <f>IFERROR(__xludf.DUMMYFUNCTION("""COMPUTED_VALUE"""),"[S III] 9068.90")</f>
        <v>[S III] 9068.90</v>
      </c>
      <c r="G185" s="15">
        <f>IFERROR(__xludf.DUMMYFUNCTION("""COMPUTED_VALUE"""),260.0)</f>
        <v>260</v>
      </c>
      <c r="H185" s="19" t="str">
        <f>IFERROR(__xludf.DUMMYFUNCTION("""COMPUTED_VALUE"""),"11, 101")</f>
        <v>11, 101</v>
      </c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8">
        <f>IFERROR(__xludf.DUMMYFUNCTION("""COMPUTED_VALUE"""),3591.0)</f>
        <v>3591</v>
      </c>
      <c r="B186" s="19" t="str">
        <f>IFERROR(__xludf.DUMMYFUNCTION("""COMPUTED_VALUE"""),"GLOB-E")</f>
        <v>GLOB-E</v>
      </c>
      <c r="C186" s="15">
        <f>IFERROR(__xludf.DUMMYFUNCTION("""COMPUTED_VALUE"""),9088.69482421875)</f>
        <v>9088.694824</v>
      </c>
      <c r="D186" s="15">
        <f>IFERROR(__xludf.DUMMYFUNCTION("""COMPUTED_VALUE"""),9084.0)</f>
        <v>9084</v>
      </c>
      <c r="E186" s="19" t="str">
        <f>IFERROR(__xludf.DUMMYFUNCTION("""COMPUTED_VALUE"""),"Deep Neutral?")</f>
        <v>Deep Neutral?</v>
      </c>
      <c r="F186" s="19" t="str">
        <f>IFERROR(__xludf.DUMMYFUNCTION("""COMPUTED_VALUE"""),"UIL")</f>
        <v>UIL</v>
      </c>
      <c r="G186" s="15">
        <f>IFERROR(__xludf.DUMMYFUNCTION("""COMPUTED_VALUE"""),2.2)</f>
        <v>2.2</v>
      </c>
      <c r="H186" s="19" t="str">
        <f>IFERROR(__xludf.DUMMYFUNCTION("""COMPUTED_VALUE"""),"101B")</f>
        <v>101B</v>
      </c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8">
        <f>IFERROR(__xludf.DUMMYFUNCTION("""COMPUTED_VALUE"""),3603.0)</f>
        <v>3603</v>
      </c>
      <c r="B187" s="19" t="str">
        <f>IFERROR(__xludf.DUMMYFUNCTION("""COMPUTED_VALUE"""),"GLOB-E")</f>
        <v>GLOB-E</v>
      </c>
      <c r="C187" s="15">
        <f>IFERROR(__xludf.DUMMYFUNCTION("""COMPUTED_VALUE"""),9103.69482421875)</f>
        <v>9103.694824</v>
      </c>
      <c r="D187" s="15">
        <f>IFERROR(__xludf.DUMMYFUNCTION("""COMPUTED_VALUE"""),9099.09)</f>
        <v>9099.09</v>
      </c>
      <c r="E187" s="19" t="str">
        <f>IFERROR(__xludf.DUMMYFUNCTION("""COMPUTED_VALUE"""),"Deep Neutral")</f>
        <v>Deep Neutral</v>
      </c>
      <c r="F187" s="19" t="str">
        <f>IFERROR(__xludf.DUMMYFUNCTION("""COMPUTED_VALUE"""),"UIL")</f>
        <v>UIL</v>
      </c>
      <c r="G187" s="15">
        <f>IFERROR(__xludf.DUMMYFUNCTION("""COMPUTED_VALUE"""),8.0)</f>
        <v>8</v>
      </c>
      <c r="H187" s="19" t="str">
        <f>IFERROR(__xludf.DUMMYFUNCTION("""COMPUTED_VALUE"""),"101B")</f>
        <v>101B</v>
      </c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8">
        <f>IFERROR(__xludf.DUMMYFUNCTION("""COMPUTED_VALUE"""),3615.0)</f>
        <v>3615</v>
      </c>
      <c r="B188" s="19" t="str">
        <f>IFERROR(__xludf.DUMMYFUNCTION("""COMPUTED_VALUE"""),"GLOB-E")</f>
        <v>GLOB-E</v>
      </c>
      <c r="C188" s="15">
        <f>IFERROR(__xludf.DUMMYFUNCTION("""COMPUTED_VALUE"""),9118.69482421875)</f>
        <v>9118.694824</v>
      </c>
      <c r="D188" s="15">
        <f>IFERROR(__xludf.DUMMYFUNCTION("""COMPUTED_VALUE"""),9113.52)</f>
        <v>9113.52</v>
      </c>
      <c r="E188" s="19" t="str">
        <f>IFERROR(__xludf.DUMMYFUNCTION("""COMPUTED_VALUE"""),"Deep Neutral")</f>
        <v>Deep Neutral</v>
      </c>
      <c r="F188" s="19" t="str">
        <f>IFERROR(__xludf.DUMMYFUNCTION("""COMPUTED_VALUE"""),"UIL")</f>
        <v>UIL</v>
      </c>
      <c r="G188" s="15">
        <f>IFERROR(__xludf.DUMMYFUNCTION("""COMPUTED_VALUE"""),5.4)</f>
        <v>5.4</v>
      </c>
      <c r="H188" s="19" t="str">
        <f>IFERROR(__xludf.DUMMYFUNCTION("""COMPUTED_VALUE"""),"101B")</f>
        <v>101B</v>
      </c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8">
        <f>IFERROR(__xludf.DUMMYFUNCTION("""COMPUTED_VALUE"""),3622.0)</f>
        <v>3622</v>
      </c>
      <c r="B189" s="19" t="str">
        <f>IFERROR(__xludf.DUMMYFUNCTION("""COMPUTED_VALUE"""),"GLOB-E")</f>
        <v>GLOB-E</v>
      </c>
      <c r="C189" s="15">
        <f>IFERROR(__xludf.DUMMYFUNCTION("""COMPUTED_VALUE"""),9127.44482421875)</f>
        <v>9127.444824</v>
      </c>
      <c r="D189" s="15">
        <f>IFERROR(__xludf.DUMMYFUNCTION("""COMPUTED_VALUE"""),9121.74)</f>
        <v>9121.74</v>
      </c>
      <c r="E189" s="19" t="str">
        <f>IFERROR(__xludf.DUMMYFUNCTION("""COMPUTED_VALUE"""),"Low Neb?")</f>
        <v>Low Neb?</v>
      </c>
      <c r="F189" s="19" t="str">
        <f>IFERROR(__xludf.DUMMYFUNCTION("""COMPUTED_VALUE"""),"[Cl II] 9123.60")</f>
        <v>[Cl II] 9123.60</v>
      </c>
      <c r="G189" s="15">
        <f>IFERROR(__xludf.DUMMYFUNCTION("""COMPUTED_VALUE"""),0.6)</f>
        <v>0.6</v>
      </c>
      <c r="H189" s="19" t="str">
        <f>IFERROR(__xludf.DUMMYFUNCTION("""COMPUTED_VALUE"""),"101B")</f>
        <v>101B</v>
      </c>
      <c r="I189" s="19" t="str">
        <f>IFERROR(__xludf.DUMMYFUNCTION("""COMPUTED_VALUE"""),"Bad telluric absorption around here")</f>
        <v>Bad telluric absorption around here</v>
      </c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8">
        <f>IFERROR(__xludf.DUMMYFUNCTION("""COMPUTED_VALUE"""),3640.0)</f>
        <v>3640</v>
      </c>
      <c r="B190" s="19" t="str">
        <f>IFERROR(__xludf.DUMMYFUNCTION("""COMPUTED_VALUE"""),"GLOB-E")</f>
        <v>GLOB-E</v>
      </c>
      <c r="C190" s="15">
        <f>IFERROR(__xludf.DUMMYFUNCTION("""COMPUTED_VALUE"""),9149.94482421875)</f>
        <v>9149.944824</v>
      </c>
      <c r="D190" s="15">
        <f>IFERROR(__xludf.DUMMYFUNCTION("""COMPUTED_VALUE"""),9144.31)</f>
        <v>9144.31</v>
      </c>
      <c r="E190" s="19" t="str">
        <f>IFERROR(__xludf.DUMMYFUNCTION("""COMPUTED_VALUE"""),"Deep Neutral")</f>
        <v>Deep Neutral</v>
      </c>
      <c r="F190" s="19" t="str">
        <f>IFERROR(__xludf.DUMMYFUNCTION("""COMPUTED_VALUE"""),"UIL")</f>
        <v>UIL</v>
      </c>
      <c r="G190" s="15">
        <f>IFERROR(__xludf.DUMMYFUNCTION("""COMPUTED_VALUE"""),5.7)</f>
        <v>5.7</v>
      </c>
      <c r="H190" s="19" t="str">
        <f>IFERROR(__xludf.DUMMYFUNCTION("""COMPUTED_VALUE"""),"11, 101")</f>
        <v>11, 101</v>
      </c>
      <c r="I190" s="19" t="str">
        <f>IFERROR(__xludf.DUMMYFUNCTION("""COMPUTED_VALUE"""),"Affected by absorption feature at lambda(obs) 9153")</f>
        <v>Affected by absorption feature at lambda(obs) 9153</v>
      </c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8">
        <f>IFERROR(__xludf.DUMMYFUNCTION("""COMPUTED_VALUE"""),3649.0)</f>
        <v>3649</v>
      </c>
      <c r="B191" s="19" t="str">
        <f>IFERROR(__xludf.DUMMYFUNCTION("""COMPUTED_VALUE"""),"GLOB-E")</f>
        <v>GLOB-E</v>
      </c>
      <c r="C191" s="15">
        <f>IFERROR(__xludf.DUMMYFUNCTION("""COMPUTED_VALUE"""),9161.19482421875)</f>
        <v>9161.194824</v>
      </c>
      <c r="D191" s="15">
        <f>IFERROR(__xludf.DUMMYFUNCTION("""COMPUTED_VALUE"""),9158.57)</f>
        <v>9158.57</v>
      </c>
      <c r="E191" s="19" t="str">
        <f>IFERROR(__xludf.DUMMYFUNCTION("""COMPUTED_VALUE"""),"Deep Neutral?")</f>
        <v>Deep Neutral?</v>
      </c>
      <c r="F191" s="19" t="str">
        <f>IFERROR(__xludf.DUMMYFUNCTION("""COMPUTED_VALUE"""),"UIL")</f>
        <v>UIL</v>
      </c>
      <c r="G191" s="15">
        <f>IFERROR(__xludf.DUMMYFUNCTION("""COMPUTED_VALUE"""),4.4)</f>
        <v>4.4</v>
      </c>
      <c r="H191" s="19" t="str">
        <f>IFERROR(__xludf.DUMMYFUNCTION("""COMPUTED_VALUE"""),"11, 101")</f>
        <v>11, 101</v>
      </c>
      <c r="I191" s="19" t="str">
        <f>IFERROR(__xludf.DUMMYFUNCTION("""COMPUTED_VALUE"""),"Broad. Affected by same absorption")</f>
        <v>Broad. Affected by same absorption</v>
      </c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8">
        <f>IFERROR(__xludf.DUMMYFUNCTION("""COMPUTED_VALUE"""),3664.0)</f>
        <v>3664</v>
      </c>
      <c r="B192" s="19" t="str">
        <f>IFERROR(__xludf.DUMMYFUNCTION("""COMPUTED_VALUE"""),"GLOB-E")</f>
        <v>GLOB-E</v>
      </c>
      <c r="C192" s="15">
        <f>IFERROR(__xludf.DUMMYFUNCTION("""COMPUTED_VALUE"""),9179.94482421875)</f>
        <v>9179.944824</v>
      </c>
      <c r="D192" s="15">
        <f>IFERROR(__xludf.DUMMYFUNCTION("""COMPUTED_VALUE"""),9175.76)</f>
        <v>9175.76</v>
      </c>
      <c r="E192" s="19" t="str">
        <f>IFERROR(__xludf.DUMMYFUNCTION("""COMPUTED_VALUE"""),"?")</f>
        <v>?</v>
      </c>
      <c r="F192" s="19"/>
      <c r="G192" s="15"/>
      <c r="H192" s="19"/>
      <c r="I192" s="19" t="str">
        <f>IFERROR(__xludf.DUMMYFUNCTION("""COMPUTED_VALUE"""),"YSO only")</f>
        <v>YSO only</v>
      </c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8">
        <f>IFERROR(__xludf.DUMMYFUNCTION("""COMPUTED_VALUE"""),3687.0)</f>
        <v>3687</v>
      </c>
      <c r="B193" s="19" t="str">
        <f>IFERROR(__xludf.DUMMYFUNCTION("""COMPUTED_VALUE"""),"GLOB-E")</f>
        <v>GLOB-E</v>
      </c>
      <c r="C193" s="15">
        <f>IFERROR(__xludf.DUMMYFUNCTION("""COMPUTED_VALUE"""),9208.69482421875)</f>
        <v>9208.694824</v>
      </c>
      <c r="D193" s="15">
        <f>IFERROR(__xludf.DUMMYFUNCTION("""COMPUTED_VALUE"""),9204.18)</f>
        <v>9204.18</v>
      </c>
      <c r="E193" s="19" t="str">
        <f>IFERROR(__xludf.DUMMYFUNCTION("""COMPUTED_VALUE"""),"Neutral")</f>
        <v>Neutral</v>
      </c>
      <c r="F193" s="19" t="str">
        <f>IFERROR(__xludf.DUMMYFUNCTION("""COMPUTED_VALUE"""),"Ca I] 9204.09")</f>
        <v>Ca I] 9204.09</v>
      </c>
      <c r="G193" s="15">
        <f>IFERROR(__xludf.DUMMYFUNCTION("""COMPUTED_VALUE"""),1.0)</f>
        <v>1</v>
      </c>
      <c r="H193" s="19" t="str">
        <f>IFERROR(__xludf.DUMMYFUNCTION("""COMPUTED_VALUE"""),"11, 101B")</f>
        <v>11, 101B</v>
      </c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8">
        <f>IFERROR(__xludf.DUMMYFUNCTION("""COMPUTED_VALUE"""),3692.0)</f>
        <v>3692</v>
      </c>
      <c r="B194" s="19" t="str">
        <f>IFERROR(__xludf.DUMMYFUNCTION("""COMPUTED_VALUE"""),"GLOB-E")</f>
        <v>GLOB-E</v>
      </c>
      <c r="C194" s="15">
        <f>IFERROR(__xludf.DUMMYFUNCTION("""COMPUTED_VALUE"""),9214.94482421875)</f>
        <v>9214.944824</v>
      </c>
      <c r="D194" s="15">
        <f>IFERROR(__xludf.DUMMYFUNCTION("""COMPUTED_VALUE"""),9210.11)</f>
        <v>9210.11</v>
      </c>
      <c r="E194" s="19" t="str">
        <f>IFERROR(__xludf.DUMMYFUNCTION("""COMPUTED_VALUE"""),"Med Neb")</f>
        <v>Med Neb</v>
      </c>
      <c r="F194" s="19" t="str">
        <f>IFERROR(__xludf.DUMMYFUNCTION("""COMPUTED_VALUE"""),"He I 9210.28")</f>
        <v>He I 9210.28</v>
      </c>
      <c r="G194" s="15">
        <f>IFERROR(__xludf.DUMMYFUNCTION("""COMPUTED_VALUE"""),1.3)</f>
        <v>1.3</v>
      </c>
      <c r="H194" s="19" t="str">
        <f>IFERROR(__xludf.DUMMYFUNCTION("""COMPUTED_VALUE"""),"11, 101")</f>
        <v>11, 101</v>
      </c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8">
        <f>IFERROR(__xludf.DUMMYFUNCTION("""COMPUTED_VALUE"""),3699.0)</f>
        <v>3699</v>
      </c>
      <c r="B195" s="19" t="str">
        <f>IFERROR(__xludf.DUMMYFUNCTION("""COMPUTED_VALUE"""),"GLOB-E")</f>
        <v>GLOB-E</v>
      </c>
      <c r="C195" s="15">
        <f>IFERROR(__xludf.DUMMYFUNCTION("""COMPUTED_VALUE"""),9223.69482421875)</f>
        <v>9223.694824</v>
      </c>
      <c r="D195" s="15">
        <f>IFERROR(__xludf.DUMMYFUNCTION("""COMPUTED_VALUE"""),9217.98)</f>
        <v>9217.98</v>
      </c>
      <c r="E195" s="19" t="str">
        <f>IFERROR(__xludf.DUMMYFUNCTION("""COMPUTED_VALUE"""),"Neutral?")</f>
        <v>Neutral?</v>
      </c>
      <c r="F195" s="19" t="str">
        <f>IFERROR(__xludf.DUMMYFUNCTION("""COMPUTED_VALUE"""),"UIL")</f>
        <v>UIL</v>
      </c>
      <c r="G195" s="15">
        <f>IFERROR(__xludf.DUMMYFUNCTION("""COMPUTED_VALUE"""),1.0)</f>
        <v>1</v>
      </c>
      <c r="H195" s="19">
        <f>IFERROR(__xludf.DUMMYFUNCTION("""COMPUTED_VALUE"""),11.0)</f>
        <v>11</v>
      </c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8">
        <f>IFERROR(__xludf.DUMMYFUNCTION("""COMPUTED_VALUE"""),3707.0)</f>
        <v>3707</v>
      </c>
      <c r="B196" s="19" t="str">
        <f>IFERROR(__xludf.DUMMYFUNCTION("""COMPUTED_VALUE"""),"GLOB-E")</f>
        <v>GLOB-E</v>
      </c>
      <c r="C196" s="15">
        <f>IFERROR(__xludf.DUMMYFUNCTION("""COMPUTED_VALUE"""),9233.69482421875)</f>
        <v>9233.694824</v>
      </c>
      <c r="D196" s="15">
        <f>IFERROR(__xludf.DUMMYFUNCTION("""COMPUTED_VALUE"""),9228.82)</f>
        <v>9228.82</v>
      </c>
      <c r="E196" s="19" t="str">
        <f>IFERROR(__xludf.DUMMYFUNCTION("""COMPUTED_VALUE"""),"Med Neb")</f>
        <v>Med Neb</v>
      </c>
      <c r="F196" s="19" t="str">
        <f>IFERROR(__xludf.DUMMYFUNCTION("""COMPUTED_VALUE"""),"H I 9229.01")</f>
        <v>H I 9229.01</v>
      </c>
      <c r="G196" s="15">
        <f>IFERROR(__xludf.DUMMYFUNCTION("""COMPUTED_VALUE"""),92.0)</f>
        <v>92</v>
      </c>
      <c r="H196" s="19" t="str">
        <f>IFERROR(__xludf.DUMMYFUNCTION("""COMPUTED_VALUE"""),"11, 101")</f>
        <v>11, 101</v>
      </c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8">
        <f>IFERROR(__xludf.DUMMYFUNCTION("""COMPUTED_VALUE"""),3720.0)</f>
        <v>3720</v>
      </c>
      <c r="B197" s="19" t="str">
        <f>IFERROR(__xludf.DUMMYFUNCTION("""COMPUTED_VALUE"""),"GLOB-E")</f>
        <v>GLOB-E</v>
      </c>
      <c r="C197" s="15">
        <f>IFERROR(__xludf.DUMMYFUNCTION("""COMPUTED_VALUE"""),9249.94482421875)</f>
        <v>9249.944824</v>
      </c>
      <c r="D197" s="15">
        <f>IFERROR(__xludf.DUMMYFUNCTION("""COMPUTED_VALUE"""),9244.4)</f>
        <v>9244.4</v>
      </c>
      <c r="E197" s="19" t="str">
        <f>IFERROR(__xludf.DUMMYFUNCTION("""COMPUTED_VALUE"""),"Neutral")</f>
        <v>Neutral</v>
      </c>
      <c r="F197" s="19" t="str">
        <f>IFERROR(__xludf.DUMMYFUNCTION("""COMPUTED_VALUE"""),"Ca I] 9244.31")</f>
        <v>Ca I] 9244.31</v>
      </c>
      <c r="G197" s="15">
        <f>IFERROR(__xludf.DUMMYFUNCTION("""COMPUTED_VALUE"""),1.4)</f>
        <v>1.4</v>
      </c>
      <c r="H197" s="19">
        <f>IFERROR(__xludf.DUMMYFUNCTION("""COMPUTED_VALUE"""),11.0)</f>
        <v>11</v>
      </c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8">
        <f>IFERROR(__xludf.DUMMYFUNCTION("""COMPUTED_VALUE"""),3736.0)</f>
        <v>3736</v>
      </c>
      <c r="B198" s="19" t="str">
        <f>IFERROR(__xludf.DUMMYFUNCTION("""COMPUTED_VALUE"""),"GLOB-E")</f>
        <v>GLOB-E</v>
      </c>
      <c r="C198" s="15">
        <f>IFERROR(__xludf.DUMMYFUNCTION("""COMPUTED_VALUE"""),9269.94482421875)</f>
        <v>9269.944824</v>
      </c>
      <c r="D198" s="15">
        <f>IFERROR(__xludf.DUMMYFUNCTION("""COMPUTED_VALUE"""),9262.16)</f>
        <v>9262.16</v>
      </c>
      <c r="E198" s="19" t="str">
        <f>IFERROR(__xludf.DUMMYFUNCTION("""COMPUTED_VALUE"""),"Deep Neutral??")</f>
        <v>Deep Neutral??</v>
      </c>
      <c r="F198" s="19" t="str">
        <f>IFERROR(__xludf.DUMMYFUNCTION("""COMPUTED_VALUE"""),"UIL")</f>
        <v>UIL</v>
      </c>
      <c r="G198" s="15">
        <f>IFERROR(__xludf.DUMMYFUNCTION("""COMPUTED_VALUE"""),1.0)</f>
        <v>1</v>
      </c>
      <c r="H198" s="19" t="str">
        <f>IFERROR(__xludf.DUMMYFUNCTION("""COMPUTED_VALUE"""),"101B")</f>
        <v>101B</v>
      </c>
      <c r="I198" s="19" t="str">
        <f>IFERROR(__xludf.DUMMYFUNCTION("""COMPUTED_VALUE"""),"Diffuse emission is marginal")</f>
        <v>Diffuse emission is marginal</v>
      </c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8">
        <f>IFERROR(__xludf.DUMMYFUNCTION("""COMPUTED_VALUE"""),3762.0)</f>
        <v>3762</v>
      </c>
      <c r="B199" s="19" t="str">
        <f>IFERROR(__xludf.DUMMYFUNCTION("""COMPUTED_VALUE"""),"GLOB-E")</f>
        <v>GLOB-E</v>
      </c>
      <c r="C199" s="15">
        <f>IFERROR(__xludf.DUMMYFUNCTION("""COMPUTED_VALUE"""),9302.44482421875)</f>
        <v>9302.444824</v>
      </c>
      <c r="D199" s="15">
        <f>IFERROR(__xludf.DUMMYFUNCTION("""COMPUTED_VALUE"""),9297.64)</f>
        <v>9297.64</v>
      </c>
      <c r="E199" s="19" t="str">
        <f>IFERROR(__xludf.DUMMYFUNCTION("""COMPUTED_VALUE"""),"Deep Neutral?")</f>
        <v>Deep Neutral?</v>
      </c>
      <c r="F199" s="19" t="str">
        <f>IFERROR(__xludf.DUMMYFUNCTION("""COMPUTED_VALUE"""),"UIL")</f>
        <v>UIL</v>
      </c>
      <c r="G199" s="15">
        <f>IFERROR(__xludf.DUMMYFUNCTION("""COMPUTED_VALUE"""),10.2)</f>
        <v>10.2</v>
      </c>
      <c r="H199" s="19" t="str">
        <f>IFERROR(__xludf.DUMMYFUNCTION("""COMPUTED_VALUE"""),"11, 101")</f>
        <v>11, 101</v>
      </c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</sheetData>
  <conditionalFormatting sqref="A1">
    <cfRule type="notContainsBlanks" dxfId="0" priority="1">
      <formula>LEN(TRIM(A1))&gt;0</formula>
    </cfRule>
  </conditionalFormatting>
  <conditionalFormatting sqref="D1:D1001">
    <cfRule type="beginsWith" dxfId="1" priority="2" operator="beginsWith" text="High">
      <formula>LEFT((D1),LEN("High"))=("High")</formula>
    </cfRule>
  </conditionalFormatting>
  <conditionalFormatting sqref="A2:A465">
    <cfRule type="colorScale" priority="3">
      <colorScale>
        <cfvo type="formula" val="1"/>
        <cfvo type="formula" val="1900"/>
        <cfvo type="formula" val="3801"/>
        <color rgb="FFB4A7D6"/>
        <color rgb="FFD9EAD3"/>
        <color rgb="FFE6B8AF"/>
      </colorScale>
    </cfRule>
  </conditionalFormatting>
  <conditionalFormatting sqref="F1:F1001">
    <cfRule type="cellIs" dxfId="6" priority="4" operator="greaterThan">
      <formula>100</formula>
    </cfRule>
  </conditionalFormatting>
  <conditionalFormatting sqref="A1:Z1001">
    <cfRule type="expression" dxfId="7" priority="5">
      <formula>$D1="Noise"</formula>
    </cfRule>
  </conditionalFormatting>
  <conditionalFormatting sqref="D1:D1001">
    <cfRule type="beginsWith" dxfId="4" priority="6" operator="beginsWith" text="Deep Neutral">
      <formula>LEFT((D1),LEN("Deep Neutral"))=("Deep Neutral")</formula>
    </cfRule>
  </conditionalFormatting>
  <drawing r:id="rId2"/>
  <legacyDrawing r:id="rId3"/>
</worksheet>
</file>