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line list" sheetId="1" r:id="rId4"/>
    <sheet state="visible" name="Measured lines onl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Index in the wavelength array of the line peak. Note that this is 0-based, add 1 to get the index in FITS convention</t>
      </text>
    </comment>
    <comment authorId="0" ref="B1">
      <text>
        <t xml:space="preserve">Which DS9 region  was used to identify this line. For most lines, this is currently the GLOB-E region, with two exceptions: 
High ionization lines should use the BS region.
Lines that do not show any diffuse emission should (maybe?) use the YSO region</t>
      </text>
    </comment>
    <comment authorId="0" ref="C1">
      <text>
        <t xml:space="preserve">Wavelength in system frame of midpoint between interpolated half-maximum points
This is the wavelength that is printed in the upper-left corner of each panel in the peak-images-*.pdf figures.
It may vary slightly between regions</t>
      </text>
    </comment>
    <comment authorId="0" ref="D1">
      <text>
        <t xml:space="preserve">Broad class of line
One of:
Sky
High Neb: e.g., He II, [Ar IV]
Med Neb: e.g., H I, He I, [O III], [S III]
Low Neb, e.g., [N II], [S II], [O I]
Fe, Ni
Ionized permitted: Si II
Neutral, e.g., O I, N I permitted
Deep Neutral, [C I], [Fe I], unidentified
</t>
      </text>
    </comment>
    <comment authorId="0" ref="E1">
      <text>
        <t xml:space="preserve">Identification of line with rest wavelength in Å at STP. Uncertain identifications should be marked with ?
Use the cell note field to indicate any possible blends and to describe unresolved multiplets</t>
      </text>
    </comment>
    <comment authorId="0" ref="F1">
      <text>
        <t xml:space="preserve">Some approximate measure of the line intensity. 
At the moment I am using the "prominences" values calculated by the find_peaks() function, which is the 3rd column in the files n346-nostar-*-peaks-*.csv
Note that these will vary according to the region used
</t>
      </text>
    </comment>
    <comment authorId="0" ref="G1">
      <text>
        <t xml:space="preserve">Which type (or types) of continuum subtraction method shows this line best. Leave blank for lines which are well shown by all 3 methods.
Options: 
11 (median filter of 11 pixels),
101 (median filter of 101 pixels), 
101B (same as previous, but also subtracting local baseline)
</t>
      </text>
    </comment>
    <comment authorId="0" ref="E15">
      <text>
        <t xml:space="preserve">Blend with He I 4713.14</t>
      </text>
    </comment>
    <comment authorId="0" ref="E60">
      <text>
        <t xml:space="preserve">Doublet with components 5197.98, 5200.26</t>
      </text>
    </comment>
    <comment authorId="0" ref="E65">
      <text>
        <t xml:space="preserve">Blend with [Fe II] 5273.38</t>
      </text>
    </comment>
    <comment authorId="0" ref="E94">
      <text>
        <t xml:space="preserve">Severe sky contamination</t>
      </text>
    </comment>
    <comment authorId="0" ref="E159">
      <text>
        <t xml:space="preserve">Possible sky contamination</t>
      </text>
    </comment>
    <comment authorId="0" ref="E161">
      <text>
        <t xml:space="preserve">Plus self-sky</t>
      </text>
    </comment>
    <comment authorId="0" ref="E183">
      <text>
        <t xml:space="preserve">Distribution looks more similar to the low-ionization nebular lines. Perhaps it is [N II] 6527.24 but the wavelength is off by 2 Å
May also be affected by Sky OH 6533.044</t>
      </text>
    </comment>
    <comment authorId="0" ref="E194">
      <text>
        <t xml:space="preserve">Blend with Raman O I absorption feature</t>
      </text>
    </comment>
    <comment authorId="0" ref="E204">
      <text>
        <t xml:space="preserve">Could include  [Ni III] 6770.06 and/or He I 6769.548 in some places (e.g., YSO).  But there must be a deep neutral line as well, given its distribution in the filaments
</t>
      </text>
    </comment>
    <comment authorId="0" ref="E209">
      <text>
        <t xml:space="preserve">Blend of several components</t>
      </text>
    </comment>
  </commentList>
</comments>
</file>

<file path=xl/sharedStrings.xml><?xml version="1.0" encoding="utf-8"?>
<sst xmlns="http://schemas.openxmlformats.org/spreadsheetml/2006/main" count="722" uniqueCount="115">
  <si>
    <t>Index</t>
  </si>
  <si>
    <t>Region</t>
  </si>
  <si>
    <t>λ(HM)</t>
  </si>
  <si>
    <t>Type</t>
  </si>
  <si>
    <t>ID</t>
  </si>
  <si>
    <t>Strength</t>
  </si>
  <si>
    <t>Cont method</t>
  </si>
  <si>
    <t>Comments</t>
  </si>
  <si>
    <t>GLOB-E</t>
  </si>
  <si>
    <t>Test of formatting of comments field. I have set it to wrap for now. If that gets annoying, we can switch to clip</t>
  </si>
  <si>
    <t>Fe, Ni</t>
  </si>
  <si>
    <t>[Fe III] 4658.10</t>
  </si>
  <si>
    <t>Shows diffuse emission, particularly in SE and NE</t>
  </si>
  <si>
    <t>BS</t>
  </si>
  <si>
    <t>High Neb</t>
  </si>
  <si>
    <t>He II  4685.68</t>
  </si>
  <si>
    <t>[Ar IV] 4711.37</t>
  </si>
  <si>
    <t>[Ar IV] 4740.17</t>
  </si>
  <si>
    <t>Med Neb</t>
  </si>
  <si>
    <t>H I 4861.32</t>
  </si>
  <si>
    <t>[Fe III] 4881.073</t>
  </si>
  <si>
    <t>No clear diffuse emission. Seen in YSO-c and GLOB-D</t>
  </si>
  <si>
    <t>He I 4921.93</t>
  </si>
  <si>
    <t>11, 101</t>
  </si>
  <si>
    <t>[O III] 4958.91</t>
  </si>
  <si>
    <t>[O III] 5006.84</t>
  </si>
  <si>
    <t>He I 5015.68</t>
  </si>
  <si>
    <t>101, 101B</t>
  </si>
  <si>
    <t>Med Perm</t>
  </si>
  <si>
    <t>Si II 5041.03</t>
  </si>
  <si>
    <t>11, 101B</t>
  </si>
  <si>
    <t>No clear diffuse, Seen in YSO-c and GLOB-F (blushifted and just outside region box)</t>
  </si>
  <si>
    <t>He I 5047.74</t>
  </si>
  <si>
    <t>Si II 5055.98</t>
  </si>
  <si>
    <t>[Fe II] 5158.81</t>
  </si>
  <si>
    <t>No clear diffuse</t>
  </si>
  <si>
    <t>[Ar  III] 5191.82</t>
  </si>
  <si>
    <t>Neutral</t>
  </si>
  <si>
    <t>[N I]  5199.00</t>
  </si>
  <si>
    <t xml:space="preserve">Si II 5219.31 </t>
  </si>
  <si>
    <t>Should be done in YSO region instead</t>
  </si>
  <si>
    <t>[Fe II] 5261.61</t>
  </si>
  <si>
    <t>[Fe III] 5270.40</t>
  </si>
  <si>
    <t>Same as previous.Wavelength not accurate in GLOB-E</t>
  </si>
  <si>
    <t>[Cl III] 5517.71</t>
  </si>
  <si>
    <t>Noise</t>
  </si>
  <si>
    <t>[Cl III]] 5537.88</t>
  </si>
  <si>
    <t>[O I] 5577.34</t>
  </si>
  <si>
    <t>High Perm</t>
  </si>
  <si>
    <t>Si III 5739.73</t>
  </si>
  <si>
    <t>Unique line! Is it recombination or fluorescence?</t>
  </si>
  <si>
    <t>Low Neb</t>
  </si>
  <si>
    <t>[N II] 5755.08</t>
  </si>
  <si>
    <t>He I 5875.62</t>
  </si>
  <si>
    <t>Si II 5957.56</t>
  </si>
  <si>
    <t>Faintly detected from neutral region</t>
  </si>
  <si>
    <t>Si II 5978.93</t>
  </si>
  <si>
    <t>Clearly detected from neutral region</t>
  </si>
  <si>
    <t>Low Perm</t>
  </si>
  <si>
    <t>O I 6046.23</t>
  </si>
  <si>
    <t>Diffuse emission very weak. Strong from YSO</t>
  </si>
  <si>
    <t>[K IV] 6101.79</t>
  </si>
  <si>
    <t>Deep Neutral</t>
  </si>
  <si>
    <t>UIL</t>
  </si>
  <si>
    <t>Very very weak. Marginal detection</t>
  </si>
  <si>
    <t>101B</t>
  </si>
  <si>
    <t>This is the bluest UIL that is absolutely definite. Clear signal in all the GLOB anf FIL regions</t>
  </si>
  <si>
    <t>Deep Neutral?</t>
  </si>
  <si>
    <t>Marginal</t>
  </si>
  <si>
    <t>Very marginal</t>
  </si>
  <si>
    <t>These last 3 look vaguely like #1300 but weaker</t>
  </si>
  <si>
    <t>Clear detection but seems blended with sky line</t>
  </si>
  <si>
    <t>[O I] 6300.30</t>
  </si>
  <si>
    <t>[S III] 6312.06</t>
  </si>
  <si>
    <t>Si II 6347.11</t>
  </si>
  <si>
    <t>Clear but faint diffuse from neutral region</t>
  </si>
  <si>
    <t xml:space="preserve">[O I] 6363.78 </t>
  </si>
  <si>
    <t xml:space="preserve">Si II 6371.36 </t>
  </si>
  <si>
    <t>Diffuse is not clear. Cont method 11 affected by [O I]</t>
  </si>
  <si>
    <t>Neutral?</t>
  </si>
  <si>
    <t>Filaments look spatially broader than in the deep neutral lines</t>
  </si>
  <si>
    <t>Similar to #1484</t>
  </si>
  <si>
    <t>special</t>
  </si>
  <si>
    <t>Sky</t>
  </si>
  <si>
    <t>OH 6499</t>
  </si>
  <si>
    <t>I can see this in GLOB-E spectrum, with a strength of about 0.5 and very narrow, although it is not detected as a peak. This is one of the strongest sky lines in this part of the spectrum</t>
  </si>
  <si>
    <t>Low Neb?</t>
  </si>
  <si>
    <t>[N II] 6548.05</t>
  </si>
  <si>
    <t>H I 6562.79</t>
  </si>
  <si>
    <t>[N II] 6583.45</t>
  </si>
  <si>
    <t xml:space="preserve">Weak </t>
  </si>
  <si>
    <t>?</t>
  </si>
  <si>
    <t>Broad profile and very weak</t>
  </si>
  <si>
    <t>101B, 11</t>
  </si>
  <si>
    <t>Left-hand guardian of the Raman dip</t>
  </si>
  <si>
    <t>Right-hand guardian of the Raman dip</t>
  </si>
  <si>
    <t>[Ni II]  6666.80</t>
  </si>
  <si>
    <t>Diffuse emission is unclear (difffers between 11 and 101B)</t>
  </si>
  <si>
    <t>He I 6678.15</t>
  </si>
  <si>
    <t>Weak but clearly detected in most GLOB/FIL regions</t>
  </si>
  <si>
    <t>Possibly real, but too close to [S II] line to get a good cont</t>
  </si>
  <si>
    <t>[S II] 6716.44</t>
  </si>
  <si>
    <t>[S II] 6730.816</t>
  </si>
  <si>
    <t>OH 6830</t>
  </si>
  <si>
    <t>See Osterbrock et al 1996PASP..108..277O Fig. 13</t>
  </si>
  <si>
    <t>OH 6833</t>
  </si>
  <si>
    <t>Broad, so probably a blend</t>
  </si>
  <si>
    <t>OH 6864</t>
  </si>
  <si>
    <t>Telluric</t>
  </si>
  <si>
    <t>Overcorrection of O2 band absorption?</t>
  </si>
  <si>
    <t>O I 7001.92</t>
  </si>
  <si>
    <t>Broad</t>
  </si>
  <si>
    <t>He I 7065.28</t>
  </si>
  <si>
    <t>Broad and weak</t>
  </si>
  <si>
    <t>[Ar III] 7135.78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</si>
</sst>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2" fontId="3" numFmtId="4" xfId="0" applyAlignment="1" applyFill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 shrinkToFit="0" vertical="top" wrapText="1"/>
    </xf>
    <xf borderId="0" fillId="0" fontId="2" numFmtId="4" xfId="0" applyFont="1" applyNumberForma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2" fontId="4" numFmtId="4" xfId="0" applyAlignment="1" applyFont="1" applyNumberFormat="1">
      <alignment horizontal="right" readingOrder="0"/>
    </xf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>
        <b/>
        <color theme="1"/>
      </font>
      <fill>
        <patternFill patternType="none"/>
      </fill>
      <border/>
    </dxf>
    <dxf>
      <font>
        <color rgb="FF999999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>
        <b/>
        <color rgb="FFDD7E6B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9.25"/>
    <col customWidth="1" min="4" max="4" width="12.13"/>
    <col customWidth="1" min="6" max="6" width="8.5"/>
    <col customWidth="1" min="8" max="8" width="44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4.0</v>
      </c>
      <c r="B2" s="8" t="s">
        <v>8</v>
      </c>
      <c r="C2" s="9">
        <v>4601.29</v>
      </c>
      <c r="D2" s="8"/>
      <c r="F2" s="10"/>
      <c r="G2" s="11"/>
      <c r="H2" s="12" t="s">
        <v>9</v>
      </c>
    </row>
    <row r="3">
      <c r="A3" s="7">
        <v>7.0</v>
      </c>
      <c r="B3" s="8" t="s">
        <v>8</v>
      </c>
      <c r="C3" s="10">
        <v>4607.25</v>
      </c>
      <c r="F3" s="13"/>
      <c r="G3" s="11"/>
      <c r="H3" s="14"/>
    </row>
    <row r="4">
      <c r="A4" s="7">
        <v>11.0</v>
      </c>
      <c r="B4" s="8" t="s">
        <v>8</v>
      </c>
      <c r="C4" s="13"/>
      <c r="F4" s="13"/>
      <c r="G4" s="11"/>
      <c r="H4" s="14"/>
    </row>
    <row r="5">
      <c r="A5" s="7">
        <v>14.0</v>
      </c>
      <c r="B5" s="8" t="s">
        <v>8</v>
      </c>
      <c r="C5" s="13"/>
      <c r="F5" s="13"/>
      <c r="G5" s="11"/>
      <c r="H5" s="14"/>
    </row>
    <row r="6">
      <c r="A6" s="7">
        <v>22.0</v>
      </c>
      <c r="B6" s="8" t="s">
        <v>8</v>
      </c>
      <c r="C6" s="13"/>
      <c r="F6" s="13"/>
      <c r="G6" s="11"/>
      <c r="H6" s="14"/>
    </row>
    <row r="7">
      <c r="A7" s="7">
        <v>34.0</v>
      </c>
      <c r="B7" s="8" t="s">
        <v>8</v>
      </c>
      <c r="C7" s="13"/>
      <c r="F7" s="13"/>
      <c r="G7" s="11"/>
      <c r="H7" s="14"/>
    </row>
    <row r="8">
      <c r="A8" s="7">
        <v>42.0</v>
      </c>
      <c r="B8" s="8" t="s">
        <v>8</v>
      </c>
      <c r="C8" s="13"/>
      <c r="F8" s="13"/>
      <c r="G8" s="11"/>
      <c r="H8" s="14"/>
    </row>
    <row r="9">
      <c r="A9" s="7">
        <v>49.0</v>
      </c>
      <c r="B9" s="8" t="s">
        <v>8</v>
      </c>
      <c r="C9" s="10">
        <v>4657.93</v>
      </c>
      <c r="D9" s="8" t="s">
        <v>10</v>
      </c>
      <c r="E9" s="8" t="s">
        <v>11</v>
      </c>
      <c r="F9" s="10">
        <v>0.6</v>
      </c>
      <c r="G9" s="11"/>
      <c r="H9" s="12" t="s">
        <v>12</v>
      </c>
    </row>
    <row r="10">
      <c r="A10" s="7">
        <v>60.0</v>
      </c>
      <c r="B10" s="8" t="s">
        <v>8</v>
      </c>
      <c r="C10" s="13"/>
      <c r="F10" s="13"/>
      <c r="G10" s="11"/>
      <c r="H10" s="14"/>
    </row>
    <row r="11">
      <c r="A11" s="7">
        <v>67.0</v>
      </c>
      <c r="B11" s="8" t="s">
        <v>8</v>
      </c>
      <c r="C11" s="13"/>
      <c r="F11" s="13"/>
      <c r="G11" s="11"/>
      <c r="H11" s="14"/>
    </row>
    <row r="12">
      <c r="A12" s="7">
        <v>71.0</v>
      </c>
      <c r="B12" s="8" t="s">
        <v>13</v>
      </c>
      <c r="C12" s="10">
        <v>4685.55</v>
      </c>
      <c r="D12" s="8" t="s">
        <v>14</v>
      </c>
      <c r="E12" s="8" t="s">
        <v>15</v>
      </c>
      <c r="F12" s="10">
        <v>44.0</v>
      </c>
      <c r="G12" s="11"/>
      <c r="H12" s="14"/>
    </row>
    <row r="13">
      <c r="A13" s="7">
        <v>77.0</v>
      </c>
      <c r="B13" s="8" t="s">
        <v>8</v>
      </c>
      <c r="C13" s="13"/>
      <c r="F13" s="13"/>
      <c r="G13" s="11"/>
      <c r="H13" s="14"/>
    </row>
    <row r="14">
      <c r="A14" s="7">
        <v>81.0</v>
      </c>
      <c r="B14" s="8" t="s">
        <v>8</v>
      </c>
      <c r="C14" s="13"/>
      <c r="F14" s="13"/>
      <c r="G14" s="11"/>
      <c r="H14" s="14"/>
    </row>
    <row r="15">
      <c r="A15" s="7">
        <v>91.0</v>
      </c>
      <c r="B15" s="8" t="s">
        <v>13</v>
      </c>
      <c r="C15" s="10">
        <v>4711.46</v>
      </c>
      <c r="D15" s="8" t="s">
        <v>14</v>
      </c>
      <c r="E15" s="8" t="s">
        <v>16</v>
      </c>
      <c r="F15" s="10">
        <v>79.0</v>
      </c>
      <c r="G15" s="15">
        <v>11.0</v>
      </c>
      <c r="H15" s="14"/>
    </row>
    <row r="16">
      <c r="A16" s="7">
        <v>97.0</v>
      </c>
      <c r="B16" s="8" t="s">
        <v>8</v>
      </c>
      <c r="C16" s="13"/>
      <c r="F16" s="13"/>
      <c r="G16" s="11"/>
      <c r="H16" s="14"/>
    </row>
    <row r="17">
      <c r="A17" s="7">
        <v>100.0</v>
      </c>
      <c r="B17" s="8" t="s">
        <v>8</v>
      </c>
      <c r="C17" s="13"/>
      <c r="F17" s="13"/>
      <c r="G17" s="11"/>
      <c r="H17" s="14"/>
    </row>
    <row r="18">
      <c r="A18" s="7">
        <v>105.0</v>
      </c>
      <c r="B18" s="8" t="s">
        <v>8</v>
      </c>
      <c r="C18" s="13"/>
      <c r="F18" s="13"/>
      <c r="G18" s="11"/>
      <c r="H18" s="14"/>
    </row>
    <row r="19">
      <c r="A19" s="7">
        <v>114.0</v>
      </c>
      <c r="B19" s="8" t="s">
        <v>13</v>
      </c>
      <c r="C19" s="10">
        <v>4740.08</v>
      </c>
      <c r="D19" s="8" t="s">
        <v>14</v>
      </c>
      <c r="E19" s="8" t="s">
        <v>17</v>
      </c>
      <c r="F19" s="10">
        <v>53.0</v>
      </c>
      <c r="G19" s="15">
        <v>11.0</v>
      </c>
      <c r="H19" s="14"/>
    </row>
    <row r="20">
      <c r="A20" s="7">
        <v>128.0</v>
      </c>
      <c r="B20" s="8" t="s">
        <v>8</v>
      </c>
      <c r="C20" s="13"/>
      <c r="F20" s="13"/>
      <c r="G20" s="11"/>
      <c r="H20" s="14"/>
    </row>
    <row r="21">
      <c r="A21" s="7">
        <v>136.0</v>
      </c>
      <c r="B21" s="8" t="s">
        <v>8</v>
      </c>
      <c r="C21" s="13"/>
      <c r="F21" s="13"/>
      <c r="G21" s="11"/>
      <c r="H21" s="14"/>
    </row>
    <row r="22">
      <c r="A22" s="7">
        <v>145.0</v>
      </c>
      <c r="B22" s="8" t="s">
        <v>8</v>
      </c>
      <c r="C22" s="13"/>
      <c r="F22" s="13"/>
      <c r="G22" s="11"/>
      <c r="H22" s="14"/>
    </row>
    <row r="23">
      <c r="A23" s="7">
        <v>148.0</v>
      </c>
      <c r="B23" s="8" t="s">
        <v>8</v>
      </c>
      <c r="C23" s="13"/>
      <c r="F23" s="13"/>
      <c r="G23" s="11"/>
      <c r="H23" s="14"/>
    </row>
    <row r="24">
      <c r="A24" s="7">
        <v>157.0</v>
      </c>
      <c r="B24" s="8" t="s">
        <v>8</v>
      </c>
      <c r="C24" s="13"/>
      <c r="F24" s="13"/>
      <c r="G24" s="11"/>
      <c r="H24" s="14"/>
    </row>
    <row r="25">
      <c r="A25" s="7">
        <v>174.0</v>
      </c>
      <c r="B25" s="8" t="s">
        <v>8</v>
      </c>
      <c r="C25" s="13"/>
      <c r="F25" s="13"/>
      <c r="G25" s="11"/>
      <c r="H25" s="14"/>
    </row>
    <row r="26">
      <c r="A26" s="7">
        <v>180.0</v>
      </c>
      <c r="B26" s="8" t="s">
        <v>8</v>
      </c>
      <c r="C26" s="13"/>
      <c r="F26" s="13"/>
      <c r="G26" s="11"/>
      <c r="H26" s="14"/>
    </row>
    <row r="27">
      <c r="A27" s="7">
        <v>190.0</v>
      </c>
      <c r="B27" s="8" t="s">
        <v>8</v>
      </c>
      <c r="C27" s="13"/>
      <c r="F27" s="13"/>
      <c r="G27" s="11"/>
      <c r="H27" s="14"/>
    </row>
    <row r="28">
      <c r="A28" s="7">
        <v>197.0</v>
      </c>
      <c r="B28" s="8" t="s">
        <v>8</v>
      </c>
      <c r="C28" s="13"/>
      <c r="F28" s="13"/>
      <c r="G28" s="11"/>
      <c r="H28" s="14"/>
    </row>
    <row r="29">
      <c r="A29" s="7">
        <v>211.0</v>
      </c>
      <c r="B29" s="8" t="s">
        <v>8</v>
      </c>
      <c r="C29" s="10">
        <v>4861.18</v>
      </c>
      <c r="D29" s="8" t="s">
        <v>18</v>
      </c>
      <c r="E29" s="8" t="s">
        <v>19</v>
      </c>
      <c r="F29" s="10">
        <v>2300.0</v>
      </c>
      <c r="G29" s="11"/>
      <c r="H29" s="14"/>
    </row>
    <row r="30">
      <c r="A30" s="7">
        <v>218.0</v>
      </c>
      <c r="B30" s="8" t="s">
        <v>8</v>
      </c>
      <c r="C30" s="13"/>
      <c r="F30" s="13"/>
      <c r="G30" s="11"/>
      <c r="H30" s="14"/>
    </row>
    <row r="31">
      <c r="A31" s="7">
        <v>227.0</v>
      </c>
      <c r="B31" s="8" t="s">
        <v>8</v>
      </c>
      <c r="C31" s="10">
        <v>4881.05</v>
      </c>
      <c r="D31" s="8" t="s">
        <v>10</v>
      </c>
      <c r="E31" s="8" t="s">
        <v>20</v>
      </c>
      <c r="F31" s="10">
        <v>1.2</v>
      </c>
      <c r="G31" s="11"/>
      <c r="H31" s="12" t="s">
        <v>21</v>
      </c>
    </row>
    <row r="32">
      <c r="A32" s="7">
        <v>238.0</v>
      </c>
      <c r="B32" s="8" t="s">
        <v>8</v>
      </c>
      <c r="C32" s="13"/>
      <c r="F32" s="13"/>
      <c r="G32" s="11"/>
      <c r="H32" s="14"/>
    </row>
    <row r="33">
      <c r="A33" s="7">
        <v>247.0</v>
      </c>
      <c r="B33" s="8" t="s">
        <v>8</v>
      </c>
      <c r="C33" s="13"/>
      <c r="F33" s="13"/>
      <c r="G33" s="11"/>
      <c r="H33" s="14"/>
    </row>
    <row r="34">
      <c r="A34" s="7">
        <v>253.0</v>
      </c>
      <c r="B34" s="8" t="s">
        <v>8</v>
      </c>
      <c r="C34" s="13"/>
      <c r="F34" s="13"/>
      <c r="G34" s="11"/>
      <c r="H34" s="14"/>
    </row>
    <row r="35">
      <c r="A35" s="7">
        <v>260.0</v>
      </c>
      <c r="B35" s="8" t="s">
        <v>8</v>
      </c>
      <c r="C35" s="10">
        <v>4921.75</v>
      </c>
      <c r="D35" s="8" t="s">
        <v>18</v>
      </c>
      <c r="E35" s="8" t="s">
        <v>22</v>
      </c>
      <c r="F35" s="10">
        <v>21.0</v>
      </c>
      <c r="G35" s="15" t="s">
        <v>23</v>
      </c>
      <c r="H35" s="14"/>
    </row>
    <row r="36">
      <c r="A36" s="7">
        <v>268.0</v>
      </c>
      <c r="B36" s="8" t="s">
        <v>8</v>
      </c>
      <c r="C36" s="13"/>
      <c r="F36" s="13"/>
      <c r="G36" s="11"/>
      <c r="H36" s="14"/>
    </row>
    <row r="37">
      <c r="A37" s="7">
        <v>283.0</v>
      </c>
      <c r="B37" s="8" t="s">
        <v>8</v>
      </c>
      <c r="C37" s="13"/>
      <c r="F37" s="13"/>
      <c r="G37" s="11"/>
      <c r="H37" s="14"/>
    </row>
    <row r="38">
      <c r="A38" s="7">
        <v>289.0</v>
      </c>
      <c r="B38" s="8" t="s">
        <v>8</v>
      </c>
      <c r="C38" s="10">
        <v>4958.76</v>
      </c>
      <c r="D38" s="8" t="s">
        <v>18</v>
      </c>
      <c r="E38" s="8" t="s">
        <v>24</v>
      </c>
      <c r="F38" s="10">
        <v>3300.0</v>
      </c>
      <c r="G38" s="11"/>
      <c r="H38" s="14"/>
    </row>
    <row r="39">
      <c r="A39" s="7">
        <v>301.0</v>
      </c>
      <c r="B39" s="8" t="s">
        <v>8</v>
      </c>
      <c r="C39" s="13"/>
      <c r="F39" s="13"/>
      <c r="G39" s="11"/>
      <c r="H39" s="14"/>
    </row>
    <row r="40">
      <c r="A40" s="7">
        <v>322.0</v>
      </c>
      <c r="B40" s="8" t="s">
        <v>8</v>
      </c>
      <c r="C40" s="13"/>
      <c r="F40" s="13"/>
      <c r="G40" s="11"/>
      <c r="H40" s="14"/>
    </row>
    <row r="41">
      <c r="A41" s="7">
        <v>328.0</v>
      </c>
      <c r="B41" s="8" t="s">
        <v>8</v>
      </c>
      <c r="C41" s="10">
        <v>5006.61</v>
      </c>
      <c r="D41" s="8" t="s">
        <v>18</v>
      </c>
      <c r="E41" s="16" t="s">
        <v>25</v>
      </c>
      <c r="F41" s="10">
        <v>9500.0</v>
      </c>
      <c r="G41" s="11"/>
      <c r="H41" s="14"/>
    </row>
    <row r="42">
      <c r="A42" s="7">
        <v>335.0</v>
      </c>
      <c r="B42" s="8" t="s">
        <v>8</v>
      </c>
      <c r="C42" s="10">
        <v>5015.43</v>
      </c>
      <c r="D42" s="8" t="s">
        <v>18</v>
      </c>
      <c r="E42" s="8" t="s">
        <v>26</v>
      </c>
      <c r="F42" s="10">
        <v>36.0</v>
      </c>
      <c r="G42" s="15" t="s">
        <v>27</v>
      </c>
      <c r="H42" s="14"/>
    </row>
    <row r="43">
      <c r="A43" s="7">
        <v>347.0</v>
      </c>
      <c r="B43" s="8" t="s">
        <v>8</v>
      </c>
      <c r="C43" s="13"/>
      <c r="F43" s="10"/>
      <c r="G43" s="11"/>
      <c r="H43" s="14"/>
    </row>
    <row r="44">
      <c r="A44" s="7">
        <v>356.0</v>
      </c>
      <c r="B44" s="8" t="s">
        <v>8</v>
      </c>
      <c r="C44" s="10">
        <v>5041.47</v>
      </c>
      <c r="D44" s="8" t="s">
        <v>28</v>
      </c>
      <c r="E44" s="8" t="s">
        <v>29</v>
      </c>
      <c r="F44" s="10">
        <v>2.9</v>
      </c>
      <c r="G44" s="15" t="s">
        <v>30</v>
      </c>
      <c r="H44" s="12" t="s">
        <v>31</v>
      </c>
    </row>
    <row r="45">
      <c r="A45" s="7">
        <v>360.0</v>
      </c>
      <c r="B45" s="8" t="s">
        <v>8</v>
      </c>
      <c r="C45" s="10">
        <v>5047.36</v>
      </c>
      <c r="D45" s="8" t="s">
        <v>18</v>
      </c>
      <c r="E45" s="8" t="s">
        <v>32</v>
      </c>
      <c r="F45" s="10">
        <v>4.0</v>
      </c>
      <c r="G45" s="15">
        <v>11.0</v>
      </c>
      <c r="H45" s="14"/>
    </row>
    <row r="46">
      <c r="A46" s="7">
        <v>367.0</v>
      </c>
      <c r="B46" s="8" t="s">
        <v>8</v>
      </c>
      <c r="C46" s="10">
        <v>5056.14</v>
      </c>
      <c r="D46" s="8" t="s">
        <v>28</v>
      </c>
      <c r="E46" s="8" t="s">
        <v>33</v>
      </c>
      <c r="F46" s="10">
        <v>7.3</v>
      </c>
      <c r="G46" s="15">
        <v>11.0</v>
      </c>
      <c r="H46" s="14"/>
    </row>
    <row r="47">
      <c r="A47" s="7">
        <v>382.0</v>
      </c>
      <c r="B47" s="8" t="s">
        <v>8</v>
      </c>
      <c r="C47" s="13"/>
      <c r="F47" s="13"/>
      <c r="G47" s="11"/>
      <c r="H47" s="14"/>
    </row>
    <row r="48">
      <c r="A48" s="7">
        <v>385.0</v>
      </c>
      <c r="B48" s="8" t="s">
        <v>8</v>
      </c>
      <c r="C48" s="13"/>
      <c r="F48" s="13"/>
      <c r="G48" s="11"/>
      <c r="H48" s="14"/>
    </row>
    <row r="49">
      <c r="A49" s="7">
        <v>391.0</v>
      </c>
      <c r="B49" s="8" t="s">
        <v>8</v>
      </c>
      <c r="C49" s="13"/>
      <c r="F49" s="13"/>
      <c r="G49" s="11"/>
      <c r="H49" s="14"/>
    </row>
    <row r="50">
      <c r="A50" s="7">
        <v>395.0</v>
      </c>
      <c r="B50" s="8" t="s">
        <v>8</v>
      </c>
      <c r="C50" s="13"/>
      <c r="F50" s="13"/>
      <c r="G50" s="11"/>
      <c r="H50" s="14"/>
    </row>
    <row r="51">
      <c r="A51" s="7">
        <v>401.0</v>
      </c>
      <c r="B51" s="8" t="s">
        <v>8</v>
      </c>
      <c r="C51" s="13"/>
      <c r="F51" s="13"/>
      <c r="G51" s="11"/>
      <c r="H51" s="14"/>
    </row>
    <row r="52">
      <c r="A52" s="7">
        <v>407.0</v>
      </c>
      <c r="B52" s="8" t="s">
        <v>8</v>
      </c>
      <c r="C52" s="13"/>
      <c r="F52" s="13"/>
      <c r="G52" s="11"/>
      <c r="H52" s="14"/>
    </row>
    <row r="53">
      <c r="A53" s="7">
        <v>414.0</v>
      </c>
      <c r="B53" s="8" t="s">
        <v>8</v>
      </c>
      <c r="C53" s="13"/>
      <c r="F53" s="13"/>
      <c r="G53" s="11"/>
      <c r="H53" s="14"/>
    </row>
    <row r="54">
      <c r="A54" s="7">
        <v>417.0</v>
      </c>
      <c r="B54" s="8" t="s">
        <v>8</v>
      </c>
      <c r="C54" s="13"/>
      <c r="F54" s="13"/>
      <c r="G54" s="11"/>
      <c r="H54" s="14"/>
    </row>
    <row r="55">
      <c r="A55" s="7">
        <v>428.0</v>
      </c>
      <c r="B55" s="8" t="s">
        <v>8</v>
      </c>
      <c r="C55" s="13"/>
      <c r="F55" s="13"/>
      <c r="G55" s="11"/>
      <c r="H55" s="14"/>
    </row>
    <row r="56">
      <c r="A56" s="7">
        <v>441.0</v>
      </c>
      <c r="B56" s="8" t="s">
        <v>8</v>
      </c>
      <c r="C56" s="13"/>
      <c r="F56" s="13"/>
      <c r="G56" s="11"/>
      <c r="H56" s="14"/>
    </row>
    <row r="57">
      <c r="A57" s="7">
        <v>449.0</v>
      </c>
      <c r="B57" s="8" t="s">
        <v>8</v>
      </c>
      <c r="C57" s="10">
        <v>5158.5</v>
      </c>
      <c r="D57" s="8" t="s">
        <v>10</v>
      </c>
      <c r="E57" s="8" t="s">
        <v>34</v>
      </c>
      <c r="F57" s="10">
        <v>4.4</v>
      </c>
      <c r="G57" s="15">
        <v>11.0</v>
      </c>
      <c r="H57" s="12" t="s">
        <v>35</v>
      </c>
    </row>
    <row r="58">
      <c r="A58" s="7">
        <v>465.0</v>
      </c>
      <c r="B58" s="8" t="s">
        <v>8</v>
      </c>
      <c r="C58" s="13"/>
      <c r="F58" s="13"/>
      <c r="G58" s="11"/>
      <c r="H58" s="14"/>
    </row>
    <row r="59">
      <c r="A59" s="7">
        <v>475.0</v>
      </c>
      <c r="B59" s="8" t="s">
        <v>8</v>
      </c>
      <c r="C59" s="10">
        <v>5191.18</v>
      </c>
      <c r="D59" s="8" t="s">
        <v>18</v>
      </c>
      <c r="E59" s="8" t="s">
        <v>36</v>
      </c>
      <c r="F59" s="10">
        <v>1.8</v>
      </c>
      <c r="G59" s="15" t="s">
        <v>23</v>
      </c>
      <c r="H59" s="14"/>
    </row>
    <row r="60">
      <c r="A60" s="7">
        <v>482.0</v>
      </c>
      <c r="B60" s="8" t="s">
        <v>8</v>
      </c>
      <c r="C60" s="10">
        <v>5199.1</v>
      </c>
      <c r="D60" s="8" t="s">
        <v>37</v>
      </c>
      <c r="E60" s="8" t="s">
        <v>38</v>
      </c>
      <c r="F60" s="10">
        <v>6.5</v>
      </c>
      <c r="G60" s="15">
        <v>101.0</v>
      </c>
      <c r="H60" s="14"/>
    </row>
    <row r="61">
      <c r="A61" s="7">
        <v>492.0</v>
      </c>
      <c r="B61" s="8" t="s">
        <v>8</v>
      </c>
      <c r="C61" s="13"/>
      <c r="F61" s="13"/>
      <c r="G61" s="11"/>
      <c r="H61" s="14"/>
    </row>
    <row r="62">
      <c r="A62" s="7">
        <v>498.0</v>
      </c>
      <c r="B62" s="8" t="s">
        <v>8</v>
      </c>
      <c r="C62" s="13"/>
      <c r="D62" s="8" t="s">
        <v>28</v>
      </c>
      <c r="E62" s="8" t="s">
        <v>39</v>
      </c>
      <c r="F62" s="13"/>
      <c r="G62" s="11"/>
      <c r="H62" s="12" t="s">
        <v>40</v>
      </c>
    </row>
    <row r="63">
      <c r="A63" s="7">
        <v>518.0</v>
      </c>
      <c r="B63" s="8" t="s">
        <v>8</v>
      </c>
      <c r="C63" s="13"/>
      <c r="F63" s="13"/>
      <c r="G63" s="11"/>
      <c r="H63" s="14"/>
    </row>
    <row r="64">
      <c r="A64" s="7">
        <v>531.0</v>
      </c>
      <c r="B64" s="8" t="s">
        <v>8</v>
      </c>
      <c r="C64" s="13"/>
      <c r="D64" s="8" t="s">
        <v>10</v>
      </c>
      <c r="E64" s="8" t="s">
        <v>41</v>
      </c>
      <c r="F64" s="13"/>
      <c r="G64" s="11"/>
      <c r="H64" s="12" t="s">
        <v>40</v>
      </c>
    </row>
    <row r="65">
      <c r="A65" s="7">
        <v>541.0</v>
      </c>
      <c r="B65" s="8" t="s">
        <v>8</v>
      </c>
      <c r="C65" s="13"/>
      <c r="D65" s="8" t="s">
        <v>10</v>
      </c>
      <c r="E65" s="8" t="s">
        <v>42</v>
      </c>
      <c r="F65" s="13"/>
      <c r="G65" s="11"/>
      <c r="H65" s="12" t="s">
        <v>43</v>
      </c>
    </row>
    <row r="66">
      <c r="A66" s="7">
        <v>552.0</v>
      </c>
      <c r="B66" s="8" t="s">
        <v>8</v>
      </c>
      <c r="C66" s="13"/>
      <c r="F66" s="13"/>
      <c r="G66" s="11"/>
      <c r="H66" s="14"/>
    </row>
    <row r="67">
      <c r="A67" s="7">
        <v>556.0</v>
      </c>
      <c r="B67" s="8" t="s">
        <v>8</v>
      </c>
      <c r="C67" s="13"/>
      <c r="F67" s="13"/>
      <c r="G67" s="11"/>
      <c r="H67" s="14"/>
    </row>
    <row r="68">
      <c r="A68" s="7">
        <v>566.0</v>
      </c>
      <c r="B68" s="8" t="s">
        <v>8</v>
      </c>
      <c r="C68" s="13"/>
      <c r="F68" s="13"/>
      <c r="G68" s="11"/>
      <c r="H68" s="14"/>
    </row>
    <row r="69">
      <c r="A69" s="7">
        <v>569.0</v>
      </c>
      <c r="B69" s="8" t="s">
        <v>8</v>
      </c>
      <c r="C69" s="13"/>
      <c r="F69" s="13"/>
      <c r="G69" s="11"/>
      <c r="H69" s="14"/>
    </row>
    <row r="70">
      <c r="A70" s="7">
        <v>580.0</v>
      </c>
      <c r="B70" s="8" t="s">
        <v>8</v>
      </c>
      <c r="C70" s="13"/>
      <c r="F70" s="13"/>
      <c r="G70" s="11"/>
      <c r="H70" s="14"/>
    </row>
    <row r="71">
      <c r="A71" s="7">
        <v>589.0</v>
      </c>
      <c r="B71" s="8" t="s">
        <v>8</v>
      </c>
      <c r="C71" s="13"/>
      <c r="F71" s="13"/>
      <c r="G71" s="11"/>
      <c r="H71" s="14"/>
    </row>
    <row r="72">
      <c r="A72" s="7">
        <v>598.0</v>
      </c>
      <c r="B72" s="8" t="s">
        <v>8</v>
      </c>
      <c r="C72" s="13"/>
      <c r="F72" s="13"/>
      <c r="G72" s="11"/>
      <c r="H72" s="14"/>
    </row>
    <row r="73">
      <c r="A73" s="7">
        <v>607.0</v>
      </c>
      <c r="B73" s="8" t="s">
        <v>8</v>
      </c>
      <c r="C73" s="13"/>
      <c r="F73" s="13"/>
      <c r="G73" s="11"/>
      <c r="H73" s="14"/>
    </row>
    <row r="74">
      <c r="A74" s="7">
        <v>623.0</v>
      </c>
      <c r="B74" s="8" t="s">
        <v>8</v>
      </c>
      <c r="C74" s="13"/>
      <c r="F74" s="13"/>
      <c r="G74" s="11"/>
      <c r="H74" s="14"/>
    </row>
    <row r="75">
      <c r="A75" s="7">
        <v>628.0</v>
      </c>
      <c r="B75" s="8" t="s">
        <v>8</v>
      </c>
      <c r="C75" s="13"/>
      <c r="F75" s="13"/>
      <c r="G75" s="11"/>
      <c r="H75" s="14"/>
    </row>
    <row r="76">
      <c r="A76" s="7">
        <v>632.0</v>
      </c>
      <c r="B76" s="8" t="s">
        <v>8</v>
      </c>
      <c r="C76" s="13"/>
      <c r="F76" s="13"/>
      <c r="G76" s="11"/>
      <c r="H76" s="14"/>
    </row>
    <row r="77">
      <c r="A77" s="7">
        <v>642.0</v>
      </c>
      <c r="B77" s="8" t="s">
        <v>8</v>
      </c>
      <c r="C77" s="13"/>
      <c r="F77" s="13"/>
      <c r="G77" s="11"/>
      <c r="H77" s="14"/>
    </row>
    <row r="78">
      <c r="A78" s="7">
        <v>649.0</v>
      </c>
      <c r="B78" s="8" t="s">
        <v>8</v>
      </c>
      <c r="C78" s="13"/>
      <c r="F78" s="13"/>
      <c r="G78" s="11"/>
      <c r="H78" s="14"/>
    </row>
    <row r="79">
      <c r="A79" s="7">
        <v>653.0</v>
      </c>
      <c r="B79" s="8" t="s">
        <v>8</v>
      </c>
      <c r="C79" s="13"/>
      <c r="F79" s="13"/>
      <c r="G79" s="11"/>
      <c r="H79" s="14"/>
    </row>
    <row r="80">
      <c r="A80" s="7">
        <v>660.0</v>
      </c>
      <c r="B80" s="8" t="s">
        <v>8</v>
      </c>
      <c r="C80" s="13"/>
      <c r="F80" s="13"/>
      <c r="G80" s="11"/>
      <c r="H80" s="14"/>
    </row>
    <row r="81">
      <c r="A81" s="7">
        <v>664.0</v>
      </c>
      <c r="B81" s="8" t="s">
        <v>8</v>
      </c>
      <c r="C81" s="13"/>
      <c r="F81" s="13"/>
      <c r="G81" s="11"/>
      <c r="H81" s="14"/>
    </row>
    <row r="82">
      <c r="A82" s="7">
        <v>668.0</v>
      </c>
      <c r="B82" s="8" t="s">
        <v>8</v>
      </c>
      <c r="C82" s="13"/>
      <c r="F82" s="13"/>
      <c r="G82" s="11"/>
      <c r="H82" s="14"/>
    </row>
    <row r="83">
      <c r="A83" s="7">
        <v>673.0</v>
      </c>
      <c r="B83" s="8" t="s">
        <v>8</v>
      </c>
      <c r="C83" s="13"/>
      <c r="F83" s="13"/>
      <c r="G83" s="11"/>
      <c r="H83" s="14"/>
    </row>
    <row r="84">
      <c r="A84" s="7">
        <v>683.0</v>
      </c>
      <c r="B84" s="8" t="s">
        <v>8</v>
      </c>
      <c r="C84" s="13"/>
      <c r="F84" s="13"/>
      <c r="G84" s="11"/>
      <c r="H84" s="14"/>
    </row>
    <row r="85">
      <c r="A85" s="7">
        <v>689.0</v>
      </c>
      <c r="B85" s="8" t="s">
        <v>8</v>
      </c>
      <c r="C85" s="13"/>
      <c r="F85" s="13"/>
      <c r="G85" s="11"/>
      <c r="H85" s="14"/>
    </row>
    <row r="86">
      <c r="A86" s="7">
        <v>695.0</v>
      </c>
      <c r="B86" s="8" t="s">
        <v>8</v>
      </c>
      <c r="C86" s="13"/>
      <c r="F86" s="13"/>
      <c r="G86" s="11"/>
      <c r="H86" s="14"/>
    </row>
    <row r="87">
      <c r="A87" s="7">
        <v>698.0</v>
      </c>
      <c r="B87" s="8" t="s">
        <v>8</v>
      </c>
      <c r="C87" s="13"/>
      <c r="F87" s="13"/>
      <c r="G87" s="11"/>
      <c r="H87" s="14"/>
    </row>
    <row r="88">
      <c r="A88" s="7">
        <v>708.0</v>
      </c>
      <c r="B88" s="8" t="s">
        <v>8</v>
      </c>
      <c r="C88" s="13"/>
      <c r="F88" s="13"/>
      <c r="G88" s="11"/>
      <c r="H88" s="14"/>
    </row>
    <row r="89">
      <c r="A89" s="7">
        <v>713.0</v>
      </c>
      <c r="B89" s="8" t="s">
        <v>8</v>
      </c>
      <c r="C89" s="13"/>
      <c r="F89" s="13"/>
      <c r="G89" s="11"/>
      <c r="H89" s="14"/>
    </row>
    <row r="90">
      <c r="A90" s="7">
        <v>727.0</v>
      </c>
      <c r="B90" s="8" t="s">
        <v>8</v>
      </c>
      <c r="C90" s="13"/>
      <c r="F90" s="13"/>
      <c r="G90" s="11"/>
      <c r="H90" s="14"/>
    </row>
    <row r="91">
      <c r="A91" s="7">
        <v>737.0</v>
      </c>
      <c r="B91" s="8" t="s">
        <v>8</v>
      </c>
      <c r="C91" s="10">
        <v>5517.48</v>
      </c>
      <c r="D91" s="8" t="s">
        <v>18</v>
      </c>
      <c r="E91" s="8" t="s">
        <v>44</v>
      </c>
      <c r="F91" s="10">
        <v>8.1</v>
      </c>
      <c r="G91" s="15" t="s">
        <v>23</v>
      </c>
      <c r="H91" s="14"/>
    </row>
    <row r="92">
      <c r="A92" s="7">
        <v>747.0</v>
      </c>
      <c r="B92" s="8" t="s">
        <v>8</v>
      </c>
      <c r="C92" s="13"/>
      <c r="D92" s="8" t="s">
        <v>45</v>
      </c>
      <c r="E92" s="17"/>
      <c r="F92" s="13"/>
      <c r="G92" s="11"/>
      <c r="H92" s="14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7">
        <v>753.0</v>
      </c>
      <c r="B93" s="8" t="s">
        <v>8</v>
      </c>
      <c r="C93" s="10">
        <v>5537.66</v>
      </c>
      <c r="D93" s="8" t="s">
        <v>18</v>
      </c>
      <c r="E93" s="8" t="s">
        <v>46</v>
      </c>
      <c r="F93" s="10">
        <v>5.2</v>
      </c>
      <c r="G93" s="15" t="s">
        <v>23</v>
      </c>
      <c r="H93" s="14"/>
    </row>
    <row r="94">
      <c r="A94" s="7">
        <v>785.0</v>
      </c>
      <c r="B94" s="8" t="s">
        <v>8</v>
      </c>
      <c r="C94" s="13"/>
      <c r="E94" s="8" t="s">
        <v>47</v>
      </c>
      <c r="F94" s="13"/>
      <c r="G94" s="11"/>
      <c r="H94" s="12" t="s">
        <v>40</v>
      </c>
    </row>
    <row r="95">
      <c r="A95" s="7">
        <v>790.0</v>
      </c>
      <c r="B95" s="8" t="s">
        <v>8</v>
      </c>
      <c r="C95" s="13"/>
      <c r="F95" s="13"/>
      <c r="G95" s="11"/>
      <c r="H95" s="14"/>
    </row>
    <row r="96">
      <c r="A96" s="7">
        <v>797.0</v>
      </c>
      <c r="B96" s="8" t="s">
        <v>8</v>
      </c>
      <c r="C96" s="13"/>
      <c r="F96" s="13"/>
      <c r="G96" s="11"/>
      <c r="H96" s="14"/>
    </row>
    <row r="97">
      <c r="A97" s="7">
        <v>800.0</v>
      </c>
      <c r="B97" s="8" t="s">
        <v>8</v>
      </c>
      <c r="C97" s="13"/>
      <c r="F97" s="13"/>
      <c r="G97" s="11"/>
      <c r="H97" s="14"/>
    </row>
    <row r="98">
      <c r="A98" s="7">
        <v>809.0</v>
      </c>
      <c r="B98" s="8" t="s">
        <v>8</v>
      </c>
      <c r="C98" s="13"/>
      <c r="F98" s="13"/>
      <c r="G98" s="11"/>
      <c r="H98" s="14"/>
    </row>
    <row r="99">
      <c r="A99" s="7">
        <v>819.0</v>
      </c>
      <c r="B99" s="8" t="s">
        <v>8</v>
      </c>
      <c r="C99" s="13"/>
      <c r="F99" s="13"/>
      <c r="G99" s="11"/>
      <c r="H99" s="14"/>
    </row>
    <row r="100">
      <c r="A100" s="7">
        <v>825.0</v>
      </c>
      <c r="B100" s="8" t="s">
        <v>8</v>
      </c>
      <c r="C100" s="13"/>
      <c r="F100" s="13"/>
      <c r="G100" s="11"/>
      <c r="H100" s="14"/>
    </row>
    <row r="101">
      <c r="A101" s="7">
        <v>829.0</v>
      </c>
      <c r="B101" s="8" t="s">
        <v>8</v>
      </c>
      <c r="C101" s="13"/>
      <c r="F101" s="13"/>
      <c r="G101" s="11"/>
      <c r="H101" s="14"/>
    </row>
    <row r="102">
      <c r="A102" s="7">
        <v>834.0</v>
      </c>
      <c r="B102" s="8" t="s">
        <v>8</v>
      </c>
      <c r="C102" s="13"/>
      <c r="F102" s="13"/>
      <c r="G102" s="11"/>
      <c r="H102" s="14"/>
    </row>
    <row r="103">
      <c r="A103" s="7">
        <v>842.0</v>
      </c>
      <c r="B103" s="8" t="s">
        <v>8</v>
      </c>
      <c r="C103" s="13"/>
      <c r="F103" s="13"/>
      <c r="G103" s="11"/>
      <c r="H103" s="14"/>
    </row>
    <row r="104">
      <c r="A104" s="7">
        <v>851.0</v>
      </c>
      <c r="B104" s="8" t="s">
        <v>8</v>
      </c>
      <c r="C104" s="13"/>
      <c r="F104" s="13"/>
      <c r="G104" s="11"/>
      <c r="H104" s="14"/>
    </row>
    <row r="105">
      <c r="A105" s="7">
        <v>865.0</v>
      </c>
      <c r="B105" s="8" t="s">
        <v>8</v>
      </c>
      <c r="C105" s="13"/>
      <c r="F105" s="13"/>
      <c r="G105" s="11"/>
      <c r="H105" s="14"/>
    </row>
    <row r="106">
      <c r="A106" s="7">
        <v>868.0</v>
      </c>
      <c r="B106" s="8" t="s">
        <v>8</v>
      </c>
      <c r="C106" s="13"/>
      <c r="F106" s="13"/>
      <c r="G106" s="11"/>
      <c r="H106" s="14"/>
    </row>
    <row r="107">
      <c r="A107" s="7">
        <v>874.0</v>
      </c>
      <c r="B107" s="8" t="s">
        <v>8</v>
      </c>
      <c r="C107" s="13"/>
      <c r="F107" s="13"/>
      <c r="G107" s="11"/>
      <c r="H107" s="14"/>
    </row>
    <row r="108">
      <c r="A108" s="7">
        <v>900.0</v>
      </c>
      <c r="B108" s="8" t="s">
        <v>8</v>
      </c>
      <c r="C108" s="13"/>
      <c r="F108" s="13"/>
      <c r="G108" s="11"/>
      <c r="H108" s="14"/>
    </row>
    <row r="109">
      <c r="A109" s="7">
        <v>903.0</v>
      </c>
      <c r="B109" s="8" t="s">
        <v>8</v>
      </c>
      <c r="C109" s="13"/>
      <c r="F109" s="13"/>
      <c r="G109" s="11"/>
      <c r="H109" s="14"/>
    </row>
    <row r="110">
      <c r="A110" s="7">
        <v>911.0</v>
      </c>
      <c r="B110" s="8" t="s">
        <v>8</v>
      </c>
      <c r="C110" s="13"/>
      <c r="F110" s="13"/>
      <c r="G110" s="11"/>
      <c r="H110" s="14"/>
    </row>
    <row r="111">
      <c r="A111" s="7">
        <v>914.0</v>
      </c>
      <c r="B111" s="8" t="s">
        <v>13</v>
      </c>
      <c r="C111" s="10">
        <v>5739.64</v>
      </c>
      <c r="D111" s="8" t="s">
        <v>48</v>
      </c>
      <c r="E111" s="8" t="s">
        <v>49</v>
      </c>
      <c r="F111" s="10">
        <v>2.3</v>
      </c>
      <c r="G111" s="11"/>
      <c r="H111" s="12" t="s">
        <v>50</v>
      </c>
    </row>
    <row r="112">
      <c r="A112" s="7">
        <v>920.0</v>
      </c>
      <c r="B112" s="8" t="s">
        <v>8</v>
      </c>
      <c r="F112" s="13"/>
      <c r="G112" s="11"/>
      <c r="H112" s="14"/>
    </row>
    <row r="113">
      <c r="A113" s="7">
        <v>926.0</v>
      </c>
      <c r="B113" s="8" t="s">
        <v>8</v>
      </c>
      <c r="C113" s="10">
        <v>5754.69</v>
      </c>
      <c r="D113" s="8" t="s">
        <v>51</v>
      </c>
      <c r="E113" s="8" t="s">
        <v>52</v>
      </c>
      <c r="F113" s="10">
        <v>4.7</v>
      </c>
      <c r="G113" s="11"/>
      <c r="H113" s="14"/>
    </row>
    <row r="114">
      <c r="A114" s="7">
        <v>941.0</v>
      </c>
      <c r="B114" s="8" t="s">
        <v>8</v>
      </c>
      <c r="C114" s="13"/>
      <c r="F114" s="13"/>
      <c r="G114" s="11"/>
      <c r="H114" s="14"/>
    </row>
    <row r="115">
      <c r="A115" s="7">
        <v>954.0</v>
      </c>
      <c r="B115" s="8" t="s">
        <v>8</v>
      </c>
      <c r="C115" s="13"/>
      <c r="F115" s="13"/>
      <c r="G115" s="11"/>
      <c r="H115" s="14"/>
    </row>
    <row r="116">
      <c r="A116" s="7">
        <v>965.0</v>
      </c>
      <c r="B116" s="8" t="s">
        <v>8</v>
      </c>
      <c r="C116" s="13"/>
      <c r="F116" s="13"/>
      <c r="G116" s="11"/>
      <c r="H116" s="14"/>
    </row>
    <row r="117">
      <c r="A117" s="7">
        <v>978.0</v>
      </c>
      <c r="B117" s="8" t="s">
        <v>8</v>
      </c>
      <c r="C117" s="13"/>
      <c r="F117" s="13"/>
      <c r="G117" s="11"/>
      <c r="H117" s="14"/>
    </row>
    <row r="118">
      <c r="A118" s="7">
        <v>985.0</v>
      </c>
      <c r="B118" s="8" t="s">
        <v>8</v>
      </c>
      <c r="C118" s="13"/>
      <c r="F118" s="13"/>
      <c r="G118" s="11"/>
      <c r="H118" s="14"/>
    </row>
    <row r="119">
      <c r="A119" s="7">
        <v>1003.0</v>
      </c>
      <c r="B119" s="8" t="s">
        <v>8</v>
      </c>
      <c r="C119" s="13"/>
      <c r="F119" s="13"/>
      <c r="G119" s="11"/>
      <c r="H119" s="14"/>
    </row>
    <row r="120">
      <c r="A120" s="7">
        <v>1018.0</v>
      </c>
      <c r="B120" s="8" t="s">
        <v>8</v>
      </c>
      <c r="C120" s="13"/>
      <c r="F120" s="13"/>
      <c r="G120" s="11"/>
      <c r="H120" s="14"/>
    </row>
    <row r="121">
      <c r="A121" s="7">
        <v>1023.0</v>
      </c>
      <c r="B121" s="8" t="s">
        <v>8</v>
      </c>
      <c r="C121" s="10">
        <v>5875.53</v>
      </c>
      <c r="D121" s="8" t="s">
        <v>18</v>
      </c>
      <c r="E121" s="8" t="s">
        <v>53</v>
      </c>
      <c r="F121" s="10">
        <v>290.0</v>
      </c>
      <c r="G121" s="11"/>
      <c r="H121" s="14"/>
    </row>
    <row r="122">
      <c r="A122" s="7">
        <v>1037.0</v>
      </c>
      <c r="B122" s="8" t="s">
        <v>8</v>
      </c>
      <c r="C122" s="13"/>
      <c r="F122" s="13"/>
      <c r="G122" s="11"/>
      <c r="H122" s="14"/>
    </row>
    <row r="123">
      <c r="A123" s="7">
        <v>1045.0</v>
      </c>
      <c r="B123" s="8" t="s">
        <v>8</v>
      </c>
      <c r="C123" s="13"/>
      <c r="F123" s="13"/>
      <c r="G123" s="11"/>
      <c r="H123" s="14"/>
    </row>
    <row r="124">
      <c r="A124" s="7">
        <v>1052.0</v>
      </c>
      <c r="B124" s="8" t="s">
        <v>8</v>
      </c>
      <c r="C124" s="13"/>
      <c r="F124" s="13"/>
      <c r="G124" s="11"/>
      <c r="H124" s="14"/>
    </row>
    <row r="125">
      <c r="A125" s="7">
        <v>1055.0</v>
      </c>
      <c r="B125" s="8" t="s">
        <v>8</v>
      </c>
      <c r="C125" s="13"/>
      <c r="F125" s="13"/>
      <c r="G125" s="11"/>
      <c r="H125" s="14"/>
    </row>
    <row r="126">
      <c r="A126" s="7">
        <v>1062.0</v>
      </c>
      <c r="B126" s="8" t="s">
        <v>8</v>
      </c>
      <c r="C126" s="13"/>
      <c r="F126" s="13"/>
      <c r="G126" s="11"/>
      <c r="H126" s="14"/>
    </row>
    <row r="127">
      <c r="A127" s="7">
        <v>1069.0</v>
      </c>
      <c r="B127" s="8" t="s">
        <v>8</v>
      </c>
      <c r="C127" s="13"/>
      <c r="F127" s="13"/>
      <c r="G127" s="11"/>
      <c r="H127" s="14"/>
    </row>
    <row r="128">
      <c r="A128" s="7">
        <v>1083.0</v>
      </c>
      <c r="B128" s="8" t="s">
        <v>8</v>
      </c>
      <c r="C128" s="13"/>
      <c r="F128" s="13"/>
      <c r="G128" s="11"/>
      <c r="H128" s="14"/>
    </row>
    <row r="129">
      <c r="A129" s="7">
        <v>1089.0</v>
      </c>
      <c r="B129" s="8" t="s">
        <v>8</v>
      </c>
      <c r="C129" s="10">
        <v>5957.68</v>
      </c>
      <c r="D129" s="8" t="s">
        <v>28</v>
      </c>
      <c r="E129" s="8" t="s">
        <v>54</v>
      </c>
      <c r="F129" s="10">
        <v>2.3</v>
      </c>
      <c r="G129" s="15" t="s">
        <v>23</v>
      </c>
      <c r="H129" s="12" t="s">
        <v>55</v>
      </c>
    </row>
    <row r="130">
      <c r="A130" s="7">
        <v>1099.0</v>
      </c>
      <c r="B130" s="8" t="s">
        <v>8</v>
      </c>
      <c r="C130" s="13"/>
      <c r="F130" s="13"/>
      <c r="G130" s="11"/>
      <c r="H130" s="14"/>
    </row>
    <row r="131">
      <c r="A131" s="7">
        <v>1106.0</v>
      </c>
      <c r="B131" s="8" t="s">
        <v>8</v>
      </c>
      <c r="C131" s="10">
        <v>5979.16</v>
      </c>
      <c r="D131" s="8" t="s">
        <v>28</v>
      </c>
      <c r="E131" s="8" t="s">
        <v>56</v>
      </c>
      <c r="F131" s="10">
        <v>4.7</v>
      </c>
      <c r="G131" s="15">
        <v>101.0</v>
      </c>
      <c r="H131" s="12" t="s">
        <v>57</v>
      </c>
    </row>
    <row r="132">
      <c r="A132" s="7">
        <v>1115.0</v>
      </c>
      <c r="B132" s="8" t="s">
        <v>8</v>
      </c>
      <c r="C132" s="13"/>
      <c r="F132" s="13"/>
      <c r="G132" s="11"/>
      <c r="H132" s="14"/>
    </row>
    <row r="133">
      <c r="A133" s="7">
        <v>1123.0</v>
      </c>
      <c r="B133" s="8" t="s">
        <v>8</v>
      </c>
      <c r="C133" s="13"/>
      <c r="F133" s="13"/>
      <c r="G133" s="11"/>
      <c r="H133" s="14"/>
    </row>
    <row r="134">
      <c r="A134" s="7">
        <v>1127.0</v>
      </c>
      <c r="B134" s="8" t="s">
        <v>8</v>
      </c>
      <c r="C134" s="13"/>
      <c r="F134" s="13"/>
      <c r="G134" s="11"/>
      <c r="H134" s="14"/>
    </row>
    <row r="135">
      <c r="A135" s="7">
        <v>1135.0</v>
      </c>
      <c r="B135" s="8" t="s">
        <v>8</v>
      </c>
      <c r="C135" s="13"/>
      <c r="F135" s="13"/>
      <c r="G135" s="11"/>
      <c r="H135" s="14"/>
    </row>
    <row r="136">
      <c r="A136" s="7">
        <v>1149.0</v>
      </c>
      <c r="B136" s="8" t="s">
        <v>8</v>
      </c>
      <c r="C136" s="13"/>
      <c r="F136" s="13"/>
      <c r="G136" s="11"/>
      <c r="H136" s="14"/>
    </row>
    <row r="137">
      <c r="A137" s="7">
        <v>1152.0</v>
      </c>
      <c r="B137" s="8" t="s">
        <v>8</v>
      </c>
      <c r="C137" s="13"/>
      <c r="F137" s="13"/>
      <c r="G137" s="11"/>
      <c r="H137" s="14"/>
    </row>
    <row r="138">
      <c r="A138" s="7">
        <v>1160.0</v>
      </c>
      <c r="B138" s="8" t="s">
        <v>8</v>
      </c>
      <c r="C138" s="10">
        <v>6046.4</v>
      </c>
      <c r="D138" s="8" t="s">
        <v>58</v>
      </c>
      <c r="E138" s="8" t="s">
        <v>59</v>
      </c>
      <c r="F138" s="10">
        <v>2.3</v>
      </c>
      <c r="G138" s="15" t="s">
        <v>23</v>
      </c>
      <c r="H138" s="12" t="s">
        <v>60</v>
      </c>
    </row>
    <row r="139">
      <c r="A139" s="7">
        <v>1171.0</v>
      </c>
      <c r="B139" s="8" t="s">
        <v>8</v>
      </c>
      <c r="C139" s="13"/>
      <c r="F139" s="13"/>
      <c r="G139" s="11"/>
      <c r="H139" s="14"/>
    </row>
    <row r="140">
      <c r="A140" s="7">
        <v>1178.0</v>
      </c>
      <c r="B140" s="8" t="s">
        <v>8</v>
      </c>
      <c r="C140" s="13"/>
      <c r="F140" s="13"/>
      <c r="G140" s="11"/>
      <c r="H140" s="14"/>
    </row>
    <row r="141">
      <c r="A141" s="7">
        <v>1181.0</v>
      </c>
      <c r="B141" s="8" t="s">
        <v>8</v>
      </c>
      <c r="C141" s="13"/>
      <c r="F141" s="13"/>
      <c r="G141" s="11"/>
      <c r="H141" s="14"/>
    </row>
    <row r="142">
      <c r="A142" s="7">
        <v>1190.0</v>
      </c>
      <c r="B142" s="8" t="s">
        <v>8</v>
      </c>
      <c r="C142" s="13"/>
      <c r="F142" s="13"/>
      <c r="G142" s="11"/>
      <c r="H142" s="14"/>
    </row>
    <row r="143">
      <c r="A143" s="7">
        <v>1204.0</v>
      </c>
      <c r="B143" s="8" t="s">
        <v>13</v>
      </c>
      <c r="C143" s="10">
        <v>6101.81</v>
      </c>
      <c r="D143" s="8" t="s">
        <v>14</v>
      </c>
      <c r="E143" s="8" t="s">
        <v>61</v>
      </c>
      <c r="F143" s="10">
        <v>4.2</v>
      </c>
      <c r="G143" s="11"/>
      <c r="H143" s="14"/>
    </row>
    <row r="144">
      <c r="A144" s="7">
        <v>1211.0</v>
      </c>
      <c r="B144" s="8" t="s">
        <v>8</v>
      </c>
      <c r="C144" s="13"/>
      <c r="F144" s="13"/>
      <c r="G144" s="11"/>
      <c r="H144" s="14"/>
    </row>
    <row r="145">
      <c r="A145" s="7">
        <v>1217.0</v>
      </c>
      <c r="B145" s="8" t="s">
        <v>8</v>
      </c>
      <c r="C145" s="13"/>
      <c r="F145" s="13"/>
      <c r="G145" s="11"/>
      <c r="H145" s="14"/>
    </row>
    <row r="146">
      <c r="A146" s="7">
        <v>1223.0</v>
      </c>
      <c r="B146" s="8" t="s">
        <v>8</v>
      </c>
      <c r="C146" s="13"/>
      <c r="F146" s="13"/>
      <c r="G146" s="11"/>
      <c r="H146" s="14"/>
    </row>
    <row r="147">
      <c r="A147" s="7">
        <v>1227.0</v>
      </c>
      <c r="B147" s="8" t="s">
        <v>8</v>
      </c>
      <c r="C147" s="13"/>
      <c r="F147" s="13"/>
      <c r="G147" s="11"/>
      <c r="H147" s="14"/>
    </row>
    <row r="148">
      <c r="A148" s="7">
        <v>1235.0</v>
      </c>
      <c r="B148" s="8" t="s">
        <v>8</v>
      </c>
      <c r="C148" s="13"/>
      <c r="F148" s="13"/>
      <c r="G148" s="11"/>
      <c r="H148" s="14"/>
    </row>
    <row r="149">
      <c r="A149" s="7">
        <v>1238.0</v>
      </c>
      <c r="B149" s="8" t="s">
        <v>8</v>
      </c>
      <c r="C149" s="13"/>
      <c r="F149" s="13"/>
      <c r="G149" s="11"/>
      <c r="H149" s="14"/>
    </row>
    <row r="150">
      <c r="A150" s="7">
        <v>1245.0</v>
      </c>
      <c r="B150" s="8" t="s">
        <v>8</v>
      </c>
      <c r="C150" s="13"/>
      <c r="F150" s="13"/>
      <c r="G150" s="11"/>
      <c r="H150" s="14"/>
    </row>
    <row r="151">
      <c r="A151" s="7">
        <v>1256.0</v>
      </c>
      <c r="B151" s="8" t="s">
        <v>8</v>
      </c>
      <c r="C151" s="13"/>
      <c r="F151" s="13"/>
      <c r="G151" s="11"/>
      <c r="H151" s="14"/>
    </row>
    <row r="152">
      <c r="A152" s="7">
        <v>1268.0</v>
      </c>
      <c r="B152" s="8" t="s">
        <v>8</v>
      </c>
      <c r="C152" s="10">
        <v>6180.27</v>
      </c>
      <c r="D152" s="8" t="s">
        <v>62</v>
      </c>
      <c r="E152" s="8" t="s">
        <v>63</v>
      </c>
      <c r="F152" s="10">
        <v>0.9</v>
      </c>
      <c r="G152" s="11"/>
      <c r="H152" s="12" t="s">
        <v>64</v>
      </c>
    </row>
    <row r="153">
      <c r="A153" s="7">
        <v>1282.0</v>
      </c>
      <c r="B153" s="8" t="s">
        <v>8</v>
      </c>
      <c r="C153" s="13"/>
      <c r="F153" s="13"/>
      <c r="G153" s="11"/>
      <c r="H153" s="14"/>
    </row>
    <row r="154">
      <c r="A154" s="7">
        <v>1285.0</v>
      </c>
      <c r="B154" s="8" t="s">
        <v>8</v>
      </c>
      <c r="C154" s="13"/>
      <c r="F154" s="13"/>
      <c r="G154" s="11"/>
      <c r="H154" s="14"/>
    </row>
    <row r="155">
      <c r="A155" s="7">
        <v>1300.0</v>
      </c>
      <c r="B155" s="8" t="s">
        <v>8</v>
      </c>
      <c r="C155" s="10">
        <v>6220.43</v>
      </c>
      <c r="D155" s="8" t="s">
        <v>62</v>
      </c>
      <c r="E155" s="8" t="s">
        <v>63</v>
      </c>
      <c r="F155" s="10">
        <v>2.4</v>
      </c>
      <c r="G155" s="15" t="s">
        <v>65</v>
      </c>
      <c r="H155" s="12" t="s">
        <v>66</v>
      </c>
    </row>
    <row r="156">
      <c r="A156" s="7">
        <v>1312.0</v>
      </c>
      <c r="B156" s="8" t="s">
        <v>8</v>
      </c>
      <c r="C156" s="10">
        <v>6236.34</v>
      </c>
      <c r="D156" s="8" t="s">
        <v>67</v>
      </c>
      <c r="E156" s="8" t="s">
        <v>63</v>
      </c>
      <c r="F156" s="10">
        <v>1.2</v>
      </c>
      <c r="G156" s="15" t="s">
        <v>65</v>
      </c>
      <c r="H156" s="12" t="s">
        <v>68</v>
      </c>
    </row>
    <row r="157">
      <c r="A157" s="7">
        <v>1322.0</v>
      </c>
      <c r="B157" s="8" t="s">
        <v>8</v>
      </c>
      <c r="C157" s="10">
        <v>6246.55</v>
      </c>
      <c r="D157" s="8" t="s">
        <v>67</v>
      </c>
      <c r="E157" s="8" t="s">
        <v>63</v>
      </c>
      <c r="F157" s="10">
        <v>0.3</v>
      </c>
      <c r="G157" s="15" t="s">
        <v>65</v>
      </c>
      <c r="H157" s="12" t="s">
        <v>69</v>
      </c>
    </row>
    <row r="158">
      <c r="A158" s="7">
        <v>1332.0</v>
      </c>
      <c r="B158" s="8" t="s">
        <v>8</v>
      </c>
      <c r="C158" s="10">
        <v>6260.8</v>
      </c>
      <c r="D158" s="8" t="s">
        <v>67</v>
      </c>
      <c r="E158" s="8" t="s">
        <v>63</v>
      </c>
      <c r="F158" s="10">
        <v>0.4</v>
      </c>
      <c r="G158" s="15" t="s">
        <v>65</v>
      </c>
      <c r="H158" s="12" t="s">
        <v>70</v>
      </c>
    </row>
    <row r="159">
      <c r="A159" s="7">
        <v>1339.0</v>
      </c>
      <c r="B159" s="8" t="s">
        <v>8</v>
      </c>
      <c r="C159" s="10">
        <v>6270.59</v>
      </c>
      <c r="D159" s="8" t="s">
        <v>62</v>
      </c>
      <c r="E159" s="8" t="s">
        <v>63</v>
      </c>
      <c r="F159" s="10">
        <v>2.7</v>
      </c>
      <c r="G159" s="15" t="s">
        <v>23</v>
      </c>
      <c r="H159" s="12" t="s">
        <v>71</v>
      </c>
    </row>
    <row r="160">
      <c r="A160" s="7">
        <v>1350.0</v>
      </c>
      <c r="B160" s="8" t="s">
        <v>8</v>
      </c>
      <c r="C160" s="13"/>
      <c r="F160" s="13"/>
      <c r="G160" s="11"/>
      <c r="H160" s="14"/>
    </row>
    <row r="161">
      <c r="A161" s="7">
        <v>1363.0</v>
      </c>
      <c r="B161" s="8" t="s">
        <v>8</v>
      </c>
      <c r="C161" s="10">
        <v>6300.38</v>
      </c>
      <c r="D161" s="8" t="s">
        <v>51</v>
      </c>
      <c r="E161" s="8" t="s">
        <v>72</v>
      </c>
      <c r="F161" s="10">
        <v>70.0</v>
      </c>
      <c r="G161" s="11"/>
      <c r="H161" s="14"/>
    </row>
    <row r="162">
      <c r="A162" s="7">
        <v>1372.0</v>
      </c>
      <c r="B162" s="8" t="s">
        <v>8</v>
      </c>
      <c r="C162" s="10">
        <v>6311.9</v>
      </c>
      <c r="D162" s="8" t="s">
        <v>18</v>
      </c>
      <c r="E162" s="8" t="s">
        <v>73</v>
      </c>
      <c r="F162" s="10">
        <v>26.0</v>
      </c>
      <c r="G162" s="11"/>
      <c r="H162" s="14"/>
    </row>
    <row r="163">
      <c r="A163" s="7">
        <v>1378.0</v>
      </c>
      <c r="B163" s="8" t="s">
        <v>8</v>
      </c>
      <c r="C163" s="13"/>
      <c r="F163" s="13"/>
      <c r="G163" s="11"/>
      <c r="H163" s="14"/>
    </row>
    <row r="164">
      <c r="A164" s="7">
        <v>1384.0</v>
      </c>
      <c r="B164" s="8" t="s">
        <v>8</v>
      </c>
      <c r="F164" s="13"/>
      <c r="G164" s="11"/>
      <c r="H164" s="14"/>
    </row>
    <row r="165">
      <c r="A165" s="7">
        <v>1388.0</v>
      </c>
      <c r="B165" s="8" t="s">
        <v>8</v>
      </c>
      <c r="C165" s="13"/>
      <c r="F165" s="13"/>
      <c r="G165" s="11"/>
      <c r="H165" s="14"/>
    </row>
    <row r="166">
      <c r="A166" s="7">
        <v>1401.0</v>
      </c>
      <c r="B166" s="8" t="s">
        <v>8</v>
      </c>
      <c r="C166" s="10">
        <v>6347.15</v>
      </c>
      <c r="D166" s="8" t="s">
        <v>28</v>
      </c>
      <c r="E166" s="8" t="s">
        <v>74</v>
      </c>
      <c r="F166" s="10">
        <v>5.2</v>
      </c>
      <c r="G166" s="15">
        <v>11.0</v>
      </c>
      <c r="H166" s="12" t="s">
        <v>75</v>
      </c>
    </row>
    <row r="167">
      <c r="A167" s="7">
        <v>1414.0</v>
      </c>
      <c r="B167" s="8" t="s">
        <v>8</v>
      </c>
      <c r="C167" s="10">
        <v>6363.86</v>
      </c>
      <c r="D167" s="8" t="s">
        <v>51</v>
      </c>
      <c r="E167" s="8" t="s">
        <v>76</v>
      </c>
      <c r="F167" s="10">
        <v>24.0</v>
      </c>
      <c r="G167" s="11"/>
      <c r="H167" s="14"/>
    </row>
    <row r="168">
      <c r="A168" s="7">
        <v>1420.0</v>
      </c>
      <c r="B168" s="8" t="s">
        <v>8</v>
      </c>
      <c r="C168" s="10">
        <v>6371.35</v>
      </c>
      <c r="D168" s="8" t="s">
        <v>28</v>
      </c>
      <c r="E168" s="8" t="s">
        <v>77</v>
      </c>
      <c r="F168" s="10">
        <v>1.4</v>
      </c>
      <c r="G168" s="15">
        <v>101.0</v>
      </c>
      <c r="H168" s="12" t="s">
        <v>78</v>
      </c>
    </row>
    <row r="169">
      <c r="A169" s="7">
        <v>1429.0</v>
      </c>
      <c r="B169" s="8" t="s">
        <v>8</v>
      </c>
      <c r="C169" s="13"/>
      <c r="F169" s="13"/>
      <c r="G169" s="11"/>
      <c r="H169" s="14"/>
    </row>
    <row r="170">
      <c r="A170" s="7">
        <v>1441.0</v>
      </c>
      <c r="B170" s="8" t="s">
        <v>8</v>
      </c>
      <c r="C170" s="13"/>
      <c r="F170" s="13"/>
      <c r="G170" s="11"/>
      <c r="H170" s="14"/>
    </row>
    <row r="171">
      <c r="A171" s="7">
        <v>1446.0</v>
      </c>
      <c r="B171" s="8" t="s">
        <v>8</v>
      </c>
      <c r="C171" s="13"/>
      <c r="F171" s="13"/>
      <c r="G171" s="11"/>
      <c r="H171" s="14"/>
    </row>
    <row r="172">
      <c r="A172" s="7">
        <v>1455.0</v>
      </c>
      <c r="B172" s="8" t="s">
        <v>8</v>
      </c>
      <c r="C172" s="13"/>
      <c r="F172" s="13"/>
      <c r="G172" s="11"/>
      <c r="H172" s="14"/>
    </row>
    <row r="173">
      <c r="A173" s="7">
        <v>1458.0</v>
      </c>
      <c r="B173" s="8" t="s">
        <v>8</v>
      </c>
      <c r="C173" s="13"/>
      <c r="F173" s="13"/>
      <c r="G173" s="11"/>
      <c r="H173" s="14"/>
    </row>
    <row r="174">
      <c r="A174" s="7">
        <v>1463.0</v>
      </c>
      <c r="B174" s="8" t="s">
        <v>8</v>
      </c>
      <c r="C174" s="13"/>
      <c r="F174" s="13"/>
      <c r="G174" s="11"/>
      <c r="H174" s="14"/>
    </row>
    <row r="175">
      <c r="A175" s="7">
        <v>1470.0</v>
      </c>
      <c r="B175" s="8" t="s">
        <v>8</v>
      </c>
      <c r="C175" s="10">
        <v>6433.9</v>
      </c>
      <c r="D175" s="8" t="s">
        <v>67</v>
      </c>
      <c r="E175" s="8" t="s">
        <v>63</v>
      </c>
      <c r="F175" s="10">
        <v>1.2</v>
      </c>
      <c r="G175" s="11"/>
      <c r="H175" s="14"/>
    </row>
    <row r="176">
      <c r="A176" s="7">
        <v>1484.0</v>
      </c>
      <c r="B176" s="8" t="s">
        <v>8</v>
      </c>
      <c r="C176" s="10">
        <v>6451.0</v>
      </c>
      <c r="D176" s="8" t="s">
        <v>79</v>
      </c>
      <c r="E176" s="8" t="s">
        <v>63</v>
      </c>
      <c r="F176" s="10">
        <v>1.7</v>
      </c>
      <c r="G176" s="11"/>
      <c r="H176" s="12" t="s">
        <v>80</v>
      </c>
    </row>
    <row r="177">
      <c r="A177" s="7">
        <v>1490.0</v>
      </c>
      <c r="B177" s="8" t="s">
        <v>8</v>
      </c>
      <c r="C177" s="10">
        <v>6459.4</v>
      </c>
      <c r="D177" s="8" t="s">
        <v>67</v>
      </c>
      <c r="E177" s="8" t="s">
        <v>63</v>
      </c>
      <c r="F177" s="10">
        <v>1.0</v>
      </c>
      <c r="G177" s="11"/>
      <c r="H177" s="14"/>
    </row>
    <row r="178">
      <c r="A178" s="7">
        <v>1498.0</v>
      </c>
      <c r="B178" s="8" t="s">
        <v>8</v>
      </c>
      <c r="C178" s="10">
        <v>6467.88</v>
      </c>
      <c r="D178" s="8" t="s">
        <v>79</v>
      </c>
      <c r="E178" s="8" t="s">
        <v>63</v>
      </c>
      <c r="F178" s="10">
        <v>1.2</v>
      </c>
      <c r="G178" s="11"/>
      <c r="H178" s="12" t="s">
        <v>81</v>
      </c>
    </row>
    <row r="179">
      <c r="A179" s="7">
        <v>1512.0</v>
      </c>
      <c r="B179" s="8" t="s">
        <v>8</v>
      </c>
      <c r="C179" s="10">
        <v>6486.05</v>
      </c>
      <c r="D179" s="8" t="s">
        <v>67</v>
      </c>
      <c r="E179" s="8" t="s">
        <v>63</v>
      </c>
      <c r="F179" s="10">
        <v>1.1</v>
      </c>
      <c r="G179" s="11"/>
      <c r="H179" s="14"/>
    </row>
    <row r="180">
      <c r="A180" s="18">
        <v>1521.0</v>
      </c>
      <c r="B180" s="8" t="s">
        <v>82</v>
      </c>
      <c r="C180" s="10"/>
      <c r="D180" s="8" t="s">
        <v>83</v>
      </c>
      <c r="E180" s="8" t="s">
        <v>84</v>
      </c>
      <c r="F180" s="10"/>
      <c r="G180" s="15"/>
      <c r="H180" s="12" t="s">
        <v>85</v>
      </c>
    </row>
    <row r="181">
      <c r="A181" s="7">
        <v>1524.0</v>
      </c>
      <c r="B181" s="8" t="s">
        <v>8</v>
      </c>
      <c r="C181" s="10">
        <v>6501.82</v>
      </c>
      <c r="D181" s="8" t="s">
        <v>67</v>
      </c>
      <c r="E181" s="8" t="s">
        <v>63</v>
      </c>
      <c r="F181" s="10">
        <v>2.0</v>
      </c>
      <c r="G181" s="15">
        <v>11.0</v>
      </c>
      <c r="H181" s="14"/>
    </row>
    <row r="182">
      <c r="A182" s="7">
        <v>1537.0</v>
      </c>
      <c r="B182" s="8" t="s">
        <v>8</v>
      </c>
      <c r="C182" s="13"/>
      <c r="F182" s="13"/>
      <c r="G182" s="11"/>
      <c r="H182" s="14"/>
    </row>
    <row r="183">
      <c r="A183" s="7">
        <v>1547.0</v>
      </c>
      <c r="B183" s="8" t="s">
        <v>8</v>
      </c>
      <c r="C183" s="10">
        <v>6529.5</v>
      </c>
      <c r="D183" s="16" t="s">
        <v>86</v>
      </c>
      <c r="E183" s="8" t="s">
        <v>63</v>
      </c>
      <c r="F183" s="10">
        <v>1.4</v>
      </c>
      <c r="G183" s="15" t="s">
        <v>30</v>
      </c>
      <c r="H183" s="14"/>
    </row>
    <row r="184">
      <c r="A184" s="7">
        <v>1561.0</v>
      </c>
      <c r="B184" s="8" t="s">
        <v>8</v>
      </c>
      <c r="C184" s="10">
        <v>6548.07</v>
      </c>
      <c r="D184" s="8" t="s">
        <v>51</v>
      </c>
      <c r="E184" s="8" t="s">
        <v>87</v>
      </c>
      <c r="F184" s="10">
        <v>66.0</v>
      </c>
      <c r="G184" s="11"/>
      <c r="H184" s="14"/>
    </row>
    <row r="185">
      <c r="A185" s="7">
        <v>1573.0</v>
      </c>
      <c r="B185" s="8" t="s">
        <v>8</v>
      </c>
      <c r="C185" s="10">
        <v>6562.62</v>
      </c>
      <c r="D185" s="8" t="s">
        <v>18</v>
      </c>
      <c r="E185" s="8" t="s">
        <v>88</v>
      </c>
      <c r="F185" s="10">
        <v>8200.0</v>
      </c>
      <c r="G185" s="11"/>
      <c r="H185" s="14"/>
    </row>
    <row r="186">
      <c r="A186" s="7">
        <v>1590.0</v>
      </c>
      <c r="B186" s="8" t="s">
        <v>8</v>
      </c>
      <c r="C186" s="10">
        <v>6583.33</v>
      </c>
      <c r="D186" s="8" t="s">
        <v>51</v>
      </c>
      <c r="E186" s="8" t="s">
        <v>89</v>
      </c>
      <c r="F186" s="10">
        <v>230.0</v>
      </c>
      <c r="G186" s="11"/>
      <c r="H186" s="14"/>
    </row>
    <row r="187">
      <c r="A187" s="7">
        <v>1603.0</v>
      </c>
      <c r="B187" s="8" t="s">
        <v>8</v>
      </c>
      <c r="C187" s="10">
        <v>6601.28</v>
      </c>
      <c r="D187" s="8" t="s">
        <v>79</v>
      </c>
      <c r="E187" s="8" t="s">
        <v>63</v>
      </c>
      <c r="F187" s="10">
        <v>0.9</v>
      </c>
      <c r="G187" s="15" t="s">
        <v>30</v>
      </c>
      <c r="H187" s="12" t="s">
        <v>90</v>
      </c>
    </row>
    <row r="188">
      <c r="A188" s="7">
        <v>1616.0</v>
      </c>
      <c r="B188" s="8" t="s">
        <v>8</v>
      </c>
      <c r="C188" s="10">
        <v>6615.11</v>
      </c>
      <c r="D188" s="8" t="s">
        <v>91</v>
      </c>
      <c r="E188" s="8" t="s">
        <v>63</v>
      </c>
      <c r="F188" s="10">
        <v>0.4</v>
      </c>
      <c r="G188" s="15" t="s">
        <v>65</v>
      </c>
      <c r="H188" s="12" t="s">
        <v>92</v>
      </c>
    </row>
    <row r="189">
      <c r="A189" s="7">
        <v>1626.0</v>
      </c>
      <c r="B189" s="8" t="s">
        <v>8</v>
      </c>
      <c r="C189" s="10">
        <v>6628.89</v>
      </c>
      <c r="D189" s="8" t="s">
        <v>67</v>
      </c>
      <c r="E189" s="8" t="s">
        <v>63</v>
      </c>
      <c r="F189" s="10">
        <v>2.1</v>
      </c>
      <c r="G189" s="15" t="s">
        <v>93</v>
      </c>
      <c r="H189" s="12" t="s">
        <v>94</v>
      </c>
    </row>
    <row r="190">
      <c r="A190" s="7">
        <v>1632.0</v>
      </c>
      <c r="B190" s="8" t="s">
        <v>8</v>
      </c>
      <c r="C190" s="10">
        <v>6636.78</v>
      </c>
      <c r="D190" s="8" t="s">
        <v>67</v>
      </c>
      <c r="E190" s="8" t="s">
        <v>63</v>
      </c>
      <c r="F190" s="10">
        <v>1.6</v>
      </c>
      <c r="G190" s="15" t="s">
        <v>65</v>
      </c>
      <c r="H190" s="12" t="s">
        <v>95</v>
      </c>
    </row>
    <row r="191">
      <c r="A191" s="7">
        <v>1640.0</v>
      </c>
      <c r="B191" s="8" t="s">
        <v>8</v>
      </c>
      <c r="C191" s="10">
        <v>6645.63</v>
      </c>
      <c r="D191" s="8" t="s">
        <v>67</v>
      </c>
      <c r="E191" s="8" t="s">
        <v>63</v>
      </c>
      <c r="F191" s="10">
        <v>1.3</v>
      </c>
      <c r="G191" s="15" t="s">
        <v>65</v>
      </c>
      <c r="H191" s="14"/>
    </row>
    <row r="192">
      <c r="A192" s="7">
        <v>1648.0</v>
      </c>
      <c r="B192" s="8" t="s">
        <v>8</v>
      </c>
      <c r="C192" s="10">
        <v>6655.67</v>
      </c>
      <c r="D192" s="8" t="s">
        <v>67</v>
      </c>
      <c r="E192" s="8" t="s">
        <v>63</v>
      </c>
      <c r="F192" s="10">
        <v>0.7</v>
      </c>
      <c r="G192" s="15">
        <v>11.0</v>
      </c>
      <c r="H192" s="14"/>
    </row>
    <row r="193">
      <c r="A193" s="7">
        <v>1651.0</v>
      </c>
      <c r="B193" s="8" t="s">
        <v>8</v>
      </c>
      <c r="C193" s="13"/>
      <c r="D193" s="8" t="s">
        <v>45</v>
      </c>
      <c r="E193" s="17"/>
      <c r="F193" s="13"/>
      <c r="G193" s="11"/>
      <c r="H193" s="14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7">
        <v>1657.0</v>
      </c>
      <c r="B194" s="8" t="s">
        <v>8</v>
      </c>
      <c r="C194" s="10">
        <v>6667.62</v>
      </c>
      <c r="D194" s="8" t="s">
        <v>10</v>
      </c>
      <c r="E194" s="8" t="s">
        <v>96</v>
      </c>
      <c r="F194" s="10">
        <v>0.5</v>
      </c>
      <c r="G194" s="15" t="s">
        <v>30</v>
      </c>
      <c r="H194" s="12" t="s">
        <v>97</v>
      </c>
    </row>
    <row r="195">
      <c r="A195" s="7">
        <v>1665.0</v>
      </c>
      <c r="B195" s="8" t="s">
        <v>8</v>
      </c>
      <c r="C195" s="10">
        <v>6677.94</v>
      </c>
      <c r="D195" s="8" t="s">
        <v>18</v>
      </c>
      <c r="E195" s="8" t="s">
        <v>98</v>
      </c>
      <c r="F195" s="10">
        <v>78.0</v>
      </c>
      <c r="G195" s="11"/>
      <c r="H195" s="14"/>
    </row>
    <row r="196">
      <c r="A196" s="7">
        <v>1677.0</v>
      </c>
      <c r="B196" s="8" t="s">
        <v>8</v>
      </c>
      <c r="C196" s="13"/>
      <c r="D196" s="8" t="s">
        <v>45</v>
      </c>
      <c r="E196" s="17"/>
      <c r="F196" s="13"/>
      <c r="G196" s="11"/>
      <c r="H196" s="14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7">
        <v>1682.0</v>
      </c>
      <c r="B197" s="8" t="s">
        <v>8</v>
      </c>
      <c r="C197" s="19">
        <v>6699.06</v>
      </c>
      <c r="D197" s="8" t="s">
        <v>67</v>
      </c>
      <c r="E197" s="8" t="s">
        <v>63</v>
      </c>
      <c r="F197" s="10">
        <v>0.9</v>
      </c>
      <c r="G197" s="15">
        <v>11.0</v>
      </c>
      <c r="H197" s="12" t="s">
        <v>99</v>
      </c>
    </row>
    <row r="198">
      <c r="A198" s="7">
        <v>1692.0</v>
      </c>
      <c r="B198" s="8" t="s">
        <v>8</v>
      </c>
      <c r="C198" s="10">
        <v>6710.69</v>
      </c>
      <c r="F198" s="13"/>
      <c r="G198" s="11"/>
      <c r="H198" s="12" t="s">
        <v>100</v>
      </c>
    </row>
    <row r="199">
      <c r="A199" s="7">
        <v>1696.0</v>
      </c>
      <c r="B199" s="8" t="s">
        <v>8</v>
      </c>
      <c r="C199" s="10">
        <v>6716.47</v>
      </c>
      <c r="D199" s="8" t="s">
        <v>51</v>
      </c>
      <c r="E199" s="8" t="s">
        <v>101</v>
      </c>
      <c r="F199" s="10">
        <v>385.0</v>
      </c>
      <c r="G199" s="11"/>
      <c r="H199" s="14"/>
    </row>
    <row r="200">
      <c r="A200" s="7">
        <v>1708.0</v>
      </c>
      <c r="B200" s="8" t="s">
        <v>8</v>
      </c>
      <c r="C200" s="10">
        <v>6730.74</v>
      </c>
      <c r="D200" s="8" t="s">
        <v>51</v>
      </c>
      <c r="E200" s="8" t="s">
        <v>102</v>
      </c>
      <c r="F200" s="10">
        <v>286.0</v>
      </c>
      <c r="G200" s="11"/>
      <c r="H200" s="14"/>
    </row>
    <row r="201">
      <c r="A201" s="7">
        <v>1720.0</v>
      </c>
      <c r="B201" s="8" t="s">
        <v>8</v>
      </c>
      <c r="C201" s="13"/>
      <c r="D201" s="8" t="s">
        <v>45</v>
      </c>
      <c r="E201" s="17"/>
      <c r="F201" s="13"/>
      <c r="G201" s="11"/>
      <c r="H201" s="14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7">
        <v>1726.0</v>
      </c>
      <c r="B202" s="8" t="s">
        <v>8</v>
      </c>
      <c r="C202" s="13"/>
      <c r="D202" s="8" t="s">
        <v>45</v>
      </c>
      <c r="E202" s="17"/>
      <c r="F202" s="13"/>
      <c r="G202" s="11"/>
      <c r="H202" s="14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7">
        <v>1736.0</v>
      </c>
      <c r="B203" s="8" t="s">
        <v>8</v>
      </c>
      <c r="C203" s="13"/>
      <c r="D203" s="8" t="s">
        <v>45</v>
      </c>
      <c r="E203" s="17"/>
      <c r="F203" s="13"/>
      <c r="G203" s="11"/>
      <c r="H203" s="14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7">
        <v>1744.0</v>
      </c>
      <c r="B204" s="8" t="s">
        <v>8</v>
      </c>
      <c r="C204" s="10">
        <v>6776.88</v>
      </c>
      <c r="D204" s="8" t="s">
        <v>62</v>
      </c>
      <c r="E204" s="8" t="s">
        <v>63</v>
      </c>
      <c r="F204" s="10">
        <v>2.3</v>
      </c>
      <c r="G204" s="15">
        <v>11.0</v>
      </c>
      <c r="H204" s="14"/>
    </row>
    <row r="205">
      <c r="A205" s="7">
        <v>1756.0</v>
      </c>
      <c r="B205" s="8" t="s">
        <v>8</v>
      </c>
      <c r="C205" s="13"/>
      <c r="F205" s="13"/>
      <c r="G205" s="11"/>
      <c r="H205" s="14"/>
    </row>
    <row r="206">
      <c r="A206" s="7">
        <v>1759.0</v>
      </c>
      <c r="B206" s="8" t="s">
        <v>8</v>
      </c>
      <c r="C206" s="13"/>
      <c r="F206" s="13"/>
      <c r="G206" s="11"/>
      <c r="H206" s="14"/>
    </row>
    <row r="207">
      <c r="A207" s="7">
        <v>1770.0</v>
      </c>
      <c r="B207" s="8" t="s">
        <v>8</v>
      </c>
      <c r="C207" s="13"/>
      <c r="F207" s="13"/>
      <c r="G207" s="11"/>
      <c r="H207" s="14"/>
    </row>
    <row r="208">
      <c r="A208" s="7">
        <v>1777.0</v>
      </c>
      <c r="B208" s="8" t="s">
        <v>8</v>
      </c>
      <c r="C208" s="13"/>
      <c r="F208" s="13"/>
      <c r="G208" s="11"/>
      <c r="H208" s="14"/>
    </row>
    <row r="209">
      <c r="A209" s="7">
        <v>1784.0</v>
      </c>
      <c r="B209" s="8" t="s">
        <v>8</v>
      </c>
      <c r="C209" s="13"/>
      <c r="D209" s="8" t="s">
        <v>83</v>
      </c>
      <c r="E209" s="8" t="s">
        <v>103</v>
      </c>
      <c r="F209" s="13"/>
      <c r="G209" s="11"/>
      <c r="H209" s="12" t="s">
        <v>104</v>
      </c>
    </row>
    <row r="210">
      <c r="A210" s="7">
        <v>1787.0</v>
      </c>
      <c r="B210" s="8" t="s">
        <v>8</v>
      </c>
      <c r="C210" s="13"/>
      <c r="D210" s="8" t="s">
        <v>83</v>
      </c>
      <c r="E210" s="8" t="s">
        <v>105</v>
      </c>
      <c r="F210" s="13"/>
      <c r="G210" s="11"/>
      <c r="H210" s="14"/>
    </row>
    <row r="211">
      <c r="A211" s="7">
        <v>1794.0</v>
      </c>
      <c r="B211" s="8" t="s">
        <v>8</v>
      </c>
      <c r="C211" s="13"/>
      <c r="F211" s="13"/>
      <c r="G211" s="11"/>
      <c r="H211" s="14"/>
    </row>
    <row r="212">
      <c r="A212" s="7">
        <v>1801.0</v>
      </c>
      <c r="B212" s="8" t="s">
        <v>8</v>
      </c>
      <c r="C212" s="10">
        <v>6846.81</v>
      </c>
      <c r="D212" s="8" t="s">
        <v>67</v>
      </c>
      <c r="E212" s="8" t="s">
        <v>63</v>
      </c>
      <c r="F212" s="10">
        <v>1.4</v>
      </c>
      <c r="G212" s="15">
        <v>11.0</v>
      </c>
      <c r="H212" s="12" t="s">
        <v>106</v>
      </c>
    </row>
    <row r="213">
      <c r="A213" s="7">
        <v>1811.0</v>
      </c>
      <c r="B213" s="8" t="s">
        <v>8</v>
      </c>
      <c r="C213" s="13"/>
      <c r="D213" s="8" t="s">
        <v>83</v>
      </c>
      <c r="E213" s="8" t="s">
        <v>107</v>
      </c>
      <c r="F213" s="13"/>
      <c r="G213" s="11"/>
      <c r="H213" s="14"/>
    </row>
    <row r="214">
      <c r="A214" s="7">
        <v>1817.0</v>
      </c>
      <c r="B214" s="8" t="s">
        <v>8</v>
      </c>
      <c r="C214" s="13"/>
      <c r="D214" s="8" t="s">
        <v>108</v>
      </c>
      <c r="F214" s="13"/>
      <c r="G214" s="11"/>
      <c r="H214" s="12" t="s">
        <v>109</v>
      </c>
    </row>
    <row r="215">
      <c r="A215" s="7">
        <v>1830.0</v>
      </c>
      <c r="B215" s="8" t="s">
        <v>8</v>
      </c>
      <c r="C215" s="13"/>
      <c r="D215" s="8" t="s">
        <v>108</v>
      </c>
      <c r="F215" s="13"/>
      <c r="G215" s="11"/>
      <c r="H215" s="14"/>
    </row>
    <row r="216">
      <c r="A216" s="7">
        <v>1842.0</v>
      </c>
      <c r="B216" s="8" t="s">
        <v>8</v>
      </c>
      <c r="C216" s="13"/>
      <c r="D216" s="8" t="s">
        <v>108</v>
      </c>
      <c r="F216" s="13"/>
      <c r="G216" s="11"/>
      <c r="H216" s="14"/>
    </row>
    <row r="217">
      <c r="A217" s="7">
        <v>1850.0</v>
      </c>
      <c r="B217" s="8" t="s">
        <v>8</v>
      </c>
      <c r="C217" s="13"/>
      <c r="D217" s="8" t="s">
        <v>108</v>
      </c>
      <c r="F217" s="13"/>
      <c r="G217" s="11"/>
      <c r="H217" s="14"/>
    </row>
    <row r="218">
      <c r="A218" s="7">
        <v>1861.0</v>
      </c>
      <c r="B218" s="8" t="s">
        <v>8</v>
      </c>
      <c r="C218" s="13"/>
      <c r="D218" s="8" t="s">
        <v>108</v>
      </c>
      <c r="F218" s="13"/>
      <c r="G218" s="11"/>
      <c r="H218" s="14"/>
    </row>
    <row r="219">
      <c r="A219" s="7">
        <v>1867.0</v>
      </c>
      <c r="B219" s="8" t="s">
        <v>8</v>
      </c>
      <c r="C219" s="13"/>
      <c r="D219" s="8" t="s">
        <v>108</v>
      </c>
      <c r="F219" s="13"/>
      <c r="G219" s="11"/>
      <c r="H219" s="14"/>
    </row>
    <row r="220">
      <c r="A220" s="7">
        <v>1879.0</v>
      </c>
      <c r="B220" s="8" t="s">
        <v>8</v>
      </c>
      <c r="C220" s="13"/>
      <c r="D220" s="8" t="s">
        <v>108</v>
      </c>
      <c r="F220" s="13"/>
      <c r="G220" s="11"/>
      <c r="H220" s="14"/>
    </row>
    <row r="221">
      <c r="A221" s="7">
        <v>1882.0</v>
      </c>
      <c r="B221" s="8" t="s">
        <v>8</v>
      </c>
      <c r="C221" s="13"/>
      <c r="D221" s="8" t="s">
        <v>108</v>
      </c>
      <c r="F221" s="13"/>
      <c r="G221" s="11"/>
      <c r="H221" s="14"/>
    </row>
    <row r="222">
      <c r="A222" s="7">
        <v>1896.0</v>
      </c>
      <c r="B222" s="8" t="s">
        <v>8</v>
      </c>
      <c r="C222" s="13"/>
      <c r="D222" s="8" t="s">
        <v>108</v>
      </c>
      <c r="F222" s="13"/>
      <c r="G222" s="11"/>
      <c r="H222" s="14"/>
    </row>
    <row r="223">
      <c r="A223" s="7">
        <v>1906.0</v>
      </c>
      <c r="B223" s="8" t="s">
        <v>8</v>
      </c>
      <c r="C223" s="13"/>
      <c r="D223" s="8" t="s">
        <v>108</v>
      </c>
      <c r="F223" s="13"/>
      <c r="G223" s="11"/>
      <c r="H223" s="14"/>
    </row>
    <row r="224">
      <c r="A224" s="7">
        <v>1913.0</v>
      </c>
      <c r="B224" s="8" t="s">
        <v>8</v>
      </c>
      <c r="C224" s="10">
        <v>6987.38</v>
      </c>
      <c r="D224" s="8" t="s">
        <v>67</v>
      </c>
      <c r="E224" s="8" t="s">
        <v>63</v>
      </c>
      <c r="F224" s="10">
        <v>2.1</v>
      </c>
      <c r="G224" s="15">
        <v>11.0</v>
      </c>
      <c r="H224" s="14"/>
    </row>
    <row r="225">
      <c r="A225" s="7">
        <v>1921.0</v>
      </c>
      <c r="B225" s="8" t="s">
        <v>8</v>
      </c>
      <c r="C225" s="13"/>
      <c r="D225" s="8" t="s">
        <v>45</v>
      </c>
      <c r="E225" s="17"/>
      <c r="F225" s="13"/>
      <c r="G225" s="11"/>
      <c r="H225" s="14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7">
        <v>1925.0</v>
      </c>
      <c r="B226" s="8" t="s">
        <v>8</v>
      </c>
      <c r="C226" s="10">
        <v>7002.32</v>
      </c>
      <c r="D226" s="8" t="s">
        <v>37</v>
      </c>
      <c r="E226" s="8" t="s">
        <v>110</v>
      </c>
      <c r="F226" s="10">
        <v>1.2</v>
      </c>
      <c r="G226" s="15" t="s">
        <v>30</v>
      </c>
      <c r="H226" s="14"/>
    </row>
    <row r="227">
      <c r="A227" s="7">
        <v>1931.0</v>
      </c>
      <c r="B227" s="8" t="s">
        <v>8</v>
      </c>
      <c r="C227" s="10">
        <v>7010.02</v>
      </c>
      <c r="D227" s="8" t="s">
        <v>67</v>
      </c>
      <c r="E227" s="8" t="s">
        <v>63</v>
      </c>
      <c r="F227" s="10">
        <v>1.9</v>
      </c>
      <c r="G227" s="15" t="s">
        <v>65</v>
      </c>
      <c r="H227" s="12" t="s">
        <v>111</v>
      </c>
    </row>
    <row r="228">
      <c r="A228" s="7">
        <v>1935.0</v>
      </c>
      <c r="B228" s="8" t="s">
        <v>8</v>
      </c>
      <c r="C228" s="10">
        <v>7015.18</v>
      </c>
      <c r="D228" s="8" t="s">
        <v>67</v>
      </c>
      <c r="E228" s="8" t="s">
        <v>63</v>
      </c>
      <c r="F228" s="10">
        <v>0.4</v>
      </c>
      <c r="G228" s="15" t="s">
        <v>65</v>
      </c>
      <c r="H228" s="14"/>
    </row>
    <row r="229">
      <c r="A229" s="7">
        <v>1944.0</v>
      </c>
      <c r="B229" s="8" t="s">
        <v>8</v>
      </c>
      <c r="C229" s="10">
        <v>7025.59</v>
      </c>
      <c r="D229" s="8" t="s">
        <v>67</v>
      </c>
      <c r="E229" s="8" t="s">
        <v>63</v>
      </c>
      <c r="F229" s="10">
        <v>0.6</v>
      </c>
      <c r="G229" s="15" t="s">
        <v>93</v>
      </c>
      <c r="H229" s="14"/>
    </row>
    <row r="230">
      <c r="A230" s="7">
        <v>1954.0</v>
      </c>
      <c r="B230" s="8" t="s">
        <v>8</v>
      </c>
      <c r="C230" s="10">
        <v>7038.08</v>
      </c>
      <c r="D230" s="8" t="s">
        <v>67</v>
      </c>
      <c r="E230" s="8" t="s">
        <v>63</v>
      </c>
      <c r="F230" s="10">
        <v>1.4</v>
      </c>
      <c r="G230" s="15" t="s">
        <v>93</v>
      </c>
      <c r="H230" s="14"/>
    </row>
    <row r="231">
      <c r="A231" s="7">
        <v>1958.0</v>
      </c>
      <c r="B231" s="8" t="s">
        <v>8</v>
      </c>
      <c r="C231" s="10">
        <v>7043.21</v>
      </c>
      <c r="D231" s="8" t="s">
        <v>67</v>
      </c>
      <c r="E231" s="8" t="s">
        <v>63</v>
      </c>
      <c r="F231" s="10">
        <v>0.9</v>
      </c>
      <c r="G231" s="15" t="s">
        <v>65</v>
      </c>
      <c r="H231" s="14"/>
    </row>
    <row r="232">
      <c r="A232" s="7">
        <v>1963.0</v>
      </c>
      <c r="B232" s="8" t="s">
        <v>8</v>
      </c>
      <c r="C232" s="13"/>
      <c r="D232" s="8" t="s">
        <v>45</v>
      </c>
      <c r="E232" s="17"/>
      <c r="F232" s="13"/>
      <c r="G232" s="11"/>
      <c r="H232" s="14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7">
        <v>1969.0</v>
      </c>
      <c r="B233" s="8" t="s">
        <v>8</v>
      </c>
      <c r="C233" s="10">
        <v>7056.76</v>
      </c>
      <c r="D233" s="8" t="s">
        <v>67</v>
      </c>
      <c r="E233" s="8" t="s">
        <v>63</v>
      </c>
      <c r="F233" s="10">
        <v>1.0</v>
      </c>
      <c r="G233" s="15" t="s">
        <v>30</v>
      </c>
      <c r="H233" s="14"/>
    </row>
    <row r="234">
      <c r="A234" s="7">
        <v>1975.0</v>
      </c>
      <c r="B234" s="8" t="s">
        <v>8</v>
      </c>
      <c r="C234" s="10">
        <v>7065.11</v>
      </c>
      <c r="D234" s="8" t="s">
        <v>18</v>
      </c>
      <c r="E234" s="8" t="s">
        <v>112</v>
      </c>
      <c r="F234" s="10">
        <v>61.0</v>
      </c>
      <c r="G234" s="11"/>
      <c r="H234" s="14"/>
    </row>
    <row r="235">
      <c r="A235" s="7">
        <v>1987.0</v>
      </c>
      <c r="B235" s="8" t="s">
        <v>8</v>
      </c>
      <c r="C235" s="10">
        <v>7078.89</v>
      </c>
      <c r="D235" s="8" t="s">
        <v>67</v>
      </c>
      <c r="E235" s="8" t="s">
        <v>63</v>
      </c>
      <c r="F235" s="10">
        <v>0.6</v>
      </c>
      <c r="G235" s="15" t="s">
        <v>30</v>
      </c>
      <c r="H235" s="12" t="s">
        <v>113</v>
      </c>
    </row>
    <row r="236">
      <c r="A236" s="7">
        <v>1994.0</v>
      </c>
      <c r="B236" s="8" t="s">
        <v>8</v>
      </c>
      <c r="C236" s="13"/>
      <c r="D236" s="8" t="s">
        <v>45</v>
      </c>
      <c r="E236" s="17"/>
      <c r="F236" s="13"/>
      <c r="G236" s="11"/>
      <c r="H236" s="14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7">
        <v>1997.0</v>
      </c>
      <c r="B237" s="8" t="s">
        <v>8</v>
      </c>
      <c r="C237" s="10">
        <v>7092.14</v>
      </c>
      <c r="D237" s="8" t="s">
        <v>62</v>
      </c>
      <c r="E237" s="8" t="s">
        <v>63</v>
      </c>
      <c r="F237" s="10">
        <v>3.1</v>
      </c>
      <c r="G237" s="11"/>
      <c r="H237" s="14"/>
    </row>
    <row r="238">
      <c r="A238" s="7">
        <v>2004.0</v>
      </c>
      <c r="B238" s="8" t="s">
        <v>8</v>
      </c>
      <c r="C238" s="13"/>
      <c r="D238" s="8" t="s">
        <v>45</v>
      </c>
      <c r="E238" s="17"/>
      <c r="F238" s="13"/>
      <c r="G238" s="11"/>
      <c r="H238" s="14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7">
        <v>2008.0</v>
      </c>
      <c r="B239" s="8" t="s">
        <v>8</v>
      </c>
      <c r="C239" s="10">
        <v>7105.4</v>
      </c>
      <c r="D239" s="8" t="s">
        <v>62</v>
      </c>
      <c r="E239" s="8" t="s">
        <v>63</v>
      </c>
      <c r="F239" s="10">
        <v>2.0</v>
      </c>
      <c r="G239" s="15" t="s">
        <v>65</v>
      </c>
      <c r="H239" s="14"/>
    </row>
    <row r="240">
      <c r="A240" s="7">
        <v>2012.0</v>
      </c>
      <c r="B240" s="8" t="s">
        <v>8</v>
      </c>
      <c r="C240" s="10">
        <v>7111.43</v>
      </c>
      <c r="D240" s="8" t="s">
        <v>62</v>
      </c>
      <c r="E240" s="8" t="s">
        <v>63</v>
      </c>
      <c r="F240" s="10">
        <v>2.2</v>
      </c>
      <c r="G240" s="15" t="s">
        <v>65</v>
      </c>
      <c r="H240" s="14"/>
    </row>
    <row r="241">
      <c r="A241" s="7">
        <v>2023.0</v>
      </c>
      <c r="B241" s="8" t="s">
        <v>8</v>
      </c>
      <c r="C241" s="13"/>
      <c r="D241" s="8" t="s">
        <v>45</v>
      </c>
      <c r="E241" s="17"/>
      <c r="F241" s="13"/>
      <c r="G241" s="11"/>
      <c r="H241" s="14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7">
        <v>2027.0</v>
      </c>
      <c r="B242" s="8" t="s">
        <v>8</v>
      </c>
      <c r="C242" s="13"/>
      <c r="D242" s="8" t="s">
        <v>45</v>
      </c>
      <c r="E242" s="17"/>
      <c r="F242" s="13"/>
      <c r="G242" s="11"/>
      <c r="H242" s="14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7">
        <v>2032.0</v>
      </c>
      <c r="B243" s="8" t="s">
        <v>8</v>
      </c>
      <c r="C243" s="10">
        <v>7135.5</v>
      </c>
      <c r="D243" s="8" t="s">
        <v>18</v>
      </c>
      <c r="E243" s="8" t="s">
        <v>114</v>
      </c>
      <c r="F243" s="10">
        <v>196.0</v>
      </c>
      <c r="G243" s="11"/>
      <c r="H243" s="14"/>
    </row>
    <row r="244">
      <c r="A244" s="7">
        <v>2039.0</v>
      </c>
      <c r="B244" s="8" t="s">
        <v>8</v>
      </c>
      <c r="C244" s="13"/>
      <c r="F244" s="13"/>
      <c r="G244" s="11"/>
      <c r="H244" s="14"/>
    </row>
    <row r="245">
      <c r="A245" s="7">
        <v>2047.0</v>
      </c>
      <c r="B245" s="8" t="s">
        <v>8</v>
      </c>
      <c r="C245" s="13"/>
      <c r="F245" s="13"/>
      <c r="G245" s="11"/>
      <c r="H245" s="14"/>
    </row>
    <row r="246">
      <c r="A246" s="7">
        <v>2052.0</v>
      </c>
      <c r="B246" s="8" t="s">
        <v>8</v>
      </c>
      <c r="C246" s="13"/>
      <c r="F246" s="13"/>
      <c r="G246" s="11"/>
      <c r="H246" s="14"/>
    </row>
    <row r="247">
      <c r="A247" s="7">
        <v>2060.0</v>
      </c>
      <c r="B247" s="8" t="s">
        <v>8</v>
      </c>
      <c r="C247" s="13"/>
      <c r="F247" s="13"/>
      <c r="G247" s="11"/>
      <c r="H247" s="14"/>
    </row>
    <row r="248">
      <c r="A248" s="7">
        <v>2066.0</v>
      </c>
      <c r="B248" s="8" t="s">
        <v>8</v>
      </c>
      <c r="C248" s="13"/>
      <c r="F248" s="13"/>
      <c r="G248" s="11"/>
      <c r="H248" s="14"/>
    </row>
    <row r="249">
      <c r="A249" s="7">
        <v>2071.0</v>
      </c>
      <c r="B249" s="8" t="s">
        <v>8</v>
      </c>
      <c r="C249" s="13"/>
      <c r="F249" s="13"/>
      <c r="G249" s="11"/>
      <c r="H249" s="14"/>
    </row>
    <row r="250">
      <c r="A250" s="7">
        <v>2079.0</v>
      </c>
      <c r="B250" s="8" t="s">
        <v>8</v>
      </c>
      <c r="C250" s="13"/>
      <c r="F250" s="13"/>
      <c r="G250" s="11"/>
      <c r="H250" s="14"/>
    </row>
    <row r="251">
      <c r="A251" s="7">
        <v>2082.0</v>
      </c>
      <c r="B251" s="8" t="s">
        <v>8</v>
      </c>
      <c r="C251" s="13"/>
      <c r="F251" s="13"/>
      <c r="G251" s="11"/>
      <c r="H251" s="14"/>
    </row>
    <row r="252">
      <c r="A252" s="7">
        <v>2091.0</v>
      </c>
      <c r="B252" s="8" t="s">
        <v>8</v>
      </c>
      <c r="C252" s="13"/>
      <c r="F252" s="13"/>
      <c r="G252" s="11"/>
      <c r="H252" s="14"/>
    </row>
    <row r="253">
      <c r="A253" s="7">
        <v>2101.0</v>
      </c>
      <c r="B253" s="8" t="s">
        <v>8</v>
      </c>
      <c r="C253" s="13"/>
      <c r="F253" s="13"/>
      <c r="G253" s="11"/>
      <c r="H253" s="14"/>
    </row>
    <row r="254">
      <c r="A254" s="7">
        <v>2114.0</v>
      </c>
      <c r="B254" s="8" t="s">
        <v>8</v>
      </c>
      <c r="C254" s="13"/>
      <c r="F254" s="13"/>
      <c r="G254" s="11"/>
      <c r="H254" s="14"/>
    </row>
    <row r="255">
      <c r="A255" s="7">
        <v>2127.0</v>
      </c>
      <c r="B255" s="8" t="s">
        <v>8</v>
      </c>
      <c r="C255" s="13"/>
      <c r="F255" s="13"/>
      <c r="G255" s="11"/>
      <c r="H255" s="14"/>
    </row>
    <row r="256">
      <c r="A256" s="7">
        <v>2133.0</v>
      </c>
      <c r="B256" s="8" t="s">
        <v>8</v>
      </c>
      <c r="C256" s="13"/>
      <c r="F256" s="13"/>
      <c r="G256" s="11"/>
      <c r="H256" s="14"/>
    </row>
    <row r="257">
      <c r="A257" s="7">
        <v>2141.0</v>
      </c>
      <c r="B257" s="8" t="s">
        <v>8</v>
      </c>
      <c r="C257" s="13"/>
      <c r="F257" s="13"/>
      <c r="G257" s="11"/>
      <c r="H257" s="14"/>
    </row>
    <row r="258">
      <c r="A258" s="7">
        <v>2148.0</v>
      </c>
      <c r="B258" s="8" t="s">
        <v>8</v>
      </c>
      <c r="C258" s="13"/>
      <c r="F258" s="13"/>
      <c r="G258" s="11"/>
      <c r="H258" s="14"/>
    </row>
    <row r="259">
      <c r="A259" s="7">
        <v>2154.0</v>
      </c>
      <c r="B259" s="8" t="s">
        <v>8</v>
      </c>
      <c r="C259" s="13"/>
      <c r="F259" s="13"/>
      <c r="G259" s="11"/>
      <c r="H259" s="14"/>
    </row>
    <row r="260">
      <c r="A260" s="7">
        <v>2164.0</v>
      </c>
      <c r="B260" s="8" t="s">
        <v>8</v>
      </c>
      <c r="C260" s="13"/>
      <c r="F260" s="13"/>
      <c r="G260" s="11"/>
      <c r="H260" s="14"/>
    </row>
    <row r="261">
      <c r="A261" s="7">
        <v>2168.0</v>
      </c>
      <c r="B261" s="8" t="s">
        <v>8</v>
      </c>
      <c r="C261" s="13"/>
      <c r="F261" s="13"/>
      <c r="G261" s="11"/>
      <c r="H261" s="14"/>
    </row>
    <row r="262">
      <c r="A262" s="7">
        <v>2173.0</v>
      </c>
      <c r="B262" s="8" t="s">
        <v>8</v>
      </c>
      <c r="C262" s="13"/>
      <c r="F262" s="13"/>
      <c r="G262" s="11"/>
      <c r="H262" s="14"/>
    </row>
    <row r="263">
      <c r="A263" s="7">
        <v>2179.0</v>
      </c>
      <c r="B263" s="8" t="s">
        <v>8</v>
      </c>
      <c r="C263" s="13"/>
      <c r="F263" s="13"/>
      <c r="G263" s="11"/>
      <c r="H263" s="14"/>
    </row>
    <row r="264">
      <c r="A264" s="7">
        <v>2187.0</v>
      </c>
      <c r="B264" s="8" t="s">
        <v>8</v>
      </c>
      <c r="C264" s="13"/>
      <c r="F264" s="13"/>
      <c r="G264" s="11"/>
      <c r="H264" s="14"/>
    </row>
    <row r="265">
      <c r="A265" s="7">
        <v>2193.0</v>
      </c>
      <c r="B265" s="8" t="s">
        <v>8</v>
      </c>
      <c r="C265" s="13"/>
      <c r="F265" s="13"/>
      <c r="G265" s="11"/>
      <c r="H265" s="14"/>
    </row>
    <row r="266">
      <c r="A266" s="7">
        <v>2199.0</v>
      </c>
      <c r="B266" s="8" t="s">
        <v>8</v>
      </c>
      <c r="C266" s="13"/>
      <c r="F266" s="13"/>
      <c r="G266" s="11"/>
      <c r="H266" s="14"/>
    </row>
    <row r="267">
      <c r="A267" s="7">
        <v>2207.0</v>
      </c>
      <c r="B267" s="8" t="s">
        <v>8</v>
      </c>
      <c r="C267" s="13"/>
      <c r="F267" s="13"/>
      <c r="G267" s="11"/>
      <c r="H267" s="14"/>
    </row>
    <row r="268">
      <c r="A268" s="7">
        <v>2216.0</v>
      </c>
      <c r="B268" s="8" t="s">
        <v>8</v>
      </c>
      <c r="C268" s="13"/>
      <c r="F268" s="13"/>
      <c r="G268" s="11"/>
      <c r="H268" s="14"/>
    </row>
    <row r="269">
      <c r="A269" s="7">
        <v>2225.0</v>
      </c>
      <c r="B269" s="8" t="s">
        <v>8</v>
      </c>
      <c r="C269" s="13"/>
      <c r="F269" s="13"/>
      <c r="G269" s="11"/>
      <c r="H269" s="14"/>
    </row>
    <row r="270">
      <c r="A270" s="7">
        <v>2234.0</v>
      </c>
      <c r="B270" s="8" t="s">
        <v>8</v>
      </c>
      <c r="C270" s="13"/>
      <c r="F270" s="13"/>
      <c r="G270" s="11"/>
      <c r="H270" s="14"/>
    </row>
    <row r="271">
      <c r="A271" s="7">
        <v>2242.0</v>
      </c>
      <c r="B271" s="8" t="s">
        <v>8</v>
      </c>
      <c r="C271" s="13"/>
      <c r="F271" s="13"/>
      <c r="G271" s="11"/>
      <c r="H271" s="14"/>
    </row>
    <row r="272">
      <c r="A272" s="7">
        <v>2246.0</v>
      </c>
      <c r="B272" s="8" t="s">
        <v>8</v>
      </c>
      <c r="C272" s="13"/>
      <c r="F272" s="13"/>
      <c r="G272" s="11"/>
      <c r="H272" s="14"/>
    </row>
    <row r="273">
      <c r="A273" s="7">
        <v>2252.0</v>
      </c>
      <c r="B273" s="8" t="s">
        <v>8</v>
      </c>
      <c r="C273" s="13"/>
      <c r="F273" s="13"/>
      <c r="G273" s="11"/>
      <c r="H273" s="14"/>
    </row>
    <row r="274">
      <c r="A274" s="7">
        <v>2263.0</v>
      </c>
      <c r="B274" s="8" t="s">
        <v>8</v>
      </c>
      <c r="C274" s="13"/>
      <c r="F274" s="13"/>
      <c r="G274" s="11"/>
      <c r="H274" s="14"/>
    </row>
    <row r="275">
      <c r="A275" s="7">
        <v>2271.0</v>
      </c>
      <c r="B275" s="8" t="s">
        <v>8</v>
      </c>
      <c r="C275" s="13"/>
      <c r="F275" s="13"/>
      <c r="G275" s="11"/>
      <c r="H275" s="14"/>
    </row>
    <row r="276">
      <c r="A276" s="7">
        <v>2277.0</v>
      </c>
      <c r="B276" s="8" t="s">
        <v>8</v>
      </c>
      <c r="C276" s="13"/>
      <c r="F276" s="13"/>
      <c r="G276" s="11"/>
      <c r="H276" s="14"/>
    </row>
    <row r="277">
      <c r="A277" s="7">
        <v>2294.0</v>
      </c>
      <c r="B277" s="8" t="s">
        <v>8</v>
      </c>
      <c r="C277" s="13"/>
      <c r="F277" s="13"/>
      <c r="G277" s="11"/>
      <c r="H277" s="14"/>
    </row>
    <row r="278">
      <c r="A278" s="7">
        <v>2298.0</v>
      </c>
      <c r="B278" s="8" t="s">
        <v>8</v>
      </c>
      <c r="C278" s="13"/>
      <c r="F278" s="13"/>
      <c r="G278" s="11"/>
      <c r="H278" s="14"/>
    </row>
    <row r="279">
      <c r="A279" s="7">
        <v>2307.0</v>
      </c>
      <c r="B279" s="8" t="s">
        <v>8</v>
      </c>
      <c r="C279" s="13"/>
      <c r="F279" s="13"/>
      <c r="G279" s="11"/>
      <c r="H279" s="14"/>
    </row>
    <row r="280">
      <c r="A280" s="7">
        <v>2314.0</v>
      </c>
      <c r="B280" s="8" t="s">
        <v>8</v>
      </c>
      <c r="C280" s="13"/>
      <c r="F280" s="13"/>
      <c r="G280" s="11"/>
      <c r="H280" s="14"/>
    </row>
    <row r="281">
      <c r="A281" s="7">
        <v>2323.0</v>
      </c>
      <c r="B281" s="8" t="s">
        <v>8</v>
      </c>
      <c r="C281" s="13"/>
      <c r="F281" s="13"/>
      <c r="G281" s="11"/>
      <c r="H281" s="14"/>
    </row>
    <row r="282">
      <c r="A282" s="7">
        <v>2334.0</v>
      </c>
      <c r="B282" s="8" t="s">
        <v>8</v>
      </c>
      <c r="C282" s="13"/>
      <c r="F282" s="13"/>
      <c r="G282" s="11"/>
      <c r="H282" s="14"/>
    </row>
    <row r="283">
      <c r="A283" s="7">
        <v>2340.0</v>
      </c>
      <c r="B283" s="8" t="s">
        <v>8</v>
      </c>
      <c r="C283" s="13"/>
      <c r="F283" s="13"/>
      <c r="G283" s="11"/>
      <c r="H283" s="14"/>
    </row>
    <row r="284">
      <c r="A284" s="7">
        <v>2345.0</v>
      </c>
      <c r="B284" s="8" t="s">
        <v>8</v>
      </c>
      <c r="C284" s="13"/>
      <c r="F284" s="13"/>
      <c r="G284" s="11"/>
      <c r="H284" s="14"/>
    </row>
    <row r="285">
      <c r="A285" s="7">
        <v>2358.0</v>
      </c>
      <c r="B285" s="8" t="s">
        <v>8</v>
      </c>
      <c r="C285" s="13"/>
      <c r="F285" s="13"/>
      <c r="G285" s="11"/>
      <c r="H285" s="14"/>
    </row>
    <row r="286">
      <c r="A286" s="7">
        <v>2366.0</v>
      </c>
      <c r="B286" s="8" t="s">
        <v>8</v>
      </c>
      <c r="C286" s="13"/>
      <c r="F286" s="13"/>
      <c r="G286" s="11"/>
      <c r="H286" s="14"/>
    </row>
    <row r="287">
      <c r="A287" s="7">
        <v>2378.0</v>
      </c>
      <c r="B287" s="8" t="s">
        <v>8</v>
      </c>
      <c r="C287" s="13"/>
      <c r="F287" s="13"/>
      <c r="G287" s="11"/>
      <c r="H287" s="14"/>
    </row>
    <row r="288">
      <c r="A288" s="7">
        <v>2386.0</v>
      </c>
      <c r="B288" s="8" t="s">
        <v>8</v>
      </c>
      <c r="C288" s="13"/>
      <c r="F288" s="13"/>
      <c r="G288" s="11"/>
      <c r="H288" s="14"/>
    </row>
    <row r="289">
      <c r="A289" s="7">
        <v>2399.0</v>
      </c>
      <c r="B289" s="8" t="s">
        <v>8</v>
      </c>
      <c r="C289" s="13"/>
      <c r="F289" s="13"/>
      <c r="G289" s="11"/>
      <c r="H289" s="14"/>
    </row>
    <row r="290">
      <c r="A290" s="7">
        <v>2402.0</v>
      </c>
      <c r="B290" s="8" t="s">
        <v>8</v>
      </c>
      <c r="C290" s="13"/>
      <c r="F290" s="13"/>
      <c r="G290" s="11"/>
      <c r="H290" s="14"/>
    </row>
    <row r="291">
      <c r="A291" s="7">
        <v>2420.0</v>
      </c>
      <c r="B291" s="8" t="s">
        <v>8</v>
      </c>
      <c r="C291" s="13"/>
      <c r="F291" s="13"/>
      <c r="G291" s="11"/>
      <c r="H291" s="14"/>
    </row>
    <row r="292">
      <c r="A292" s="7">
        <v>2423.0</v>
      </c>
      <c r="B292" s="8" t="s">
        <v>8</v>
      </c>
      <c r="C292" s="13"/>
      <c r="F292" s="13"/>
      <c r="G292" s="11"/>
      <c r="H292" s="14"/>
    </row>
    <row r="293">
      <c r="A293" s="7">
        <v>2426.0</v>
      </c>
      <c r="B293" s="8" t="s">
        <v>8</v>
      </c>
      <c r="C293" s="13"/>
      <c r="F293" s="13"/>
      <c r="G293" s="11"/>
      <c r="H293" s="14"/>
    </row>
    <row r="294">
      <c r="A294" s="7">
        <v>2434.0</v>
      </c>
      <c r="B294" s="8" t="s">
        <v>8</v>
      </c>
      <c r="C294" s="13"/>
      <c r="F294" s="13"/>
      <c r="G294" s="11"/>
      <c r="H294" s="14"/>
    </row>
    <row r="295">
      <c r="A295" s="7">
        <v>2437.0</v>
      </c>
      <c r="B295" s="8" t="s">
        <v>8</v>
      </c>
      <c r="C295" s="13"/>
      <c r="F295" s="13"/>
      <c r="G295" s="11"/>
      <c r="H295" s="14"/>
    </row>
    <row r="296">
      <c r="A296" s="7">
        <v>2441.0</v>
      </c>
      <c r="B296" s="8" t="s">
        <v>8</v>
      </c>
      <c r="C296" s="13"/>
      <c r="F296" s="13"/>
      <c r="G296" s="11"/>
      <c r="H296" s="14"/>
    </row>
    <row r="297">
      <c r="A297" s="7">
        <v>2445.0</v>
      </c>
      <c r="B297" s="8" t="s">
        <v>8</v>
      </c>
      <c r="C297" s="13"/>
      <c r="F297" s="13"/>
      <c r="G297" s="11"/>
      <c r="H297" s="14"/>
    </row>
    <row r="298">
      <c r="A298" s="7">
        <v>2450.0</v>
      </c>
      <c r="B298" s="8" t="s">
        <v>8</v>
      </c>
      <c r="C298" s="13"/>
      <c r="F298" s="13"/>
      <c r="G298" s="11"/>
      <c r="H298" s="14"/>
    </row>
    <row r="299">
      <c r="A299" s="7">
        <v>2454.0</v>
      </c>
      <c r="B299" s="8" t="s">
        <v>8</v>
      </c>
      <c r="C299" s="13"/>
      <c r="F299" s="13"/>
      <c r="G299" s="11"/>
      <c r="H299" s="14"/>
    </row>
    <row r="300">
      <c r="A300" s="7">
        <v>2464.0</v>
      </c>
      <c r="B300" s="8" t="s">
        <v>8</v>
      </c>
      <c r="C300" s="13"/>
      <c r="F300" s="13"/>
      <c r="G300" s="11"/>
      <c r="H300" s="14"/>
    </row>
    <row r="301">
      <c r="A301" s="7">
        <v>2470.0</v>
      </c>
      <c r="B301" s="8" t="s">
        <v>8</v>
      </c>
      <c r="C301" s="13"/>
      <c r="F301" s="13"/>
      <c r="G301" s="11"/>
      <c r="H301" s="14"/>
    </row>
    <row r="302">
      <c r="A302" s="7">
        <v>2474.0</v>
      </c>
      <c r="B302" s="8" t="s">
        <v>8</v>
      </c>
      <c r="C302" s="13"/>
      <c r="F302" s="13"/>
      <c r="G302" s="11"/>
      <c r="H302" s="14"/>
    </row>
    <row r="303">
      <c r="A303" s="7">
        <v>2479.0</v>
      </c>
      <c r="B303" s="8" t="s">
        <v>8</v>
      </c>
      <c r="C303" s="13"/>
      <c r="F303" s="13"/>
      <c r="G303" s="11"/>
      <c r="H303" s="14"/>
    </row>
    <row r="304">
      <c r="A304" s="7">
        <v>2490.0</v>
      </c>
      <c r="B304" s="8" t="s">
        <v>8</v>
      </c>
      <c r="C304" s="13"/>
      <c r="F304" s="13"/>
      <c r="G304" s="11"/>
      <c r="H304" s="14"/>
    </row>
    <row r="305">
      <c r="A305" s="7">
        <v>2494.0</v>
      </c>
      <c r="B305" s="8" t="s">
        <v>8</v>
      </c>
      <c r="C305" s="13"/>
      <c r="F305" s="13"/>
      <c r="G305" s="11"/>
      <c r="H305" s="14"/>
    </row>
    <row r="306">
      <c r="A306" s="7">
        <v>2501.0</v>
      </c>
      <c r="B306" s="8" t="s">
        <v>8</v>
      </c>
      <c r="C306" s="13"/>
      <c r="F306" s="13"/>
      <c r="G306" s="11"/>
      <c r="H306" s="14"/>
    </row>
    <row r="307">
      <c r="A307" s="7">
        <v>2516.0</v>
      </c>
      <c r="B307" s="8" t="s">
        <v>8</v>
      </c>
      <c r="C307" s="13"/>
      <c r="F307" s="13"/>
      <c r="G307" s="11"/>
      <c r="H307" s="14"/>
    </row>
    <row r="308">
      <c r="A308" s="7">
        <v>2524.0</v>
      </c>
      <c r="B308" s="8" t="s">
        <v>8</v>
      </c>
      <c r="C308" s="13"/>
      <c r="F308" s="13"/>
      <c r="G308" s="11"/>
      <c r="H308" s="14"/>
    </row>
    <row r="309">
      <c r="A309" s="7">
        <v>2528.0</v>
      </c>
      <c r="B309" s="8" t="s">
        <v>8</v>
      </c>
      <c r="C309" s="13"/>
      <c r="F309" s="13"/>
      <c r="G309" s="11"/>
      <c r="H309" s="14"/>
    </row>
    <row r="310">
      <c r="A310" s="7">
        <v>2538.0</v>
      </c>
      <c r="B310" s="8" t="s">
        <v>8</v>
      </c>
      <c r="C310" s="13"/>
      <c r="F310" s="13"/>
      <c r="G310" s="11"/>
      <c r="H310" s="14"/>
    </row>
    <row r="311">
      <c r="A311" s="7">
        <v>2549.0</v>
      </c>
      <c r="B311" s="8" t="s">
        <v>8</v>
      </c>
      <c r="C311" s="13"/>
      <c r="F311" s="13"/>
      <c r="G311" s="11"/>
      <c r="H311" s="14"/>
    </row>
    <row r="312">
      <c r="A312" s="7">
        <v>2556.0</v>
      </c>
      <c r="B312" s="8" t="s">
        <v>8</v>
      </c>
      <c r="C312" s="13"/>
      <c r="F312" s="13"/>
      <c r="G312" s="11"/>
      <c r="H312" s="14"/>
    </row>
    <row r="313">
      <c r="A313" s="7">
        <v>2565.0</v>
      </c>
      <c r="B313" s="8" t="s">
        <v>8</v>
      </c>
      <c r="C313" s="13"/>
      <c r="F313" s="13"/>
      <c r="G313" s="11"/>
      <c r="H313" s="14"/>
    </row>
    <row r="314">
      <c r="A314" s="7">
        <v>2577.0</v>
      </c>
      <c r="B314" s="8" t="s">
        <v>8</v>
      </c>
      <c r="C314" s="13"/>
      <c r="F314" s="13"/>
      <c r="G314" s="11"/>
      <c r="H314" s="14"/>
    </row>
    <row r="315">
      <c r="A315" s="7">
        <v>2584.0</v>
      </c>
      <c r="B315" s="8" t="s">
        <v>8</v>
      </c>
      <c r="C315" s="13"/>
      <c r="F315" s="13"/>
      <c r="G315" s="11"/>
      <c r="H315" s="14"/>
    </row>
    <row r="316">
      <c r="A316" s="7">
        <v>2589.0</v>
      </c>
      <c r="B316" s="8" t="s">
        <v>8</v>
      </c>
      <c r="C316" s="13"/>
      <c r="F316" s="13"/>
      <c r="G316" s="11"/>
      <c r="H316" s="14"/>
    </row>
    <row r="317">
      <c r="A317" s="7">
        <v>2594.0</v>
      </c>
      <c r="B317" s="8" t="s">
        <v>8</v>
      </c>
      <c r="C317" s="13"/>
      <c r="F317" s="13"/>
      <c r="G317" s="11"/>
      <c r="H317" s="14"/>
    </row>
    <row r="318">
      <c r="A318" s="7">
        <v>2602.0</v>
      </c>
      <c r="B318" s="8" t="s">
        <v>8</v>
      </c>
      <c r="C318" s="13"/>
      <c r="F318" s="13"/>
      <c r="G318" s="11"/>
      <c r="H318" s="14"/>
    </row>
    <row r="319">
      <c r="A319" s="7">
        <v>2609.0</v>
      </c>
      <c r="B319" s="8" t="s">
        <v>8</v>
      </c>
      <c r="C319" s="13"/>
      <c r="F319" s="13"/>
      <c r="G319" s="11"/>
      <c r="H319" s="14"/>
    </row>
    <row r="320">
      <c r="A320" s="7">
        <v>2614.0</v>
      </c>
      <c r="B320" s="8" t="s">
        <v>8</v>
      </c>
      <c r="C320" s="13"/>
      <c r="F320" s="13"/>
      <c r="G320" s="11"/>
      <c r="H320" s="14"/>
    </row>
    <row r="321">
      <c r="A321" s="7">
        <v>2617.0</v>
      </c>
      <c r="B321" s="8" t="s">
        <v>8</v>
      </c>
      <c r="C321" s="13"/>
      <c r="F321" s="13"/>
      <c r="G321" s="11"/>
      <c r="H321" s="14"/>
    </row>
    <row r="322">
      <c r="A322" s="7">
        <v>2623.0</v>
      </c>
      <c r="B322" s="8" t="s">
        <v>8</v>
      </c>
      <c r="C322" s="13"/>
      <c r="F322" s="13"/>
      <c r="G322" s="11"/>
      <c r="H322" s="14"/>
    </row>
    <row r="323">
      <c r="A323" s="7">
        <v>2632.0</v>
      </c>
      <c r="B323" s="8" t="s">
        <v>8</v>
      </c>
      <c r="C323" s="13"/>
      <c r="F323" s="13"/>
      <c r="G323" s="11"/>
      <c r="H323" s="14"/>
    </row>
    <row r="324">
      <c r="A324" s="7">
        <v>2636.0</v>
      </c>
      <c r="B324" s="8" t="s">
        <v>8</v>
      </c>
      <c r="C324" s="13"/>
      <c r="F324" s="13"/>
      <c r="G324" s="11"/>
      <c r="H324" s="14"/>
    </row>
    <row r="325">
      <c r="A325" s="7">
        <v>2657.0</v>
      </c>
      <c r="B325" s="8" t="s">
        <v>8</v>
      </c>
      <c r="C325" s="13"/>
      <c r="F325" s="13"/>
      <c r="G325" s="11"/>
      <c r="H325" s="14"/>
    </row>
    <row r="326">
      <c r="A326" s="7">
        <v>2665.0</v>
      </c>
      <c r="B326" s="8" t="s">
        <v>8</v>
      </c>
      <c r="C326" s="13"/>
      <c r="F326" s="13"/>
      <c r="G326" s="11"/>
      <c r="H326" s="14"/>
    </row>
    <row r="327">
      <c r="A327" s="7">
        <v>2671.0</v>
      </c>
      <c r="B327" s="8" t="s">
        <v>8</v>
      </c>
      <c r="C327" s="13"/>
      <c r="F327" s="13"/>
      <c r="G327" s="11"/>
      <c r="H327" s="14"/>
    </row>
    <row r="328">
      <c r="A328" s="7">
        <v>2679.0</v>
      </c>
      <c r="B328" s="8" t="s">
        <v>8</v>
      </c>
      <c r="C328" s="13"/>
      <c r="F328" s="13"/>
      <c r="G328" s="11"/>
      <c r="H328" s="14"/>
    </row>
    <row r="329">
      <c r="A329" s="7">
        <v>2692.0</v>
      </c>
      <c r="B329" s="8" t="s">
        <v>8</v>
      </c>
      <c r="C329" s="13"/>
      <c r="F329" s="13"/>
      <c r="G329" s="11"/>
      <c r="H329" s="14"/>
    </row>
    <row r="330">
      <c r="A330" s="7">
        <v>2696.0</v>
      </c>
      <c r="B330" s="8" t="s">
        <v>8</v>
      </c>
      <c r="C330" s="13"/>
      <c r="F330" s="13"/>
      <c r="G330" s="11"/>
      <c r="H330" s="14"/>
    </row>
    <row r="331">
      <c r="A331" s="7">
        <v>2700.0</v>
      </c>
      <c r="B331" s="8" t="s">
        <v>8</v>
      </c>
      <c r="C331" s="13"/>
      <c r="F331" s="13"/>
      <c r="G331" s="11"/>
      <c r="H331" s="14"/>
    </row>
    <row r="332">
      <c r="A332" s="7">
        <v>2704.0</v>
      </c>
      <c r="B332" s="8" t="s">
        <v>8</v>
      </c>
      <c r="C332" s="13"/>
      <c r="F332" s="13"/>
      <c r="G332" s="11"/>
      <c r="H332" s="14"/>
    </row>
    <row r="333">
      <c r="A333" s="7">
        <v>2709.0</v>
      </c>
      <c r="B333" s="8" t="s">
        <v>8</v>
      </c>
      <c r="C333" s="13"/>
      <c r="F333" s="13"/>
      <c r="G333" s="11"/>
      <c r="H333" s="14"/>
    </row>
    <row r="334">
      <c r="A334" s="7">
        <v>2715.0</v>
      </c>
      <c r="B334" s="8" t="s">
        <v>8</v>
      </c>
      <c r="C334" s="13"/>
      <c r="F334" s="13"/>
      <c r="G334" s="11"/>
      <c r="H334" s="14"/>
    </row>
    <row r="335">
      <c r="A335" s="7">
        <v>2724.0</v>
      </c>
      <c r="B335" s="8" t="s">
        <v>8</v>
      </c>
      <c r="C335" s="13"/>
      <c r="F335" s="13"/>
      <c r="G335" s="11"/>
      <c r="H335" s="14"/>
    </row>
    <row r="336">
      <c r="A336" s="7">
        <v>2731.0</v>
      </c>
      <c r="B336" s="8" t="s">
        <v>8</v>
      </c>
      <c r="C336" s="13"/>
      <c r="F336" s="13"/>
      <c r="G336" s="11"/>
      <c r="H336" s="14"/>
    </row>
    <row r="337">
      <c r="A337" s="7">
        <v>2736.0</v>
      </c>
      <c r="B337" s="8" t="s">
        <v>8</v>
      </c>
      <c r="C337" s="13"/>
      <c r="F337" s="13"/>
      <c r="G337" s="11"/>
      <c r="H337" s="14"/>
    </row>
    <row r="338">
      <c r="A338" s="7">
        <v>2754.0</v>
      </c>
      <c r="B338" s="8" t="s">
        <v>8</v>
      </c>
      <c r="C338" s="13"/>
      <c r="F338" s="13"/>
      <c r="G338" s="11"/>
      <c r="H338" s="14"/>
    </row>
    <row r="339">
      <c r="A339" s="7">
        <v>2760.0</v>
      </c>
      <c r="B339" s="8" t="s">
        <v>8</v>
      </c>
      <c r="C339" s="13"/>
      <c r="F339" s="13"/>
      <c r="G339" s="11"/>
      <c r="H339" s="14"/>
    </row>
    <row r="340">
      <c r="A340" s="7">
        <v>2770.0</v>
      </c>
      <c r="B340" s="8" t="s">
        <v>8</v>
      </c>
      <c r="C340" s="13"/>
      <c r="F340" s="13"/>
      <c r="G340" s="11"/>
      <c r="H340" s="14"/>
    </row>
    <row r="341">
      <c r="A341" s="7">
        <v>2779.0</v>
      </c>
      <c r="B341" s="8" t="s">
        <v>8</v>
      </c>
      <c r="C341" s="13"/>
      <c r="F341" s="13"/>
      <c r="G341" s="11"/>
      <c r="H341" s="14"/>
    </row>
    <row r="342">
      <c r="A342" s="7">
        <v>2790.0</v>
      </c>
      <c r="B342" s="8" t="s">
        <v>8</v>
      </c>
      <c r="C342" s="13"/>
      <c r="F342" s="13"/>
      <c r="G342" s="11"/>
      <c r="H342" s="14"/>
    </row>
    <row r="343">
      <c r="A343" s="7">
        <v>2795.0</v>
      </c>
      <c r="B343" s="8" t="s">
        <v>8</v>
      </c>
      <c r="C343" s="13"/>
      <c r="F343" s="13"/>
      <c r="G343" s="11"/>
      <c r="H343" s="14"/>
    </row>
    <row r="344">
      <c r="A344" s="7">
        <v>2802.0</v>
      </c>
      <c r="B344" s="8" t="s">
        <v>8</v>
      </c>
      <c r="C344" s="13"/>
      <c r="F344" s="13"/>
      <c r="G344" s="11"/>
      <c r="H344" s="14"/>
    </row>
    <row r="345">
      <c r="A345" s="7">
        <v>2816.0</v>
      </c>
      <c r="B345" s="8" t="s">
        <v>8</v>
      </c>
      <c r="C345" s="13"/>
      <c r="F345" s="13"/>
      <c r="G345" s="11"/>
      <c r="H345" s="14"/>
    </row>
    <row r="346">
      <c r="A346" s="7">
        <v>2825.0</v>
      </c>
      <c r="B346" s="8" t="s">
        <v>8</v>
      </c>
      <c r="C346" s="13"/>
      <c r="F346" s="13"/>
      <c r="G346" s="11"/>
      <c r="H346" s="14"/>
    </row>
    <row r="347">
      <c r="A347" s="7">
        <v>2838.0</v>
      </c>
      <c r="B347" s="8" t="s">
        <v>8</v>
      </c>
      <c r="C347" s="13"/>
      <c r="F347" s="13"/>
      <c r="G347" s="11"/>
      <c r="H347" s="14"/>
    </row>
    <row r="348">
      <c r="A348" s="7">
        <v>2844.0</v>
      </c>
      <c r="B348" s="8" t="s">
        <v>8</v>
      </c>
      <c r="C348" s="13"/>
      <c r="F348" s="13"/>
      <c r="G348" s="11"/>
      <c r="H348" s="14"/>
    </row>
    <row r="349">
      <c r="A349" s="7">
        <v>2851.0</v>
      </c>
      <c r="B349" s="8" t="s">
        <v>8</v>
      </c>
      <c r="C349" s="13"/>
      <c r="F349" s="13"/>
      <c r="G349" s="11"/>
      <c r="H349" s="14"/>
    </row>
    <row r="350">
      <c r="A350" s="7">
        <v>2860.0</v>
      </c>
      <c r="B350" s="8" t="s">
        <v>8</v>
      </c>
      <c r="C350" s="13"/>
      <c r="F350" s="13"/>
      <c r="G350" s="11"/>
      <c r="H350" s="14"/>
    </row>
    <row r="351">
      <c r="A351" s="7">
        <v>2864.0</v>
      </c>
      <c r="B351" s="8" t="s">
        <v>8</v>
      </c>
      <c r="C351" s="13"/>
      <c r="F351" s="13"/>
      <c r="G351" s="11"/>
      <c r="H351" s="14"/>
    </row>
    <row r="352">
      <c r="A352" s="7">
        <v>2874.0</v>
      </c>
      <c r="B352" s="8" t="s">
        <v>8</v>
      </c>
      <c r="C352" s="13"/>
      <c r="F352" s="13"/>
      <c r="G352" s="11"/>
      <c r="H352" s="14"/>
    </row>
    <row r="353">
      <c r="A353" s="7">
        <v>2877.0</v>
      </c>
      <c r="B353" s="8" t="s">
        <v>8</v>
      </c>
      <c r="C353" s="13"/>
      <c r="F353" s="13"/>
      <c r="G353" s="11"/>
      <c r="H353" s="14"/>
    </row>
    <row r="354">
      <c r="A354" s="7">
        <v>2889.0</v>
      </c>
      <c r="B354" s="8" t="s">
        <v>8</v>
      </c>
      <c r="C354" s="13"/>
      <c r="F354" s="13"/>
      <c r="G354" s="11"/>
      <c r="H354" s="14"/>
    </row>
    <row r="355">
      <c r="A355" s="7">
        <v>2897.0</v>
      </c>
      <c r="B355" s="8" t="s">
        <v>8</v>
      </c>
      <c r="C355" s="13"/>
      <c r="F355" s="13"/>
      <c r="G355" s="11"/>
      <c r="H355" s="14"/>
    </row>
    <row r="356">
      <c r="A356" s="7">
        <v>2902.0</v>
      </c>
      <c r="B356" s="8" t="s">
        <v>8</v>
      </c>
      <c r="C356" s="13"/>
      <c r="F356" s="13"/>
      <c r="G356" s="11"/>
      <c r="H356" s="14"/>
    </row>
    <row r="357">
      <c r="A357" s="7">
        <v>2907.0</v>
      </c>
      <c r="B357" s="8" t="s">
        <v>8</v>
      </c>
      <c r="C357" s="13"/>
      <c r="F357" s="13"/>
      <c r="G357" s="11"/>
      <c r="H357" s="14"/>
    </row>
    <row r="358">
      <c r="A358" s="7">
        <v>2918.0</v>
      </c>
      <c r="B358" s="8" t="s">
        <v>8</v>
      </c>
      <c r="C358" s="13"/>
      <c r="F358" s="13"/>
      <c r="G358" s="11"/>
      <c r="H358" s="14"/>
    </row>
    <row r="359">
      <c r="A359" s="7">
        <v>2932.0</v>
      </c>
      <c r="B359" s="8" t="s">
        <v>8</v>
      </c>
      <c r="C359" s="13"/>
      <c r="F359" s="13"/>
      <c r="G359" s="11"/>
      <c r="H359" s="14"/>
    </row>
    <row r="360">
      <c r="A360" s="7">
        <v>2937.0</v>
      </c>
      <c r="B360" s="8" t="s">
        <v>8</v>
      </c>
      <c r="C360" s="13"/>
      <c r="F360" s="13"/>
      <c r="G360" s="11"/>
      <c r="H360" s="14"/>
    </row>
    <row r="361">
      <c r="A361" s="7">
        <v>2942.0</v>
      </c>
      <c r="B361" s="8" t="s">
        <v>8</v>
      </c>
      <c r="C361" s="13"/>
      <c r="F361" s="13"/>
      <c r="G361" s="11"/>
      <c r="H361" s="14"/>
    </row>
    <row r="362">
      <c r="A362" s="7">
        <v>2951.0</v>
      </c>
      <c r="B362" s="8" t="s">
        <v>8</v>
      </c>
      <c r="C362" s="13"/>
      <c r="F362" s="13"/>
      <c r="G362" s="11"/>
      <c r="H362" s="14"/>
    </row>
    <row r="363">
      <c r="A363" s="7">
        <v>2954.0</v>
      </c>
      <c r="B363" s="8" t="s">
        <v>8</v>
      </c>
      <c r="C363" s="13"/>
      <c r="F363" s="13"/>
      <c r="G363" s="11"/>
      <c r="H363" s="14"/>
    </row>
    <row r="364">
      <c r="A364" s="7">
        <v>2957.0</v>
      </c>
      <c r="B364" s="8" t="s">
        <v>8</v>
      </c>
      <c r="C364" s="13"/>
      <c r="F364" s="13"/>
      <c r="G364" s="11"/>
      <c r="H364" s="14"/>
    </row>
    <row r="365">
      <c r="A365" s="7">
        <v>2963.0</v>
      </c>
      <c r="B365" s="8" t="s">
        <v>8</v>
      </c>
      <c r="C365" s="13"/>
      <c r="F365" s="13"/>
      <c r="G365" s="11"/>
      <c r="H365" s="14"/>
    </row>
    <row r="366">
      <c r="A366" s="7">
        <v>2968.0</v>
      </c>
      <c r="B366" s="8" t="s">
        <v>8</v>
      </c>
      <c r="C366" s="13"/>
      <c r="F366" s="13"/>
      <c r="G366" s="11"/>
      <c r="H366" s="14"/>
    </row>
    <row r="367">
      <c r="A367" s="7">
        <v>2975.0</v>
      </c>
      <c r="B367" s="8" t="s">
        <v>8</v>
      </c>
      <c r="C367" s="13"/>
      <c r="F367" s="13"/>
      <c r="G367" s="11"/>
      <c r="H367" s="14"/>
    </row>
    <row r="368">
      <c r="A368" s="7">
        <v>2982.0</v>
      </c>
      <c r="B368" s="8" t="s">
        <v>8</v>
      </c>
      <c r="C368" s="13"/>
      <c r="F368" s="13"/>
      <c r="G368" s="11"/>
      <c r="H368" s="14"/>
    </row>
    <row r="369">
      <c r="A369" s="7">
        <v>2991.0</v>
      </c>
      <c r="B369" s="8" t="s">
        <v>8</v>
      </c>
      <c r="C369" s="13"/>
      <c r="F369" s="13"/>
      <c r="G369" s="11"/>
      <c r="H369" s="14"/>
    </row>
    <row r="370">
      <c r="A370" s="7">
        <v>3000.0</v>
      </c>
      <c r="B370" s="8" t="s">
        <v>8</v>
      </c>
      <c r="C370" s="13"/>
      <c r="F370" s="13"/>
      <c r="G370" s="11"/>
      <c r="H370" s="14"/>
    </row>
    <row r="371">
      <c r="A371" s="7">
        <v>3011.0</v>
      </c>
      <c r="B371" s="8" t="s">
        <v>8</v>
      </c>
      <c r="C371" s="13"/>
      <c r="F371" s="13"/>
      <c r="G371" s="11"/>
      <c r="H371" s="14"/>
    </row>
    <row r="372">
      <c r="A372" s="7">
        <v>3023.0</v>
      </c>
      <c r="B372" s="8" t="s">
        <v>8</v>
      </c>
      <c r="C372" s="13"/>
      <c r="F372" s="13"/>
      <c r="G372" s="11"/>
      <c r="H372" s="14"/>
    </row>
    <row r="373">
      <c r="A373" s="7">
        <v>3037.0</v>
      </c>
      <c r="B373" s="8" t="s">
        <v>8</v>
      </c>
      <c r="C373" s="13"/>
      <c r="F373" s="13"/>
      <c r="G373" s="11"/>
      <c r="H373" s="14"/>
    </row>
    <row r="374">
      <c r="A374" s="7">
        <v>3044.0</v>
      </c>
      <c r="B374" s="8" t="s">
        <v>8</v>
      </c>
      <c r="C374" s="13"/>
      <c r="F374" s="13"/>
      <c r="G374" s="11"/>
      <c r="H374" s="14"/>
    </row>
    <row r="375">
      <c r="A375" s="7">
        <v>3054.0</v>
      </c>
      <c r="B375" s="8" t="s">
        <v>8</v>
      </c>
      <c r="C375" s="13"/>
      <c r="F375" s="13"/>
      <c r="G375" s="11"/>
      <c r="H375" s="14"/>
    </row>
    <row r="376">
      <c r="A376" s="7">
        <v>3064.0</v>
      </c>
      <c r="B376" s="8" t="s">
        <v>8</v>
      </c>
      <c r="C376" s="13"/>
      <c r="F376" s="13"/>
      <c r="G376" s="11"/>
      <c r="H376" s="14"/>
    </row>
    <row r="377">
      <c r="A377" s="7">
        <v>3074.0</v>
      </c>
      <c r="B377" s="8" t="s">
        <v>8</v>
      </c>
      <c r="C377" s="13"/>
      <c r="F377" s="13"/>
      <c r="G377" s="11"/>
      <c r="H377" s="14"/>
    </row>
    <row r="378">
      <c r="A378" s="7">
        <v>3081.0</v>
      </c>
      <c r="B378" s="8" t="s">
        <v>8</v>
      </c>
      <c r="C378" s="13"/>
      <c r="F378" s="13"/>
      <c r="G378" s="11"/>
      <c r="H378" s="14"/>
    </row>
    <row r="379">
      <c r="A379" s="7">
        <v>3091.0</v>
      </c>
      <c r="B379" s="8" t="s">
        <v>8</v>
      </c>
      <c r="C379" s="13"/>
      <c r="F379" s="13"/>
      <c r="G379" s="11"/>
      <c r="H379" s="14"/>
    </row>
    <row r="380">
      <c r="A380" s="7">
        <v>3098.0</v>
      </c>
      <c r="B380" s="8" t="s">
        <v>8</v>
      </c>
      <c r="C380" s="13"/>
      <c r="F380" s="13"/>
      <c r="G380" s="11"/>
      <c r="H380" s="14"/>
    </row>
    <row r="381">
      <c r="A381" s="7">
        <v>3104.0</v>
      </c>
      <c r="B381" s="8" t="s">
        <v>8</v>
      </c>
      <c r="C381" s="13"/>
      <c r="F381" s="13"/>
      <c r="G381" s="11"/>
      <c r="H381" s="14"/>
    </row>
    <row r="382">
      <c r="A382" s="7">
        <v>3126.0</v>
      </c>
      <c r="B382" s="8" t="s">
        <v>8</v>
      </c>
      <c r="C382" s="13"/>
      <c r="F382" s="13"/>
      <c r="G382" s="11"/>
      <c r="H382" s="14"/>
    </row>
    <row r="383">
      <c r="A383" s="7">
        <v>3142.0</v>
      </c>
      <c r="B383" s="8" t="s">
        <v>8</v>
      </c>
      <c r="C383" s="13"/>
      <c r="F383" s="13"/>
      <c r="G383" s="11"/>
      <c r="H383" s="14"/>
    </row>
    <row r="384">
      <c r="A384" s="7">
        <v>3147.0</v>
      </c>
      <c r="B384" s="8" t="s">
        <v>8</v>
      </c>
      <c r="C384" s="13"/>
      <c r="F384" s="13"/>
      <c r="G384" s="11"/>
      <c r="H384" s="14"/>
    </row>
    <row r="385">
      <c r="A385" s="7">
        <v>3160.0</v>
      </c>
      <c r="B385" s="8" t="s">
        <v>8</v>
      </c>
      <c r="C385" s="13"/>
      <c r="F385" s="13"/>
      <c r="G385" s="11"/>
      <c r="H385" s="14"/>
    </row>
    <row r="386">
      <c r="A386" s="7">
        <v>3164.0</v>
      </c>
      <c r="B386" s="8" t="s">
        <v>8</v>
      </c>
      <c r="C386" s="13"/>
      <c r="F386" s="13"/>
      <c r="G386" s="11"/>
      <c r="H386" s="14"/>
    </row>
    <row r="387">
      <c r="A387" s="7">
        <v>3172.0</v>
      </c>
      <c r="B387" s="8" t="s">
        <v>8</v>
      </c>
      <c r="C387" s="13"/>
      <c r="F387" s="13"/>
      <c r="G387" s="11"/>
      <c r="H387" s="14"/>
    </row>
    <row r="388">
      <c r="A388" s="7">
        <v>3187.0</v>
      </c>
      <c r="B388" s="8" t="s">
        <v>8</v>
      </c>
      <c r="C388" s="13"/>
      <c r="F388" s="13"/>
      <c r="G388" s="11"/>
      <c r="H388" s="14"/>
    </row>
    <row r="389">
      <c r="A389" s="7">
        <v>3202.0</v>
      </c>
      <c r="B389" s="8" t="s">
        <v>8</v>
      </c>
      <c r="C389" s="13"/>
      <c r="F389" s="13"/>
      <c r="G389" s="11"/>
      <c r="H389" s="14"/>
    </row>
    <row r="390">
      <c r="A390" s="7">
        <v>3213.0</v>
      </c>
      <c r="B390" s="8" t="s">
        <v>8</v>
      </c>
      <c r="C390" s="13"/>
      <c r="F390" s="13"/>
      <c r="G390" s="11"/>
      <c r="H390" s="14"/>
    </row>
    <row r="391">
      <c r="A391" s="7">
        <v>3218.0</v>
      </c>
      <c r="B391" s="8" t="s">
        <v>8</v>
      </c>
      <c r="C391" s="13"/>
      <c r="F391" s="13"/>
      <c r="G391" s="11"/>
      <c r="H391" s="14"/>
    </row>
    <row r="392">
      <c r="A392" s="7">
        <v>3221.0</v>
      </c>
      <c r="B392" s="8" t="s">
        <v>8</v>
      </c>
      <c r="C392" s="13"/>
      <c r="F392" s="13"/>
      <c r="G392" s="11"/>
      <c r="H392" s="14"/>
    </row>
    <row r="393">
      <c r="A393" s="7">
        <v>3226.0</v>
      </c>
      <c r="B393" s="8" t="s">
        <v>8</v>
      </c>
      <c r="C393" s="13"/>
      <c r="F393" s="13"/>
      <c r="G393" s="11"/>
      <c r="H393" s="14"/>
    </row>
    <row r="394">
      <c r="A394" s="7">
        <v>3234.0</v>
      </c>
      <c r="B394" s="8" t="s">
        <v>8</v>
      </c>
      <c r="C394" s="13"/>
      <c r="F394" s="13"/>
      <c r="G394" s="11"/>
      <c r="H394" s="14"/>
    </row>
    <row r="395">
      <c r="A395" s="7">
        <v>3244.0</v>
      </c>
      <c r="B395" s="8" t="s">
        <v>8</v>
      </c>
      <c r="C395" s="13"/>
      <c r="F395" s="13"/>
      <c r="G395" s="11"/>
      <c r="H395" s="14"/>
    </row>
    <row r="396">
      <c r="A396" s="7">
        <v>3256.0</v>
      </c>
      <c r="B396" s="8" t="s">
        <v>8</v>
      </c>
      <c r="C396" s="13"/>
      <c r="F396" s="13"/>
      <c r="G396" s="11"/>
      <c r="H396" s="14"/>
    </row>
    <row r="397">
      <c r="A397" s="7">
        <v>3263.0</v>
      </c>
      <c r="B397" s="8" t="s">
        <v>8</v>
      </c>
      <c r="C397" s="13"/>
      <c r="F397" s="13"/>
      <c r="G397" s="11"/>
      <c r="H397" s="14"/>
    </row>
    <row r="398">
      <c r="A398" s="7">
        <v>3272.0</v>
      </c>
      <c r="B398" s="8" t="s">
        <v>8</v>
      </c>
      <c r="C398" s="13"/>
      <c r="F398" s="13"/>
      <c r="G398" s="11"/>
      <c r="H398" s="14"/>
    </row>
    <row r="399">
      <c r="A399" s="7">
        <v>3280.0</v>
      </c>
      <c r="B399" s="8" t="s">
        <v>8</v>
      </c>
      <c r="C399" s="13"/>
      <c r="F399" s="13"/>
      <c r="G399" s="11"/>
      <c r="H399" s="14"/>
    </row>
    <row r="400">
      <c r="A400" s="7">
        <v>3286.0</v>
      </c>
      <c r="B400" s="8" t="s">
        <v>8</v>
      </c>
      <c r="C400" s="13"/>
      <c r="F400" s="13"/>
      <c r="G400" s="11"/>
      <c r="H400" s="14"/>
    </row>
    <row r="401">
      <c r="A401" s="7">
        <v>3293.0</v>
      </c>
      <c r="B401" s="8" t="s">
        <v>8</v>
      </c>
      <c r="C401" s="13"/>
      <c r="F401" s="13"/>
      <c r="G401" s="11"/>
      <c r="H401" s="14"/>
    </row>
    <row r="402">
      <c r="A402" s="7">
        <v>3299.0</v>
      </c>
      <c r="B402" s="8" t="s">
        <v>8</v>
      </c>
      <c r="C402" s="13"/>
      <c r="F402" s="13"/>
      <c r="G402" s="11"/>
      <c r="H402" s="14"/>
    </row>
    <row r="403">
      <c r="A403" s="7">
        <v>3306.0</v>
      </c>
      <c r="B403" s="8" t="s">
        <v>8</v>
      </c>
      <c r="C403" s="13"/>
      <c r="F403" s="13"/>
      <c r="G403" s="11"/>
      <c r="H403" s="14"/>
    </row>
    <row r="404">
      <c r="A404" s="7">
        <v>3311.0</v>
      </c>
      <c r="B404" s="8" t="s">
        <v>8</v>
      </c>
      <c r="C404" s="13"/>
      <c r="F404" s="13"/>
      <c r="G404" s="11"/>
      <c r="H404" s="14"/>
    </row>
    <row r="405">
      <c r="A405" s="7">
        <v>3315.0</v>
      </c>
      <c r="B405" s="8" t="s">
        <v>8</v>
      </c>
      <c r="C405" s="13"/>
      <c r="F405" s="13"/>
      <c r="G405" s="11"/>
      <c r="H405" s="14"/>
    </row>
    <row r="406">
      <c r="A406" s="7">
        <v>3324.0</v>
      </c>
      <c r="B406" s="8" t="s">
        <v>8</v>
      </c>
      <c r="C406" s="13"/>
      <c r="F406" s="13"/>
      <c r="G406" s="11"/>
      <c r="H406" s="14"/>
    </row>
    <row r="407">
      <c r="A407" s="7">
        <v>3330.0</v>
      </c>
      <c r="B407" s="8" t="s">
        <v>8</v>
      </c>
      <c r="C407" s="13"/>
      <c r="F407" s="13"/>
      <c r="G407" s="11"/>
      <c r="H407" s="14"/>
    </row>
    <row r="408">
      <c r="A408" s="7">
        <v>3335.0</v>
      </c>
      <c r="B408" s="8" t="s">
        <v>8</v>
      </c>
      <c r="C408" s="13"/>
      <c r="F408" s="13"/>
      <c r="G408" s="11"/>
      <c r="H408" s="14"/>
    </row>
    <row r="409">
      <c r="A409" s="7">
        <v>3343.0</v>
      </c>
      <c r="B409" s="8" t="s">
        <v>8</v>
      </c>
      <c r="C409" s="13"/>
      <c r="F409" s="13"/>
      <c r="G409" s="11"/>
      <c r="H409" s="14"/>
    </row>
    <row r="410">
      <c r="A410" s="7">
        <v>3355.0</v>
      </c>
      <c r="B410" s="8" t="s">
        <v>8</v>
      </c>
      <c r="C410" s="13"/>
      <c r="F410" s="13"/>
      <c r="G410" s="11"/>
      <c r="H410" s="14"/>
    </row>
    <row r="411">
      <c r="A411" s="7">
        <v>3362.0</v>
      </c>
      <c r="B411" s="8" t="s">
        <v>8</v>
      </c>
      <c r="C411" s="13"/>
      <c r="F411" s="13"/>
      <c r="G411" s="11"/>
      <c r="H411" s="14"/>
    </row>
    <row r="412">
      <c r="A412" s="7">
        <v>3372.0</v>
      </c>
      <c r="B412" s="8" t="s">
        <v>8</v>
      </c>
      <c r="C412" s="13"/>
      <c r="F412" s="13"/>
      <c r="G412" s="11"/>
      <c r="H412" s="14"/>
    </row>
    <row r="413">
      <c r="A413" s="7">
        <v>3378.0</v>
      </c>
      <c r="B413" s="8" t="s">
        <v>8</v>
      </c>
      <c r="C413" s="13"/>
      <c r="F413" s="13"/>
      <c r="G413" s="11"/>
      <c r="H413" s="14"/>
    </row>
    <row r="414">
      <c r="A414" s="7">
        <v>3382.0</v>
      </c>
      <c r="B414" s="8" t="s">
        <v>8</v>
      </c>
      <c r="C414" s="13"/>
      <c r="F414" s="13"/>
      <c r="G414" s="11"/>
      <c r="H414" s="14"/>
    </row>
    <row r="415">
      <c r="A415" s="7">
        <v>3401.0</v>
      </c>
      <c r="B415" s="8" t="s">
        <v>8</v>
      </c>
      <c r="C415" s="13"/>
      <c r="F415" s="13"/>
      <c r="G415" s="11"/>
      <c r="H415" s="14"/>
    </row>
    <row r="416">
      <c r="A416" s="7">
        <v>3405.0</v>
      </c>
      <c r="B416" s="8" t="s">
        <v>8</v>
      </c>
      <c r="C416" s="13"/>
      <c r="F416" s="13"/>
      <c r="G416" s="11"/>
      <c r="H416" s="14"/>
    </row>
    <row r="417">
      <c r="A417" s="7">
        <v>3414.0</v>
      </c>
      <c r="B417" s="8" t="s">
        <v>8</v>
      </c>
      <c r="C417" s="13"/>
      <c r="F417" s="13"/>
      <c r="G417" s="11"/>
      <c r="H417" s="14"/>
    </row>
    <row r="418">
      <c r="A418" s="7">
        <v>3435.0</v>
      </c>
      <c r="B418" s="8" t="s">
        <v>8</v>
      </c>
      <c r="C418" s="13"/>
      <c r="F418" s="13"/>
      <c r="G418" s="11"/>
      <c r="H418" s="14"/>
    </row>
    <row r="419">
      <c r="A419" s="7">
        <v>3439.0</v>
      </c>
      <c r="B419" s="8" t="s">
        <v>8</v>
      </c>
      <c r="C419" s="13"/>
      <c r="F419" s="13"/>
      <c r="G419" s="11"/>
      <c r="H419" s="14"/>
    </row>
    <row r="420">
      <c r="A420" s="7">
        <v>3444.0</v>
      </c>
      <c r="B420" s="8" t="s">
        <v>8</v>
      </c>
      <c r="C420" s="13"/>
      <c r="F420" s="13"/>
      <c r="G420" s="11"/>
      <c r="H420" s="14"/>
    </row>
    <row r="421">
      <c r="A421" s="7">
        <v>3448.0</v>
      </c>
      <c r="B421" s="8" t="s">
        <v>8</v>
      </c>
      <c r="C421" s="13"/>
      <c r="F421" s="13"/>
      <c r="G421" s="11"/>
      <c r="H421" s="14"/>
    </row>
    <row r="422">
      <c r="A422" s="7">
        <v>3456.0</v>
      </c>
      <c r="B422" s="8" t="s">
        <v>8</v>
      </c>
      <c r="C422" s="13"/>
      <c r="F422" s="13"/>
      <c r="G422" s="11"/>
      <c r="H422" s="14"/>
    </row>
    <row r="423">
      <c r="A423" s="7">
        <v>3463.0</v>
      </c>
      <c r="B423" s="8" t="s">
        <v>8</v>
      </c>
      <c r="C423" s="13"/>
      <c r="F423" s="13"/>
      <c r="G423" s="11"/>
      <c r="H423" s="14"/>
    </row>
    <row r="424">
      <c r="A424" s="7">
        <v>3470.0</v>
      </c>
      <c r="B424" s="8" t="s">
        <v>8</v>
      </c>
      <c r="C424" s="13"/>
      <c r="F424" s="13"/>
      <c r="G424" s="11"/>
      <c r="H424" s="14"/>
    </row>
    <row r="425">
      <c r="A425" s="7">
        <v>3476.0</v>
      </c>
      <c r="B425" s="8" t="s">
        <v>8</v>
      </c>
      <c r="C425" s="13"/>
      <c r="F425" s="13"/>
      <c r="G425" s="11"/>
      <c r="H425" s="14"/>
    </row>
    <row r="426">
      <c r="A426" s="7">
        <v>3481.0</v>
      </c>
      <c r="B426" s="8" t="s">
        <v>8</v>
      </c>
      <c r="C426" s="13"/>
      <c r="F426" s="13"/>
      <c r="G426" s="11"/>
      <c r="H426" s="14"/>
    </row>
    <row r="427">
      <c r="A427" s="7">
        <v>3487.0</v>
      </c>
      <c r="B427" s="8" t="s">
        <v>8</v>
      </c>
      <c r="C427" s="13"/>
      <c r="F427" s="13"/>
      <c r="G427" s="11"/>
      <c r="H427" s="14"/>
    </row>
    <row r="428">
      <c r="A428" s="7">
        <v>3494.0</v>
      </c>
      <c r="B428" s="8" t="s">
        <v>8</v>
      </c>
      <c r="C428" s="13"/>
      <c r="F428" s="13"/>
      <c r="G428" s="11"/>
      <c r="H428" s="14"/>
    </row>
    <row r="429">
      <c r="A429" s="7">
        <v>3503.0</v>
      </c>
      <c r="B429" s="8" t="s">
        <v>8</v>
      </c>
      <c r="C429" s="13"/>
      <c r="F429" s="13"/>
      <c r="G429" s="11"/>
      <c r="H429" s="14"/>
    </row>
    <row r="430">
      <c r="A430" s="7">
        <v>3511.0</v>
      </c>
      <c r="B430" s="8" t="s">
        <v>8</v>
      </c>
      <c r="C430" s="13"/>
      <c r="F430" s="13"/>
      <c r="G430" s="11"/>
      <c r="H430" s="14"/>
    </row>
    <row r="431">
      <c r="A431" s="7">
        <v>3522.0</v>
      </c>
      <c r="B431" s="8" t="s">
        <v>8</v>
      </c>
      <c r="C431" s="13"/>
      <c r="F431" s="13"/>
      <c r="G431" s="11"/>
      <c r="H431" s="14"/>
    </row>
    <row r="432">
      <c r="A432" s="7">
        <v>3536.0</v>
      </c>
      <c r="B432" s="8" t="s">
        <v>8</v>
      </c>
      <c r="C432" s="13"/>
      <c r="F432" s="13"/>
      <c r="G432" s="11"/>
      <c r="H432" s="14"/>
    </row>
    <row r="433">
      <c r="A433" s="7">
        <v>3539.0</v>
      </c>
      <c r="B433" s="8" t="s">
        <v>8</v>
      </c>
      <c r="C433" s="13"/>
      <c r="F433" s="13"/>
      <c r="G433" s="11"/>
      <c r="H433" s="14"/>
    </row>
    <row r="434">
      <c r="A434" s="7">
        <v>3548.0</v>
      </c>
      <c r="B434" s="8" t="s">
        <v>8</v>
      </c>
      <c r="C434" s="13"/>
      <c r="F434" s="13"/>
      <c r="G434" s="11"/>
      <c r="H434" s="14"/>
    </row>
    <row r="435">
      <c r="A435" s="7">
        <v>3552.0</v>
      </c>
      <c r="B435" s="8" t="s">
        <v>8</v>
      </c>
      <c r="C435" s="13"/>
      <c r="F435" s="13"/>
      <c r="G435" s="11"/>
      <c r="H435" s="14"/>
    </row>
    <row r="436">
      <c r="A436" s="7">
        <v>3557.0</v>
      </c>
      <c r="B436" s="8" t="s">
        <v>8</v>
      </c>
      <c r="C436" s="13"/>
      <c r="F436" s="13"/>
      <c r="G436" s="11"/>
      <c r="H436" s="14"/>
    </row>
    <row r="437">
      <c r="A437" s="7">
        <v>3561.0</v>
      </c>
      <c r="B437" s="8" t="s">
        <v>8</v>
      </c>
      <c r="C437" s="13"/>
      <c r="F437" s="13"/>
      <c r="G437" s="11"/>
      <c r="H437" s="14"/>
    </row>
    <row r="438">
      <c r="A438" s="7">
        <v>3570.0</v>
      </c>
      <c r="B438" s="8" t="s">
        <v>8</v>
      </c>
      <c r="C438" s="13"/>
      <c r="F438" s="13"/>
      <c r="G438" s="11"/>
      <c r="H438" s="14"/>
    </row>
    <row r="439">
      <c r="A439" s="7">
        <v>3574.0</v>
      </c>
      <c r="B439" s="8" t="s">
        <v>8</v>
      </c>
      <c r="C439" s="13"/>
      <c r="F439" s="13"/>
      <c r="G439" s="11"/>
      <c r="H439" s="14"/>
    </row>
    <row r="440">
      <c r="A440" s="7">
        <v>3579.0</v>
      </c>
      <c r="B440" s="8" t="s">
        <v>8</v>
      </c>
      <c r="C440" s="13"/>
      <c r="F440" s="13"/>
      <c r="G440" s="11"/>
      <c r="H440" s="14"/>
    </row>
    <row r="441">
      <c r="A441" s="7">
        <v>3587.0</v>
      </c>
      <c r="B441" s="8" t="s">
        <v>8</v>
      </c>
      <c r="C441" s="13"/>
      <c r="F441" s="13"/>
      <c r="G441" s="11"/>
      <c r="H441" s="14"/>
    </row>
    <row r="442">
      <c r="A442" s="7">
        <v>3591.0</v>
      </c>
      <c r="B442" s="8" t="s">
        <v>8</v>
      </c>
      <c r="C442" s="13"/>
      <c r="F442" s="13"/>
      <c r="G442" s="11"/>
      <c r="H442" s="14"/>
    </row>
    <row r="443">
      <c r="A443" s="7">
        <v>3603.0</v>
      </c>
      <c r="B443" s="8" t="s">
        <v>8</v>
      </c>
      <c r="C443" s="13"/>
      <c r="F443" s="13"/>
      <c r="G443" s="11"/>
      <c r="H443" s="14"/>
    </row>
    <row r="444">
      <c r="A444" s="7">
        <v>3615.0</v>
      </c>
      <c r="B444" s="8" t="s">
        <v>8</v>
      </c>
      <c r="C444" s="13"/>
      <c r="F444" s="13"/>
      <c r="G444" s="11"/>
      <c r="H444" s="14"/>
    </row>
    <row r="445">
      <c r="A445" s="7">
        <v>3622.0</v>
      </c>
      <c r="B445" s="8" t="s">
        <v>8</v>
      </c>
      <c r="C445" s="13"/>
      <c r="F445" s="13"/>
      <c r="G445" s="11"/>
      <c r="H445" s="14"/>
    </row>
    <row r="446">
      <c r="A446" s="7">
        <v>3627.0</v>
      </c>
      <c r="B446" s="8" t="s">
        <v>8</v>
      </c>
      <c r="C446" s="13"/>
      <c r="F446" s="13"/>
      <c r="G446" s="11"/>
      <c r="H446" s="14"/>
    </row>
    <row r="447">
      <c r="A447" s="7">
        <v>3631.0</v>
      </c>
      <c r="B447" s="8" t="s">
        <v>8</v>
      </c>
      <c r="C447" s="13"/>
      <c r="F447" s="13"/>
      <c r="G447" s="11"/>
      <c r="H447" s="14"/>
    </row>
    <row r="448">
      <c r="A448" s="7">
        <v>3640.0</v>
      </c>
      <c r="B448" s="8" t="s">
        <v>8</v>
      </c>
      <c r="C448" s="13"/>
      <c r="F448" s="13"/>
      <c r="G448" s="11"/>
      <c r="H448" s="14"/>
    </row>
    <row r="449">
      <c r="A449" s="7">
        <v>3649.0</v>
      </c>
      <c r="B449" s="8" t="s">
        <v>8</v>
      </c>
      <c r="C449" s="13"/>
      <c r="F449" s="13"/>
      <c r="G449" s="11"/>
      <c r="H449" s="14"/>
    </row>
    <row r="450">
      <c r="A450" s="7">
        <v>3664.0</v>
      </c>
      <c r="B450" s="8" t="s">
        <v>8</v>
      </c>
      <c r="C450" s="13"/>
      <c r="F450" s="13"/>
      <c r="G450" s="11"/>
      <c r="H450" s="14"/>
    </row>
    <row r="451">
      <c r="A451" s="7">
        <v>3679.0</v>
      </c>
      <c r="B451" s="8" t="s">
        <v>8</v>
      </c>
      <c r="C451" s="13"/>
      <c r="F451" s="13"/>
      <c r="G451" s="11"/>
      <c r="H451" s="14"/>
    </row>
    <row r="452">
      <c r="A452" s="7">
        <v>3687.0</v>
      </c>
      <c r="B452" s="8" t="s">
        <v>8</v>
      </c>
      <c r="C452" s="13"/>
      <c r="F452" s="13"/>
      <c r="G452" s="11"/>
      <c r="H452" s="14"/>
    </row>
    <row r="453">
      <c r="A453" s="7">
        <v>3692.0</v>
      </c>
      <c r="B453" s="8" t="s">
        <v>8</v>
      </c>
      <c r="C453" s="13"/>
      <c r="F453" s="13"/>
      <c r="G453" s="11"/>
      <c r="H453" s="14"/>
    </row>
    <row r="454">
      <c r="A454" s="7">
        <v>3699.0</v>
      </c>
      <c r="B454" s="8" t="s">
        <v>8</v>
      </c>
      <c r="C454" s="13"/>
      <c r="F454" s="13"/>
      <c r="G454" s="11"/>
      <c r="H454" s="14"/>
    </row>
    <row r="455">
      <c r="A455" s="7">
        <v>3707.0</v>
      </c>
      <c r="B455" s="8" t="s">
        <v>8</v>
      </c>
      <c r="C455" s="13"/>
      <c r="F455" s="13"/>
      <c r="G455" s="11"/>
      <c r="H455" s="14"/>
    </row>
    <row r="456">
      <c r="A456" s="7">
        <v>3720.0</v>
      </c>
      <c r="B456" s="8" t="s">
        <v>8</v>
      </c>
      <c r="C456" s="13"/>
      <c r="F456" s="13"/>
      <c r="G456" s="11"/>
      <c r="H456" s="14"/>
    </row>
    <row r="457">
      <c r="A457" s="7">
        <v>3736.0</v>
      </c>
      <c r="B457" s="8" t="s">
        <v>8</v>
      </c>
      <c r="C457" s="13"/>
      <c r="F457" s="13"/>
      <c r="G457" s="11"/>
      <c r="H457" s="14"/>
    </row>
    <row r="458">
      <c r="A458" s="7">
        <v>3745.0</v>
      </c>
      <c r="B458" s="8" t="s">
        <v>8</v>
      </c>
      <c r="C458" s="13"/>
      <c r="F458" s="13"/>
      <c r="G458" s="11"/>
      <c r="H458" s="14"/>
    </row>
    <row r="459">
      <c r="A459" s="7">
        <v>3750.0</v>
      </c>
      <c r="B459" s="8" t="s">
        <v>8</v>
      </c>
      <c r="C459" s="13"/>
      <c r="F459" s="13"/>
      <c r="G459" s="11"/>
      <c r="H459" s="14"/>
    </row>
    <row r="460">
      <c r="A460" s="7">
        <v>3755.0</v>
      </c>
      <c r="B460" s="8" t="s">
        <v>8</v>
      </c>
      <c r="C460" s="13"/>
      <c r="F460" s="13"/>
      <c r="G460" s="11"/>
      <c r="H460" s="14"/>
    </row>
    <row r="461">
      <c r="A461" s="7">
        <v>3762.0</v>
      </c>
      <c r="B461" s="8" t="s">
        <v>8</v>
      </c>
      <c r="C461" s="13"/>
      <c r="F461" s="13"/>
      <c r="G461" s="11"/>
      <c r="H461" s="14"/>
    </row>
    <row r="462">
      <c r="A462" s="7">
        <v>3767.0</v>
      </c>
      <c r="B462" s="8" t="s">
        <v>8</v>
      </c>
      <c r="C462" s="13"/>
      <c r="F462" s="13"/>
      <c r="G462" s="11"/>
      <c r="H462" s="14"/>
    </row>
    <row r="463">
      <c r="A463" s="7">
        <v>3774.0</v>
      </c>
      <c r="B463" s="8" t="s">
        <v>8</v>
      </c>
      <c r="C463" s="13"/>
      <c r="F463" s="13"/>
      <c r="G463" s="11"/>
      <c r="H463" s="14"/>
    </row>
    <row r="464">
      <c r="A464" s="7">
        <v>3779.0</v>
      </c>
      <c r="B464" s="8" t="s">
        <v>8</v>
      </c>
      <c r="C464" s="13"/>
      <c r="F464" s="13"/>
      <c r="G464" s="11"/>
      <c r="H464" s="14"/>
    </row>
    <row r="465">
      <c r="A465" s="7">
        <v>3817.00564366942</v>
      </c>
      <c r="B465" s="8" t="s">
        <v>8</v>
      </c>
      <c r="C465" s="13"/>
      <c r="F465" s="13"/>
      <c r="G465" s="11"/>
      <c r="H465" s="14"/>
    </row>
    <row r="466">
      <c r="A466" s="7">
        <v>3825.19779917114</v>
      </c>
      <c r="B466" s="8" t="s">
        <v>8</v>
      </c>
      <c r="C466" s="13"/>
      <c r="F466" s="13"/>
      <c r="G466" s="11"/>
      <c r="H466" s="14"/>
    </row>
    <row r="467">
      <c r="A467" s="7"/>
      <c r="C467" s="13"/>
      <c r="F467" s="13"/>
      <c r="G467" s="11"/>
      <c r="H467" s="14"/>
    </row>
    <row r="468">
      <c r="A468" s="7"/>
      <c r="C468" s="13"/>
      <c r="F468" s="13"/>
      <c r="G468" s="11"/>
      <c r="H468" s="14"/>
    </row>
    <row r="469">
      <c r="A469" s="7"/>
      <c r="C469" s="13"/>
      <c r="F469" s="13"/>
      <c r="G469" s="11"/>
      <c r="H469" s="14"/>
    </row>
    <row r="470">
      <c r="A470" s="7"/>
      <c r="C470" s="13"/>
      <c r="F470" s="13"/>
      <c r="G470" s="11"/>
      <c r="H470" s="14"/>
    </row>
    <row r="471">
      <c r="A471" s="7"/>
      <c r="C471" s="13"/>
      <c r="F471" s="13"/>
      <c r="G471" s="11"/>
      <c r="H471" s="14"/>
    </row>
    <row r="472">
      <c r="A472" s="7"/>
      <c r="C472" s="13"/>
      <c r="F472" s="13"/>
      <c r="G472" s="11"/>
      <c r="H472" s="14"/>
    </row>
    <row r="473">
      <c r="A473" s="7"/>
      <c r="C473" s="13"/>
      <c r="F473" s="13"/>
      <c r="G473" s="11"/>
      <c r="H473" s="14"/>
    </row>
    <row r="474">
      <c r="A474" s="7"/>
      <c r="C474" s="13"/>
      <c r="F474" s="13"/>
      <c r="G474" s="11"/>
      <c r="H474" s="14"/>
    </row>
    <row r="475">
      <c r="A475" s="7"/>
      <c r="C475" s="13"/>
      <c r="F475" s="13"/>
      <c r="G475" s="11"/>
      <c r="H475" s="14"/>
    </row>
    <row r="476">
      <c r="A476" s="7"/>
      <c r="C476" s="13"/>
      <c r="F476" s="13"/>
      <c r="G476" s="11"/>
      <c r="H476" s="14"/>
    </row>
    <row r="477">
      <c r="A477" s="7"/>
      <c r="C477" s="13"/>
      <c r="F477" s="13"/>
      <c r="G477" s="11"/>
      <c r="H477" s="14"/>
    </row>
    <row r="478">
      <c r="A478" s="7"/>
      <c r="C478" s="13"/>
      <c r="F478" s="13"/>
      <c r="G478" s="11"/>
      <c r="H478" s="14"/>
    </row>
    <row r="479">
      <c r="A479" s="7"/>
      <c r="C479" s="13"/>
      <c r="F479" s="13"/>
      <c r="G479" s="11"/>
      <c r="H479" s="14"/>
    </row>
    <row r="480">
      <c r="A480" s="7"/>
      <c r="C480" s="13"/>
      <c r="F480" s="13"/>
      <c r="G480" s="11"/>
      <c r="H480" s="14"/>
    </row>
    <row r="481">
      <c r="A481" s="7"/>
      <c r="C481" s="13"/>
      <c r="F481" s="13"/>
      <c r="G481" s="11"/>
      <c r="H481" s="14"/>
    </row>
    <row r="482">
      <c r="A482" s="7"/>
      <c r="C482" s="13"/>
      <c r="F482" s="13"/>
      <c r="G482" s="11"/>
      <c r="H482" s="14"/>
    </row>
    <row r="483">
      <c r="A483" s="7"/>
      <c r="C483" s="13"/>
      <c r="F483" s="13"/>
      <c r="G483" s="11"/>
      <c r="H483" s="14"/>
    </row>
    <row r="484">
      <c r="A484" s="7"/>
      <c r="C484" s="13"/>
      <c r="F484" s="13"/>
      <c r="G484" s="11"/>
      <c r="H484" s="14"/>
    </row>
    <row r="485">
      <c r="A485" s="7"/>
      <c r="C485" s="13"/>
      <c r="F485" s="13"/>
      <c r="G485" s="11"/>
      <c r="H485" s="14"/>
    </row>
    <row r="486">
      <c r="A486" s="7"/>
      <c r="C486" s="13"/>
      <c r="F486" s="13"/>
      <c r="G486" s="11"/>
      <c r="H486" s="14"/>
    </row>
    <row r="487">
      <c r="A487" s="7"/>
      <c r="C487" s="13"/>
      <c r="F487" s="13"/>
      <c r="G487" s="11"/>
      <c r="H487" s="14"/>
    </row>
    <row r="488">
      <c r="A488" s="7"/>
      <c r="C488" s="13"/>
      <c r="F488" s="13"/>
      <c r="G488" s="11"/>
      <c r="H488" s="14"/>
    </row>
    <row r="489">
      <c r="A489" s="7"/>
      <c r="C489" s="13"/>
      <c r="F489" s="13"/>
      <c r="G489" s="11"/>
      <c r="H489" s="14"/>
    </row>
    <row r="490">
      <c r="A490" s="7"/>
      <c r="C490" s="13"/>
      <c r="F490" s="13"/>
      <c r="G490" s="11"/>
      <c r="H490" s="14"/>
    </row>
    <row r="491">
      <c r="A491" s="7"/>
      <c r="C491" s="13"/>
      <c r="F491" s="13"/>
      <c r="G491" s="11"/>
      <c r="H491" s="14"/>
    </row>
    <row r="492">
      <c r="A492" s="7"/>
      <c r="C492" s="13"/>
      <c r="F492" s="13"/>
      <c r="G492" s="11"/>
      <c r="H492" s="14"/>
    </row>
    <row r="493">
      <c r="A493" s="7"/>
      <c r="C493" s="13"/>
      <c r="F493" s="13"/>
      <c r="G493" s="11"/>
      <c r="H493" s="14"/>
    </row>
    <row r="494">
      <c r="A494" s="7"/>
      <c r="C494" s="13"/>
      <c r="F494" s="13"/>
      <c r="G494" s="11"/>
      <c r="H494" s="14"/>
    </row>
    <row r="495">
      <c r="A495" s="7"/>
      <c r="C495" s="13"/>
      <c r="F495" s="13"/>
      <c r="G495" s="11"/>
      <c r="H495" s="14"/>
    </row>
    <row r="496">
      <c r="A496" s="7"/>
      <c r="C496" s="13"/>
      <c r="F496" s="13"/>
      <c r="G496" s="11"/>
      <c r="H496" s="14"/>
    </row>
    <row r="497">
      <c r="A497" s="7"/>
      <c r="C497" s="13"/>
      <c r="F497" s="13"/>
      <c r="G497" s="11"/>
      <c r="H497" s="14"/>
    </row>
    <row r="498">
      <c r="A498" s="7"/>
      <c r="C498" s="13"/>
      <c r="F498" s="13"/>
      <c r="G498" s="11"/>
      <c r="H498" s="14"/>
    </row>
    <row r="499">
      <c r="A499" s="7"/>
      <c r="C499" s="13"/>
      <c r="F499" s="13"/>
      <c r="G499" s="11"/>
      <c r="H499" s="14"/>
    </row>
    <row r="500">
      <c r="A500" s="7"/>
      <c r="C500" s="13"/>
      <c r="F500" s="13"/>
      <c r="G500" s="11"/>
      <c r="H500" s="14"/>
    </row>
    <row r="501">
      <c r="A501" s="7"/>
      <c r="C501" s="13"/>
      <c r="F501" s="13"/>
      <c r="G501" s="11"/>
      <c r="H501" s="14"/>
    </row>
    <row r="502">
      <c r="A502" s="7"/>
      <c r="C502" s="13"/>
      <c r="F502" s="13"/>
      <c r="G502" s="11"/>
      <c r="H502" s="14"/>
    </row>
    <row r="503">
      <c r="A503" s="7"/>
      <c r="C503" s="13"/>
      <c r="F503" s="13"/>
      <c r="G503" s="11"/>
      <c r="H503" s="14"/>
    </row>
    <row r="504">
      <c r="A504" s="7"/>
      <c r="C504" s="13"/>
      <c r="F504" s="13"/>
      <c r="G504" s="11"/>
      <c r="H504" s="14"/>
    </row>
    <row r="505">
      <c r="A505" s="7"/>
      <c r="C505" s="13"/>
      <c r="F505" s="13"/>
      <c r="G505" s="11"/>
      <c r="H505" s="14"/>
    </row>
    <row r="506">
      <c r="A506" s="7"/>
      <c r="C506" s="13"/>
      <c r="F506" s="13"/>
      <c r="G506" s="11"/>
      <c r="H506" s="14"/>
    </row>
    <row r="507">
      <c r="A507" s="7"/>
      <c r="C507" s="13"/>
      <c r="F507" s="13"/>
      <c r="G507" s="11"/>
      <c r="H507" s="14"/>
    </row>
    <row r="508">
      <c r="A508" s="7"/>
      <c r="C508" s="13"/>
      <c r="F508" s="13"/>
      <c r="G508" s="11"/>
      <c r="H508" s="14"/>
    </row>
    <row r="509">
      <c r="A509" s="7"/>
      <c r="C509" s="13"/>
      <c r="F509" s="13"/>
      <c r="G509" s="11"/>
      <c r="H509" s="14"/>
    </row>
    <row r="510">
      <c r="A510" s="7"/>
      <c r="C510" s="13"/>
      <c r="F510" s="13"/>
      <c r="G510" s="11"/>
      <c r="H510" s="14"/>
    </row>
    <row r="511">
      <c r="A511" s="7"/>
      <c r="C511" s="13"/>
      <c r="F511" s="13"/>
      <c r="G511" s="11"/>
      <c r="H511" s="14"/>
    </row>
    <row r="512">
      <c r="A512" s="7"/>
      <c r="C512" s="13"/>
      <c r="F512" s="13"/>
      <c r="G512" s="11"/>
      <c r="H512" s="14"/>
    </row>
    <row r="513">
      <c r="A513" s="7"/>
      <c r="C513" s="13"/>
      <c r="F513" s="13"/>
      <c r="G513" s="11"/>
      <c r="H513" s="14"/>
    </row>
    <row r="514">
      <c r="A514" s="7"/>
      <c r="C514" s="13"/>
      <c r="F514" s="13"/>
      <c r="G514" s="11"/>
      <c r="H514" s="14"/>
    </row>
    <row r="515">
      <c r="A515" s="7"/>
      <c r="C515" s="13"/>
      <c r="F515" s="13"/>
      <c r="G515" s="11"/>
      <c r="H515" s="14"/>
    </row>
    <row r="516">
      <c r="A516" s="7"/>
      <c r="C516" s="13"/>
      <c r="F516" s="13"/>
      <c r="G516" s="11"/>
      <c r="H516" s="14"/>
    </row>
    <row r="517">
      <c r="A517" s="7"/>
      <c r="C517" s="13"/>
      <c r="F517" s="13"/>
      <c r="G517" s="11"/>
      <c r="H517" s="14"/>
    </row>
    <row r="518">
      <c r="A518" s="7"/>
      <c r="C518" s="13"/>
      <c r="F518" s="13"/>
      <c r="G518" s="11"/>
      <c r="H518" s="14"/>
    </row>
    <row r="519">
      <c r="A519" s="7"/>
      <c r="C519" s="13"/>
      <c r="F519" s="13"/>
      <c r="G519" s="11"/>
      <c r="H519" s="14"/>
    </row>
    <row r="520">
      <c r="A520" s="7"/>
      <c r="C520" s="13"/>
      <c r="F520" s="13"/>
      <c r="G520" s="11"/>
      <c r="H520" s="14"/>
    </row>
    <row r="521">
      <c r="A521" s="7"/>
      <c r="C521" s="13"/>
      <c r="F521" s="13"/>
      <c r="G521" s="11"/>
      <c r="H521" s="14"/>
    </row>
    <row r="522">
      <c r="A522" s="7"/>
      <c r="C522" s="13"/>
      <c r="F522" s="13"/>
      <c r="G522" s="11"/>
      <c r="H522" s="14"/>
    </row>
    <row r="523">
      <c r="A523" s="7"/>
      <c r="C523" s="13"/>
      <c r="F523" s="13"/>
      <c r="G523" s="11"/>
      <c r="H523" s="14"/>
    </row>
    <row r="524">
      <c r="A524" s="7"/>
      <c r="C524" s="13"/>
      <c r="F524" s="13"/>
      <c r="G524" s="11"/>
      <c r="H524" s="14"/>
    </row>
    <row r="525">
      <c r="A525" s="7"/>
      <c r="C525" s="13"/>
      <c r="F525" s="13"/>
      <c r="G525" s="11"/>
      <c r="H525" s="14"/>
    </row>
    <row r="526">
      <c r="A526" s="7"/>
      <c r="C526" s="13"/>
      <c r="F526" s="13"/>
      <c r="G526" s="11"/>
      <c r="H526" s="14"/>
    </row>
    <row r="527">
      <c r="A527" s="7"/>
      <c r="C527" s="13"/>
      <c r="F527" s="13"/>
      <c r="G527" s="11"/>
      <c r="H527" s="14"/>
    </row>
    <row r="528">
      <c r="A528" s="7"/>
      <c r="C528" s="13"/>
      <c r="F528" s="13"/>
      <c r="G528" s="11"/>
      <c r="H528" s="14"/>
    </row>
    <row r="529">
      <c r="A529" s="7"/>
      <c r="C529" s="13"/>
      <c r="F529" s="13"/>
      <c r="G529" s="11"/>
      <c r="H529" s="14"/>
    </row>
    <row r="530">
      <c r="A530" s="7"/>
      <c r="C530" s="13"/>
      <c r="F530" s="13"/>
      <c r="G530" s="11"/>
      <c r="H530" s="14"/>
    </row>
    <row r="531">
      <c r="A531" s="7"/>
      <c r="C531" s="13"/>
      <c r="F531" s="13"/>
      <c r="G531" s="11"/>
      <c r="H531" s="14"/>
    </row>
    <row r="532">
      <c r="A532" s="7"/>
      <c r="C532" s="13"/>
      <c r="F532" s="13"/>
      <c r="G532" s="11"/>
      <c r="H532" s="14"/>
    </row>
    <row r="533">
      <c r="A533" s="7"/>
      <c r="C533" s="13"/>
      <c r="F533" s="13"/>
      <c r="G533" s="11"/>
      <c r="H533" s="14"/>
    </row>
    <row r="534">
      <c r="A534" s="7"/>
      <c r="C534" s="13"/>
      <c r="F534" s="13"/>
      <c r="G534" s="11"/>
      <c r="H534" s="14"/>
    </row>
    <row r="535">
      <c r="A535" s="7"/>
      <c r="C535" s="13"/>
      <c r="F535" s="13"/>
      <c r="G535" s="11"/>
      <c r="H535" s="14"/>
    </row>
    <row r="536">
      <c r="A536" s="7"/>
      <c r="C536" s="13"/>
      <c r="F536" s="13"/>
      <c r="G536" s="11"/>
      <c r="H536" s="14"/>
    </row>
    <row r="537">
      <c r="A537" s="7"/>
      <c r="C537" s="13"/>
      <c r="F537" s="13"/>
      <c r="G537" s="11"/>
      <c r="H537" s="14"/>
    </row>
    <row r="538">
      <c r="A538" s="7"/>
      <c r="C538" s="13"/>
      <c r="F538" s="13"/>
      <c r="G538" s="11"/>
      <c r="H538" s="14"/>
    </row>
    <row r="539">
      <c r="A539" s="7"/>
      <c r="C539" s="13"/>
      <c r="F539" s="13"/>
      <c r="G539" s="11"/>
      <c r="H539" s="14"/>
    </row>
    <row r="540">
      <c r="A540" s="7"/>
      <c r="C540" s="13"/>
      <c r="F540" s="13"/>
      <c r="G540" s="11"/>
      <c r="H540" s="14"/>
    </row>
    <row r="541">
      <c r="A541" s="7"/>
      <c r="C541" s="13"/>
      <c r="F541" s="13"/>
      <c r="G541" s="11"/>
      <c r="H541" s="14"/>
    </row>
    <row r="542">
      <c r="A542" s="7"/>
      <c r="C542" s="13"/>
      <c r="F542" s="13"/>
      <c r="G542" s="11"/>
      <c r="H542" s="14"/>
    </row>
    <row r="543">
      <c r="A543" s="7"/>
      <c r="C543" s="13"/>
      <c r="F543" s="13"/>
      <c r="G543" s="11"/>
      <c r="H543" s="14"/>
    </row>
    <row r="544">
      <c r="A544" s="7"/>
      <c r="C544" s="13"/>
      <c r="F544" s="13"/>
      <c r="G544" s="11"/>
      <c r="H544" s="14"/>
    </row>
    <row r="545">
      <c r="A545" s="7"/>
      <c r="C545" s="13"/>
      <c r="F545" s="13"/>
      <c r="G545" s="11"/>
      <c r="H545" s="14"/>
    </row>
    <row r="546">
      <c r="A546" s="7"/>
      <c r="C546" s="13"/>
      <c r="F546" s="13"/>
      <c r="G546" s="11"/>
      <c r="H546" s="14"/>
    </row>
    <row r="547">
      <c r="A547" s="7"/>
      <c r="C547" s="13"/>
      <c r="F547" s="13"/>
      <c r="G547" s="11"/>
      <c r="H547" s="14"/>
    </row>
    <row r="548">
      <c r="A548" s="7"/>
      <c r="C548" s="13"/>
      <c r="F548" s="13"/>
      <c r="G548" s="11"/>
      <c r="H548" s="14"/>
    </row>
    <row r="549">
      <c r="A549" s="7"/>
      <c r="C549" s="13"/>
      <c r="F549" s="13"/>
      <c r="G549" s="11"/>
      <c r="H549" s="14"/>
    </row>
    <row r="550">
      <c r="A550" s="7"/>
      <c r="C550" s="13"/>
      <c r="F550" s="13"/>
      <c r="G550" s="11"/>
      <c r="H550" s="14"/>
    </row>
    <row r="551">
      <c r="A551" s="7"/>
      <c r="C551" s="13"/>
      <c r="F551" s="13"/>
      <c r="G551" s="11"/>
      <c r="H551" s="14"/>
    </row>
    <row r="552">
      <c r="A552" s="7"/>
      <c r="C552" s="13"/>
      <c r="F552" s="13"/>
      <c r="G552" s="11"/>
      <c r="H552" s="14"/>
    </row>
    <row r="553">
      <c r="A553" s="7"/>
      <c r="C553" s="13"/>
      <c r="F553" s="13"/>
      <c r="G553" s="11"/>
      <c r="H553" s="14"/>
    </row>
    <row r="554">
      <c r="A554" s="7"/>
      <c r="C554" s="13"/>
      <c r="F554" s="13"/>
      <c r="G554" s="11"/>
      <c r="H554" s="14"/>
    </row>
    <row r="555">
      <c r="A555" s="7"/>
      <c r="C555" s="13"/>
      <c r="F555" s="13"/>
      <c r="G555" s="11"/>
      <c r="H555" s="14"/>
    </row>
    <row r="556">
      <c r="A556" s="7"/>
      <c r="C556" s="13"/>
      <c r="F556" s="13"/>
      <c r="G556" s="11"/>
      <c r="H556" s="14"/>
    </row>
    <row r="557">
      <c r="A557" s="7"/>
      <c r="C557" s="13"/>
      <c r="F557" s="13"/>
      <c r="G557" s="11"/>
      <c r="H557" s="14"/>
    </row>
    <row r="558">
      <c r="A558" s="7"/>
      <c r="C558" s="13"/>
      <c r="F558" s="13"/>
      <c r="G558" s="11"/>
      <c r="H558" s="14"/>
    </row>
    <row r="559">
      <c r="A559" s="7"/>
      <c r="C559" s="13"/>
      <c r="F559" s="13"/>
      <c r="G559" s="11"/>
      <c r="H559" s="14"/>
    </row>
    <row r="560">
      <c r="A560" s="7"/>
      <c r="C560" s="13"/>
      <c r="F560" s="13"/>
      <c r="G560" s="11"/>
      <c r="H560" s="14"/>
    </row>
    <row r="561">
      <c r="A561" s="7"/>
      <c r="C561" s="13"/>
      <c r="F561" s="13"/>
      <c r="G561" s="11"/>
      <c r="H561" s="14"/>
    </row>
    <row r="562">
      <c r="A562" s="7"/>
      <c r="C562" s="13"/>
      <c r="F562" s="13"/>
      <c r="G562" s="11"/>
      <c r="H562" s="14"/>
    </row>
    <row r="563">
      <c r="A563" s="7"/>
      <c r="C563" s="13"/>
      <c r="F563" s="13"/>
      <c r="G563" s="11"/>
      <c r="H563" s="14"/>
    </row>
    <row r="564">
      <c r="A564" s="7"/>
      <c r="C564" s="13"/>
      <c r="F564" s="13"/>
      <c r="G564" s="11"/>
      <c r="H564" s="14"/>
    </row>
    <row r="565">
      <c r="A565" s="7"/>
      <c r="C565" s="13"/>
      <c r="F565" s="13"/>
      <c r="G565" s="11"/>
      <c r="H565" s="14"/>
    </row>
    <row r="566">
      <c r="A566" s="7"/>
      <c r="C566" s="13"/>
      <c r="F566" s="13"/>
      <c r="G566" s="11"/>
      <c r="H566" s="14"/>
    </row>
    <row r="567">
      <c r="A567" s="7"/>
      <c r="C567" s="13"/>
      <c r="F567" s="13"/>
      <c r="G567" s="11"/>
      <c r="H567" s="14"/>
    </row>
    <row r="568">
      <c r="A568" s="7"/>
      <c r="C568" s="13"/>
      <c r="F568" s="13"/>
      <c r="G568" s="11"/>
      <c r="H568" s="14"/>
    </row>
    <row r="569">
      <c r="A569" s="7"/>
      <c r="C569" s="13"/>
      <c r="F569" s="13"/>
      <c r="G569" s="11"/>
      <c r="H569" s="14"/>
    </row>
    <row r="570">
      <c r="A570" s="7"/>
      <c r="C570" s="13"/>
      <c r="F570" s="13"/>
      <c r="G570" s="11"/>
      <c r="H570" s="14"/>
    </row>
    <row r="571">
      <c r="A571" s="7"/>
      <c r="C571" s="13"/>
      <c r="F571" s="13"/>
      <c r="G571" s="11"/>
      <c r="H571" s="14"/>
    </row>
    <row r="572">
      <c r="A572" s="7"/>
      <c r="C572" s="13"/>
      <c r="F572" s="13"/>
      <c r="G572" s="11"/>
      <c r="H572" s="14"/>
    </row>
    <row r="573">
      <c r="A573" s="7"/>
      <c r="C573" s="13"/>
      <c r="F573" s="13"/>
      <c r="G573" s="11"/>
      <c r="H573" s="14"/>
    </row>
    <row r="574">
      <c r="A574" s="7"/>
      <c r="C574" s="13"/>
      <c r="F574" s="13"/>
      <c r="G574" s="11"/>
      <c r="H574" s="14"/>
    </row>
    <row r="575">
      <c r="A575" s="7"/>
      <c r="C575" s="13"/>
      <c r="F575" s="13"/>
      <c r="G575" s="11"/>
      <c r="H575" s="14"/>
    </row>
    <row r="576">
      <c r="A576" s="7"/>
      <c r="C576" s="13"/>
      <c r="F576" s="13"/>
      <c r="G576" s="11"/>
      <c r="H576" s="14"/>
    </row>
    <row r="577">
      <c r="A577" s="7"/>
      <c r="C577" s="13"/>
      <c r="F577" s="13"/>
      <c r="G577" s="11"/>
      <c r="H577" s="14"/>
    </row>
    <row r="578">
      <c r="A578" s="7"/>
      <c r="C578" s="13"/>
      <c r="F578" s="13"/>
      <c r="G578" s="11"/>
      <c r="H578" s="14"/>
    </row>
    <row r="579">
      <c r="A579" s="7"/>
      <c r="C579" s="13"/>
      <c r="F579" s="13"/>
      <c r="G579" s="11"/>
      <c r="H579" s="14"/>
    </row>
    <row r="580">
      <c r="A580" s="7"/>
      <c r="C580" s="13"/>
      <c r="F580" s="13"/>
      <c r="G580" s="11"/>
      <c r="H580" s="14"/>
    </row>
    <row r="581">
      <c r="A581" s="7"/>
      <c r="C581" s="13"/>
      <c r="F581" s="13"/>
      <c r="G581" s="11"/>
      <c r="H581" s="14"/>
    </row>
    <row r="582">
      <c r="A582" s="7"/>
      <c r="C582" s="13"/>
      <c r="F582" s="13"/>
      <c r="G582" s="11"/>
      <c r="H582" s="14"/>
    </row>
    <row r="583">
      <c r="A583" s="7"/>
      <c r="C583" s="13"/>
      <c r="F583" s="13"/>
      <c r="G583" s="11"/>
      <c r="H583" s="14"/>
    </row>
    <row r="584">
      <c r="A584" s="7"/>
      <c r="C584" s="13"/>
      <c r="F584" s="13"/>
      <c r="G584" s="11"/>
      <c r="H584" s="14"/>
    </row>
    <row r="585">
      <c r="A585" s="7"/>
      <c r="C585" s="13"/>
      <c r="F585" s="13"/>
      <c r="G585" s="11"/>
      <c r="H585" s="14"/>
    </row>
    <row r="586">
      <c r="A586" s="7"/>
      <c r="C586" s="13"/>
      <c r="F586" s="13"/>
      <c r="G586" s="11"/>
      <c r="H586" s="14"/>
    </row>
    <row r="587">
      <c r="A587" s="7"/>
      <c r="C587" s="13"/>
      <c r="F587" s="13"/>
      <c r="G587" s="11"/>
      <c r="H587" s="14"/>
    </row>
    <row r="588">
      <c r="A588" s="7"/>
      <c r="C588" s="13"/>
      <c r="F588" s="13"/>
      <c r="G588" s="11"/>
      <c r="H588" s="14"/>
    </row>
    <row r="589">
      <c r="A589" s="7"/>
      <c r="C589" s="13"/>
      <c r="F589" s="13"/>
      <c r="G589" s="11"/>
      <c r="H589" s="14"/>
    </row>
    <row r="590">
      <c r="A590" s="7"/>
      <c r="C590" s="13"/>
      <c r="F590" s="13"/>
      <c r="G590" s="11"/>
      <c r="H590" s="14"/>
    </row>
    <row r="591">
      <c r="A591" s="7"/>
      <c r="C591" s="13"/>
      <c r="F591" s="13"/>
      <c r="G591" s="11"/>
      <c r="H591" s="14"/>
    </row>
    <row r="592">
      <c r="A592" s="7"/>
      <c r="C592" s="13"/>
      <c r="F592" s="13"/>
      <c r="G592" s="11"/>
      <c r="H592" s="14"/>
    </row>
    <row r="593">
      <c r="A593" s="7"/>
      <c r="C593" s="13"/>
      <c r="F593" s="13"/>
      <c r="G593" s="11"/>
      <c r="H593" s="14"/>
    </row>
    <row r="594">
      <c r="A594" s="7"/>
      <c r="C594" s="13"/>
      <c r="F594" s="13"/>
      <c r="G594" s="11"/>
      <c r="H594" s="14"/>
    </row>
    <row r="595">
      <c r="A595" s="7"/>
      <c r="C595" s="13"/>
      <c r="F595" s="13"/>
      <c r="G595" s="11"/>
      <c r="H595" s="14"/>
    </row>
    <row r="596">
      <c r="A596" s="7"/>
      <c r="C596" s="13"/>
      <c r="F596" s="13"/>
      <c r="G596" s="11"/>
      <c r="H596" s="14"/>
    </row>
    <row r="597">
      <c r="A597" s="7"/>
      <c r="C597" s="13"/>
      <c r="F597" s="13"/>
      <c r="G597" s="11"/>
      <c r="H597" s="14"/>
    </row>
    <row r="598">
      <c r="A598" s="7"/>
      <c r="C598" s="13"/>
      <c r="F598" s="13"/>
      <c r="G598" s="11"/>
      <c r="H598" s="14"/>
    </row>
    <row r="599">
      <c r="A599" s="7"/>
      <c r="C599" s="13"/>
      <c r="F599" s="13"/>
      <c r="G599" s="11"/>
      <c r="H599" s="14"/>
    </row>
    <row r="600">
      <c r="A600" s="7"/>
      <c r="C600" s="13"/>
      <c r="F600" s="13"/>
      <c r="G600" s="11"/>
      <c r="H600" s="14"/>
    </row>
    <row r="601">
      <c r="A601" s="7"/>
      <c r="C601" s="13"/>
      <c r="F601" s="13"/>
      <c r="G601" s="11"/>
      <c r="H601" s="14"/>
    </row>
    <row r="602">
      <c r="A602" s="7"/>
      <c r="C602" s="13"/>
      <c r="F602" s="13"/>
      <c r="G602" s="11"/>
      <c r="H602" s="14"/>
    </row>
    <row r="603">
      <c r="A603" s="7"/>
      <c r="C603" s="13"/>
      <c r="F603" s="13"/>
      <c r="G603" s="11"/>
      <c r="H603" s="14"/>
    </row>
    <row r="604">
      <c r="A604" s="7"/>
      <c r="C604" s="13"/>
      <c r="F604" s="13"/>
      <c r="G604" s="11"/>
      <c r="H604" s="14"/>
    </row>
    <row r="605">
      <c r="A605" s="7"/>
      <c r="C605" s="13"/>
      <c r="F605" s="13"/>
      <c r="G605" s="11"/>
      <c r="H605" s="14"/>
    </row>
    <row r="606">
      <c r="A606" s="7"/>
      <c r="C606" s="13"/>
      <c r="F606" s="13"/>
      <c r="G606" s="11"/>
      <c r="H606" s="14"/>
    </row>
    <row r="607">
      <c r="A607" s="7"/>
      <c r="C607" s="13"/>
      <c r="F607" s="13"/>
      <c r="G607" s="11"/>
      <c r="H607" s="14"/>
    </row>
    <row r="608">
      <c r="A608" s="7"/>
      <c r="C608" s="13"/>
      <c r="F608" s="13"/>
      <c r="G608" s="11"/>
      <c r="H608" s="14"/>
    </row>
    <row r="609">
      <c r="A609" s="7"/>
      <c r="C609" s="13"/>
      <c r="F609" s="13"/>
      <c r="G609" s="11"/>
      <c r="H609" s="14"/>
    </row>
    <row r="610">
      <c r="A610" s="7"/>
      <c r="C610" s="13"/>
      <c r="F610" s="13"/>
      <c r="G610" s="11"/>
      <c r="H610" s="14"/>
    </row>
    <row r="611">
      <c r="A611" s="7"/>
      <c r="C611" s="13"/>
      <c r="F611" s="13"/>
      <c r="G611" s="11"/>
      <c r="H611" s="14"/>
    </row>
    <row r="612">
      <c r="A612" s="7"/>
      <c r="C612" s="13"/>
      <c r="F612" s="13"/>
      <c r="G612" s="11"/>
      <c r="H612" s="14"/>
    </row>
    <row r="613">
      <c r="A613" s="7"/>
      <c r="C613" s="13"/>
      <c r="F613" s="13"/>
      <c r="G613" s="11"/>
      <c r="H613" s="14"/>
    </row>
    <row r="614">
      <c r="A614" s="7"/>
      <c r="C614" s="13"/>
      <c r="F614" s="13"/>
      <c r="G614" s="11"/>
      <c r="H614" s="14"/>
    </row>
    <row r="615">
      <c r="A615" s="7"/>
      <c r="C615" s="13"/>
      <c r="F615" s="13"/>
      <c r="G615" s="11"/>
      <c r="H615" s="14"/>
    </row>
    <row r="616">
      <c r="A616" s="7"/>
      <c r="C616" s="13"/>
      <c r="F616" s="13"/>
      <c r="G616" s="11"/>
      <c r="H616" s="14"/>
    </row>
    <row r="617">
      <c r="A617" s="7"/>
      <c r="C617" s="13"/>
      <c r="F617" s="13"/>
      <c r="G617" s="11"/>
      <c r="H617" s="14"/>
    </row>
    <row r="618">
      <c r="A618" s="7"/>
      <c r="C618" s="13"/>
      <c r="F618" s="13"/>
      <c r="G618" s="11"/>
      <c r="H618" s="14"/>
    </row>
    <row r="619">
      <c r="A619" s="7"/>
      <c r="C619" s="13"/>
      <c r="F619" s="13"/>
      <c r="G619" s="11"/>
      <c r="H619" s="14"/>
    </row>
    <row r="620">
      <c r="A620" s="7"/>
      <c r="C620" s="13"/>
      <c r="F620" s="13"/>
      <c r="G620" s="11"/>
      <c r="H620" s="14"/>
    </row>
    <row r="621">
      <c r="A621" s="7"/>
      <c r="C621" s="13"/>
      <c r="F621" s="13"/>
      <c r="G621" s="11"/>
      <c r="H621" s="14"/>
    </row>
    <row r="622">
      <c r="A622" s="7"/>
      <c r="C622" s="13"/>
      <c r="F622" s="13"/>
      <c r="G622" s="11"/>
      <c r="H622" s="14"/>
    </row>
    <row r="623">
      <c r="A623" s="7"/>
      <c r="C623" s="13"/>
      <c r="F623" s="13"/>
      <c r="G623" s="11"/>
      <c r="H623" s="14"/>
    </row>
    <row r="624">
      <c r="A624" s="7"/>
      <c r="C624" s="13"/>
      <c r="F624" s="13"/>
      <c r="G624" s="11"/>
      <c r="H624" s="14"/>
    </row>
    <row r="625">
      <c r="A625" s="7"/>
      <c r="C625" s="13"/>
      <c r="F625" s="13"/>
      <c r="G625" s="11"/>
      <c r="H625" s="14"/>
    </row>
    <row r="626">
      <c r="A626" s="7"/>
      <c r="C626" s="13"/>
      <c r="F626" s="13"/>
      <c r="G626" s="11"/>
      <c r="H626" s="14"/>
    </row>
    <row r="627">
      <c r="A627" s="7"/>
      <c r="C627" s="13"/>
      <c r="F627" s="13"/>
      <c r="G627" s="11"/>
      <c r="H627" s="14"/>
    </row>
    <row r="628">
      <c r="A628" s="7"/>
      <c r="C628" s="13"/>
      <c r="F628" s="13"/>
      <c r="G628" s="11"/>
      <c r="H628" s="14"/>
    </row>
    <row r="629">
      <c r="A629" s="7"/>
      <c r="C629" s="13"/>
      <c r="F629" s="13"/>
      <c r="G629" s="11"/>
      <c r="H629" s="14"/>
    </row>
    <row r="630">
      <c r="A630" s="7"/>
      <c r="C630" s="13"/>
      <c r="F630" s="13"/>
      <c r="G630" s="11"/>
      <c r="H630" s="14"/>
    </row>
    <row r="631">
      <c r="A631" s="7"/>
      <c r="C631" s="13"/>
      <c r="F631" s="13"/>
      <c r="G631" s="11"/>
      <c r="H631" s="14"/>
    </row>
    <row r="632">
      <c r="A632" s="7"/>
      <c r="C632" s="13"/>
      <c r="F632" s="13"/>
      <c r="G632" s="11"/>
      <c r="H632" s="14"/>
    </row>
    <row r="633">
      <c r="A633" s="7"/>
      <c r="C633" s="13"/>
      <c r="F633" s="13"/>
      <c r="G633" s="11"/>
      <c r="H633" s="14"/>
    </row>
    <row r="634">
      <c r="A634" s="7"/>
      <c r="C634" s="13"/>
      <c r="F634" s="13"/>
      <c r="G634" s="11"/>
      <c r="H634" s="14"/>
    </row>
    <row r="635">
      <c r="A635" s="7"/>
      <c r="C635" s="13"/>
      <c r="F635" s="13"/>
      <c r="G635" s="11"/>
      <c r="H635" s="14"/>
    </row>
    <row r="636">
      <c r="A636" s="7"/>
      <c r="C636" s="13"/>
      <c r="F636" s="13"/>
      <c r="G636" s="11"/>
      <c r="H636" s="14"/>
    </row>
    <row r="637">
      <c r="A637" s="7"/>
      <c r="C637" s="13"/>
      <c r="F637" s="13"/>
      <c r="G637" s="11"/>
      <c r="H637" s="14"/>
    </row>
    <row r="638">
      <c r="A638" s="7"/>
      <c r="C638" s="13"/>
      <c r="F638" s="13"/>
      <c r="G638" s="11"/>
      <c r="H638" s="14"/>
    </row>
    <row r="639">
      <c r="A639" s="7"/>
      <c r="C639" s="13"/>
      <c r="F639" s="13"/>
      <c r="G639" s="11"/>
      <c r="H639" s="14"/>
    </row>
    <row r="640">
      <c r="A640" s="7"/>
      <c r="C640" s="13"/>
      <c r="F640" s="13"/>
      <c r="G640" s="11"/>
      <c r="H640" s="14"/>
    </row>
    <row r="641">
      <c r="A641" s="7"/>
      <c r="C641" s="13"/>
      <c r="F641" s="13"/>
      <c r="G641" s="11"/>
      <c r="H641" s="14"/>
    </row>
    <row r="642">
      <c r="A642" s="7"/>
      <c r="C642" s="13"/>
      <c r="F642" s="13"/>
      <c r="G642" s="11"/>
      <c r="H642" s="14"/>
    </row>
    <row r="643">
      <c r="A643" s="7"/>
      <c r="C643" s="13"/>
      <c r="F643" s="13"/>
      <c r="G643" s="11"/>
      <c r="H643" s="14"/>
    </row>
    <row r="644">
      <c r="A644" s="7"/>
      <c r="C644" s="13"/>
      <c r="F644" s="13"/>
      <c r="G644" s="11"/>
      <c r="H644" s="14"/>
    </row>
    <row r="645">
      <c r="A645" s="7"/>
      <c r="C645" s="13"/>
      <c r="F645" s="13"/>
      <c r="G645" s="11"/>
      <c r="H645" s="14"/>
    </row>
    <row r="646">
      <c r="A646" s="7"/>
      <c r="C646" s="13"/>
      <c r="F646" s="13"/>
      <c r="G646" s="11"/>
      <c r="H646" s="14"/>
    </row>
    <row r="647">
      <c r="A647" s="7"/>
      <c r="C647" s="13"/>
      <c r="F647" s="13"/>
      <c r="G647" s="11"/>
      <c r="H647" s="14"/>
    </row>
    <row r="648">
      <c r="A648" s="7"/>
      <c r="C648" s="13"/>
      <c r="F648" s="13"/>
      <c r="G648" s="11"/>
      <c r="H648" s="14"/>
    </row>
    <row r="649">
      <c r="A649" s="7"/>
      <c r="C649" s="13"/>
      <c r="F649" s="13"/>
      <c r="G649" s="11"/>
      <c r="H649" s="14"/>
    </row>
    <row r="650">
      <c r="A650" s="7"/>
      <c r="C650" s="13"/>
      <c r="F650" s="13"/>
      <c r="G650" s="11"/>
      <c r="H650" s="14"/>
    </row>
    <row r="651">
      <c r="A651" s="7"/>
      <c r="C651" s="13"/>
      <c r="F651" s="13"/>
      <c r="G651" s="11"/>
      <c r="H651" s="14"/>
    </row>
    <row r="652">
      <c r="A652" s="7"/>
      <c r="C652" s="13"/>
      <c r="F652" s="13"/>
      <c r="G652" s="11"/>
      <c r="H652" s="14"/>
    </row>
    <row r="653">
      <c r="A653" s="7"/>
      <c r="C653" s="13"/>
      <c r="F653" s="13"/>
      <c r="G653" s="11"/>
      <c r="H653" s="14"/>
    </row>
    <row r="654">
      <c r="A654" s="7"/>
      <c r="C654" s="13"/>
      <c r="F654" s="13"/>
      <c r="G654" s="11"/>
      <c r="H654" s="14"/>
    </row>
    <row r="655">
      <c r="A655" s="7"/>
      <c r="C655" s="13"/>
      <c r="F655" s="13"/>
      <c r="G655" s="11"/>
      <c r="H655" s="14"/>
    </row>
    <row r="656">
      <c r="A656" s="7"/>
      <c r="C656" s="13"/>
      <c r="F656" s="13"/>
      <c r="G656" s="11"/>
      <c r="H656" s="14"/>
    </row>
    <row r="657">
      <c r="A657" s="7"/>
      <c r="C657" s="13"/>
      <c r="F657" s="13"/>
      <c r="G657" s="11"/>
      <c r="H657" s="14"/>
    </row>
    <row r="658">
      <c r="A658" s="7"/>
      <c r="C658" s="13"/>
      <c r="F658" s="13"/>
      <c r="G658" s="11"/>
      <c r="H658" s="14"/>
    </row>
    <row r="659">
      <c r="A659" s="7"/>
      <c r="C659" s="13"/>
      <c r="F659" s="13"/>
      <c r="G659" s="11"/>
      <c r="H659" s="14"/>
    </row>
    <row r="660">
      <c r="A660" s="7"/>
      <c r="C660" s="13"/>
      <c r="F660" s="13"/>
      <c r="G660" s="11"/>
      <c r="H660" s="14"/>
    </row>
    <row r="661">
      <c r="A661" s="7"/>
      <c r="C661" s="13"/>
      <c r="F661" s="13"/>
      <c r="G661" s="11"/>
      <c r="H661" s="14"/>
    </row>
    <row r="662">
      <c r="A662" s="7"/>
      <c r="C662" s="13"/>
      <c r="F662" s="13"/>
      <c r="G662" s="11"/>
      <c r="H662" s="14"/>
    </row>
    <row r="663">
      <c r="A663" s="7"/>
      <c r="C663" s="13"/>
      <c r="F663" s="13"/>
      <c r="G663" s="11"/>
      <c r="H663" s="14"/>
    </row>
    <row r="664">
      <c r="A664" s="7"/>
      <c r="C664" s="13"/>
      <c r="F664" s="13"/>
      <c r="G664" s="11"/>
      <c r="H664" s="14"/>
    </row>
    <row r="665">
      <c r="A665" s="7"/>
      <c r="C665" s="13"/>
      <c r="F665" s="13"/>
      <c r="G665" s="11"/>
      <c r="H665" s="14"/>
    </row>
    <row r="666">
      <c r="A666" s="7"/>
      <c r="C666" s="13"/>
      <c r="F666" s="13"/>
      <c r="G666" s="11"/>
      <c r="H666" s="14"/>
    </row>
    <row r="667">
      <c r="A667" s="7"/>
      <c r="C667" s="13"/>
      <c r="F667" s="13"/>
      <c r="G667" s="11"/>
      <c r="H667" s="14"/>
    </row>
    <row r="668">
      <c r="A668" s="7"/>
      <c r="C668" s="13"/>
      <c r="F668" s="13"/>
      <c r="G668" s="11"/>
      <c r="H668" s="14"/>
    </row>
    <row r="669">
      <c r="A669" s="7"/>
      <c r="C669" s="13"/>
      <c r="F669" s="13"/>
      <c r="G669" s="11"/>
      <c r="H669" s="14"/>
    </row>
    <row r="670">
      <c r="A670" s="7"/>
      <c r="C670" s="13"/>
      <c r="F670" s="13"/>
      <c r="G670" s="11"/>
      <c r="H670" s="14"/>
    </row>
    <row r="671">
      <c r="A671" s="7"/>
      <c r="C671" s="13"/>
      <c r="F671" s="13"/>
      <c r="G671" s="11"/>
      <c r="H671" s="14"/>
    </row>
    <row r="672">
      <c r="A672" s="7"/>
      <c r="C672" s="13"/>
      <c r="F672" s="13"/>
      <c r="G672" s="11"/>
      <c r="H672" s="14"/>
    </row>
    <row r="673">
      <c r="A673" s="7"/>
      <c r="C673" s="13"/>
      <c r="F673" s="13"/>
      <c r="G673" s="11"/>
      <c r="H673" s="14"/>
    </row>
    <row r="674">
      <c r="A674" s="7"/>
      <c r="C674" s="13"/>
      <c r="F674" s="13"/>
      <c r="G674" s="11"/>
      <c r="H674" s="14"/>
    </row>
    <row r="675">
      <c r="A675" s="7"/>
      <c r="C675" s="13"/>
      <c r="F675" s="13"/>
      <c r="G675" s="11"/>
      <c r="H675" s="14"/>
    </row>
    <row r="676">
      <c r="A676" s="7"/>
      <c r="C676" s="13"/>
      <c r="F676" s="13"/>
      <c r="G676" s="11"/>
      <c r="H676" s="14"/>
    </row>
    <row r="677">
      <c r="A677" s="7"/>
      <c r="C677" s="13"/>
      <c r="F677" s="13"/>
      <c r="G677" s="11"/>
      <c r="H677" s="14"/>
    </row>
    <row r="678">
      <c r="A678" s="7"/>
      <c r="C678" s="13"/>
      <c r="F678" s="13"/>
      <c r="G678" s="11"/>
      <c r="H678" s="14"/>
    </row>
    <row r="679">
      <c r="A679" s="7"/>
      <c r="C679" s="13"/>
      <c r="F679" s="13"/>
      <c r="G679" s="11"/>
      <c r="H679" s="14"/>
    </row>
    <row r="680">
      <c r="A680" s="7"/>
      <c r="C680" s="13"/>
      <c r="F680" s="13"/>
      <c r="G680" s="11"/>
      <c r="H680" s="14"/>
    </row>
    <row r="681">
      <c r="A681" s="7"/>
      <c r="C681" s="13"/>
      <c r="F681" s="13"/>
      <c r="G681" s="11"/>
      <c r="H681" s="14"/>
    </row>
    <row r="682">
      <c r="A682" s="7"/>
      <c r="C682" s="13"/>
      <c r="F682" s="13"/>
      <c r="G682" s="11"/>
      <c r="H682" s="14"/>
    </row>
    <row r="683">
      <c r="A683" s="7"/>
      <c r="C683" s="13"/>
      <c r="F683" s="13"/>
      <c r="G683" s="11"/>
      <c r="H683" s="14"/>
    </row>
    <row r="684">
      <c r="A684" s="7"/>
      <c r="C684" s="13"/>
      <c r="F684" s="13"/>
      <c r="G684" s="11"/>
      <c r="H684" s="14"/>
    </row>
    <row r="685">
      <c r="A685" s="7"/>
      <c r="C685" s="13"/>
      <c r="F685" s="13"/>
      <c r="G685" s="11"/>
      <c r="H685" s="14"/>
    </row>
    <row r="686">
      <c r="A686" s="7"/>
      <c r="C686" s="13"/>
      <c r="F686" s="13"/>
      <c r="G686" s="11"/>
      <c r="H686" s="14"/>
    </row>
    <row r="687">
      <c r="A687" s="7"/>
      <c r="C687" s="13"/>
      <c r="F687" s="13"/>
      <c r="G687" s="11"/>
      <c r="H687" s="14"/>
    </row>
    <row r="688">
      <c r="A688" s="7"/>
      <c r="C688" s="13"/>
      <c r="F688" s="13"/>
      <c r="G688" s="11"/>
      <c r="H688" s="14"/>
    </row>
    <row r="689">
      <c r="A689" s="7"/>
      <c r="C689" s="13"/>
      <c r="F689" s="13"/>
      <c r="G689" s="11"/>
      <c r="H689" s="14"/>
    </row>
    <row r="690">
      <c r="A690" s="7"/>
      <c r="C690" s="13"/>
      <c r="F690" s="13"/>
      <c r="G690" s="11"/>
      <c r="H690" s="14"/>
    </row>
    <row r="691">
      <c r="A691" s="7"/>
      <c r="C691" s="13"/>
      <c r="F691" s="13"/>
      <c r="G691" s="11"/>
      <c r="H691" s="14"/>
    </row>
    <row r="692">
      <c r="A692" s="7"/>
      <c r="C692" s="13"/>
      <c r="F692" s="13"/>
      <c r="G692" s="11"/>
      <c r="H692" s="14"/>
    </row>
    <row r="693">
      <c r="A693" s="7"/>
      <c r="C693" s="13"/>
      <c r="F693" s="13"/>
      <c r="G693" s="11"/>
      <c r="H693" s="14"/>
    </row>
    <row r="694">
      <c r="A694" s="7"/>
      <c r="C694" s="13"/>
      <c r="F694" s="13"/>
      <c r="G694" s="11"/>
      <c r="H694" s="14"/>
    </row>
    <row r="695">
      <c r="A695" s="7"/>
      <c r="C695" s="13"/>
      <c r="F695" s="13"/>
      <c r="G695" s="11"/>
      <c r="H695" s="14"/>
    </row>
    <row r="696">
      <c r="A696" s="7"/>
      <c r="C696" s="13"/>
      <c r="F696" s="13"/>
      <c r="G696" s="11"/>
      <c r="H696" s="14"/>
    </row>
    <row r="697">
      <c r="A697" s="7"/>
      <c r="C697" s="13"/>
      <c r="F697" s="13"/>
      <c r="G697" s="11"/>
      <c r="H697" s="14"/>
    </row>
    <row r="698">
      <c r="A698" s="7"/>
      <c r="C698" s="13"/>
      <c r="F698" s="13"/>
      <c r="G698" s="11"/>
      <c r="H698" s="14"/>
    </row>
    <row r="699">
      <c r="A699" s="7"/>
      <c r="C699" s="13"/>
      <c r="F699" s="13"/>
      <c r="G699" s="11"/>
      <c r="H699" s="14"/>
    </row>
    <row r="700">
      <c r="A700" s="7"/>
      <c r="C700" s="13"/>
      <c r="F700" s="13"/>
      <c r="G700" s="11"/>
      <c r="H700" s="14"/>
    </row>
    <row r="701">
      <c r="A701" s="7"/>
      <c r="C701" s="13"/>
      <c r="F701" s="13"/>
      <c r="G701" s="11"/>
      <c r="H701" s="14"/>
    </row>
    <row r="702">
      <c r="A702" s="7"/>
      <c r="C702" s="13"/>
      <c r="F702" s="13"/>
      <c r="G702" s="11"/>
      <c r="H702" s="14"/>
    </row>
    <row r="703">
      <c r="A703" s="7"/>
      <c r="C703" s="13"/>
      <c r="F703" s="13"/>
      <c r="G703" s="11"/>
      <c r="H703" s="14"/>
    </row>
    <row r="704">
      <c r="A704" s="7"/>
      <c r="C704" s="13"/>
      <c r="F704" s="13"/>
      <c r="G704" s="11"/>
      <c r="H704" s="14"/>
    </row>
    <row r="705">
      <c r="A705" s="7"/>
      <c r="C705" s="13"/>
      <c r="F705" s="13"/>
      <c r="G705" s="11"/>
      <c r="H705" s="14"/>
    </row>
    <row r="706">
      <c r="A706" s="7"/>
      <c r="C706" s="13"/>
      <c r="F706" s="13"/>
      <c r="G706" s="11"/>
      <c r="H706" s="14"/>
    </row>
    <row r="707">
      <c r="A707" s="7"/>
      <c r="C707" s="13"/>
      <c r="F707" s="13"/>
      <c r="G707" s="11"/>
      <c r="H707" s="14"/>
    </row>
    <row r="708">
      <c r="A708" s="7"/>
      <c r="C708" s="13"/>
      <c r="F708" s="13"/>
      <c r="G708" s="11"/>
      <c r="H708" s="14"/>
    </row>
    <row r="709">
      <c r="A709" s="7"/>
      <c r="C709" s="13"/>
      <c r="F709" s="13"/>
      <c r="G709" s="11"/>
      <c r="H709" s="14"/>
    </row>
    <row r="710">
      <c r="A710" s="7"/>
      <c r="C710" s="13"/>
      <c r="F710" s="13"/>
      <c r="G710" s="11"/>
      <c r="H710" s="14"/>
    </row>
    <row r="711">
      <c r="A711" s="7"/>
      <c r="C711" s="13"/>
      <c r="F711" s="13"/>
      <c r="G711" s="11"/>
      <c r="H711" s="14"/>
    </row>
    <row r="712">
      <c r="A712" s="7"/>
      <c r="C712" s="13"/>
      <c r="F712" s="13"/>
      <c r="G712" s="11"/>
      <c r="H712" s="14"/>
    </row>
    <row r="713">
      <c r="A713" s="7"/>
      <c r="C713" s="13"/>
      <c r="F713" s="13"/>
      <c r="G713" s="11"/>
      <c r="H713" s="14"/>
    </row>
    <row r="714">
      <c r="A714" s="7"/>
      <c r="C714" s="13"/>
      <c r="F714" s="13"/>
      <c r="G714" s="11"/>
      <c r="H714" s="14"/>
    </row>
    <row r="715">
      <c r="A715" s="7"/>
      <c r="C715" s="13"/>
      <c r="F715" s="13"/>
      <c r="G715" s="11"/>
      <c r="H715" s="14"/>
    </row>
    <row r="716">
      <c r="A716" s="7"/>
      <c r="C716" s="13"/>
      <c r="F716" s="13"/>
      <c r="G716" s="11"/>
      <c r="H716" s="14"/>
    </row>
    <row r="717">
      <c r="A717" s="7"/>
      <c r="C717" s="13"/>
      <c r="F717" s="13"/>
      <c r="G717" s="11"/>
      <c r="H717" s="14"/>
    </row>
    <row r="718">
      <c r="A718" s="7"/>
      <c r="C718" s="13"/>
      <c r="F718" s="13"/>
      <c r="G718" s="11"/>
      <c r="H718" s="14"/>
    </row>
    <row r="719">
      <c r="A719" s="7"/>
      <c r="C719" s="13"/>
      <c r="F719" s="13"/>
      <c r="G719" s="11"/>
      <c r="H719" s="14"/>
    </row>
    <row r="720">
      <c r="A720" s="7"/>
      <c r="C720" s="13"/>
      <c r="F720" s="13"/>
      <c r="G720" s="11"/>
      <c r="H720" s="14"/>
    </row>
    <row r="721">
      <c r="A721" s="7"/>
      <c r="C721" s="13"/>
      <c r="F721" s="13"/>
      <c r="G721" s="11"/>
      <c r="H721" s="14"/>
    </row>
    <row r="722">
      <c r="A722" s="7"/>
      <c r="C722" s="13"/>
      <c r="F722" s="13"/>
      <c r="G722" s="11"/>
      <c r="H722" s="14"/>
    </row>
    <row r="723">
      <c r="A723" s="7"/>
      <c r="C723" s="13"/>
      <c r="F723" s="13"/>
      <c r="G723" s="11"/>
      <c r="H723" s="14"/>
    </row>
    <row r="724">
      <c r="A724" s="7"/>
      <c r="C724" s="13"/>
      <c r="F724" s="13"/>
      <c r="G724" s="11"/>
      <c r="H724" s="14"/>
    </row>
    <row r="725">
      <c r="A725" s="7"/>
      <c r="C725" s="13"/>
      <c r="F725" s="13"/>
      <c r="G725" s="11"/>
      <c r="H725" s="14"/>
    </row>
    <row r="726">
      <c r="A726" s="7"/>
      <c r="C726" s="13"/>
      <c r="F726" s="13"/>
      <c r="G726" s="11"/>
      <c r="H726" s="14"/>
    </row>
    <row r="727">
      <c r="A727" s="7"/>
      <c r="C727" s="13"/>
      <c r="F727" s="13"/>
      <c r="G727" s="11"/>
      <c r="H727" s="14"/>
    </row>
    <row r="728">
      <c r="A728" s="7"/>
      <c r="C728" s="13"/>
      <c r="F728" s="13"/>
      <c r="G728" s="11"/>
      <c r="H728" s="14"/>
    </row>
    <row r="729">
      <c r="A729" s="7"/>
      <c r="C729" s="13"/>
      <c r="F729" s="13"/>
      <c r="G729" s="11"/>
      <c r="H729" s="14"/>
    </row>
    <row r="730">
      <c r="A730" s="7"/>
      <c r="C730" s="13"/>
      <c r="F730" s="13"/>
      <c r="G730" s="11"/>
      <c r="H730" s="14"/>
    </row>
    <row r="731">
      <c r="A731" s="7"/>
      <c r="C731" s="13"/>
      <c r="F731" s="13"/>
      <c r="G731" s="11"/>
      <c r="H731" s="14"/>
    </row>
    <row r="732">
      <c r="A732" s="7"/>
      <c r="C732" s="13"/>
      <c r="F732" s="13"/>
      <c r="G732" s="11"/>
      <c r="H732" s="14"/>
    </row>
    <row r="733">
      <c r="A733" s="7"/>
      <c r="C733" s="13"/>
      <c r="F733" s="13"/>
      <c r="G733" s="11"/>
      <c r="H733" s="14"/>
    </row>
    <row r="734">
      <c r="A734" s="7"/>
      <c r="C734" s="13"/>
      <c r="F734" s="13"/>
      <c r="G734" s="11"/>
      <c r="H734" s="14"/>
    </row>
    <row r="735">
      <c r="A735" s="7"/>
      <c r="C735" s="13"/>
      <c r="F735" s="13"/>
      <c r="G735" s="11"/>
      <c r="H735" s="14"/>
    </row>
    <row r="736">
      <c r="A736" s="7"/>
      <c r="C736" s="13"/>
      <c r="F736" s="13"/>
      <c r="G736" s="11"/>
      <c r="H736" s="14"/>
    </row>
    <row r="737">
      <c r="A737" s="7"/>
      <c r="C737" s="13"/>
      <c r="F737" s="13"/>
      <c r="G737" s="11"/>
      <c r="H737" s="14"/>
    </row>
    <row r="738">
      <c r="A738" s="7"/>
      <c r="C738" s="13"/>
      <c r="F738" s="13"/>
      <c r="G738" s="11"/>
      <c r="H738" s="14"/>
    </row>
    <row r="739">
      <c r="A739" s="7"/>
      <c r="C739" s="13"/>
      <c r="F739" s="13"/>
      <c r="G739" s="11"/>
      <c r="H739" s="14"/>
    </row>
    <row r="740">
      <c r="A740" s="7"/>
      <c r="C740" s="13"/>
      <c r="F740" s="13"/>
      <c r="G740" s="11"/>
      <c r="H740" s="14"/>
    </row>
    <row r="741">
      <c r="A741" s="7"/>
      <c r="C741" s="13"/>
      <c r="F741" s="13"/>
      <c r="G741" s="11"/>
      <c r="H741" s="14"/>
    </row>
    <row r="742">
      <c r="A742" s="7"/>
      <c r="C742" s="13"/>
      <c r="F742" s="13"/>
      <c r="G742" s="11"/>
      <c r="H742" s="14"/>
    </row>
    <row r="743">
      <c r="A743" s="7"/>
      <c r="C743" s="13"/>
      <c r="F743" s="13"/>
      <c r="G743" s="11"/>
      <c r="H743" s="14"/>
    </row>
    <row r="744">
      <c r="A744" s="7"/>
      <c r="C744" s="13"/>
      <c r="F744" s="13"/>
      <c r="G744" s="11"/>
      <c r="H744" s="14"/>
    </row>
    <row r="745">
      <c r="A745" s="7"/>
      <c r="C745" s="13"/>
      <c r="F745" s="13"/>
      <c r="G745" s="11"/>
      <c r="H745" s="14"/>
    </row>
    <row r="746">
      <c r="A746" s="7"/>
      <c r="C746" s="13"/>
      <c r="F746" s="13"/>
      <c r="G746" s="11"/>
      <c r="H746" s="14"/>
    </row>
    <row r="747">
      <c r="A747" s="7"/>
      <c r="C747" s="13"/>
      <c r="F747" s="13"/>
      <c r="G747" s="11"/>
      <c r="H747" s="14"/>
    </row>
    <row r="748">
      <c r="A748" s="7"/>
      <c r="C748" s="13"/>
      <c r="F748" s="13"/>
      <c r="G748" s="11"/>
      <c r="H748" s="14"/>
    </row>
    <row r="749">
      <c r="A749" s="7"/>
      <c r="C749" s="13"/>
      <c r="F749" s="13"/>
      <c r="G749" s="11"/>
      <c r="H749" s="14"/>
    </row>
    <row r="750">
      <c r="A750" s="7"/>
      <c r="C750" s="13"/>
      <c r="F750" s="13"/>
      <c r="G750" s="11"/>
      <c r="H750" s="14"/>
    </row>
    <row r="751">
      <c r="A751" s="7"/>
      <c r="C751" s="13"/>
      <c r="F751" s="13"/>
      <c r="G751" s="11"/>
      <c r="H751" s="14"/>
    </row>
    <row r="752">
      <c r="A752" s="7"/>
      <c r="C752" s="13"/>
      <c r="F752" s="13"/>
      <c r="G752" s="11"/>
      <c r="H752" s="14"/>
    </row>
    <row r="753">
      <c r="A753" s="7"/>
      <c r="C753" s="13"/>
      <c r="F753" s="13"/>
      <c r="G753" s="11"/>
      <c r="H753" s="14"/>
    </row>
    <row r="754">
      <c r="A754" s="7"/>
      <c r="C754" s="13"/>
      <c r="F754" s="13"/>
      <c r="G754" s="11"/>
      <c r="H754" s="14"/>
    </row>
    <row r="755">
      <c r="A755" s="7"/>
      <c r="C755" s="13"/>
      <c r="F755" s="13"/>
      <c r="G755" s="11"/>
      <c r="H755" s="14"/>
    </row>
    <row r="756">
      <c r="A756" s="7"/>
      <c r="C756" s="13"/>
      <c r="F756" s="13"/>
      <c r="G756" s="11"/>
      <c r="H756" s="14"/>
    </row>
    <row r="757">
      <c r="A757" s="7"/>
      <c r="C757" s="13"/>
      <c r="F757" s="13"/>
      <c r="G757" s="11"/>
      <c r="H757" s="14"/>
    </row>
    <row r="758">
      <c r="A758" s="7"/>
      <c r="C758" s="13"/>
      <c r="F758" s="13"/>
      <c r="G758" s="11"/>
      <c r="H758" s="14"/>
    </row>
    <row r="759">
      <c r="A759" s="7"/>
      <c r="C759" s="13"/>
      <c r="F759" s="13"/>
      <c r="G759" s="11"/>
      <c r="H759" s="14"/>
    </row>
    <row r="760">
      <c r="A760" s="7"/>
      <c r="C760" s="13"/>
      <c r="F760" s="13"/>
      <c r="G760" s="11"/>
      <c r="H760" s="14"/>
    </row>
    <row r="761">
      <c r="A761" s="7"/>
      <c r="C761" s="13"/>
      <c r="F761" s="13"/>
      <c r="G761" s="11"/>
      <c r="H761" s="14"/>
    </row>
    <row r="762">
      <c r="A762" s="7"/>
      <c r="C762" s="13"/>
      <c r="F762" s="13"/>
      <c r="G762" s="11"/>
      <c r="H762" s="14"/>
    </row>
    <row r="763">
      <c r="A763" s="7"/>
      <c r="C763" s="13"/>
      <c r="F763" s="13"/>
      <c r="G763" s="11"/>
      <c r="H763" s="14"/>
    </row>
    <row r="764">
      <c r="A764" s="7"/>
      <c r="C764" s="13"/>
      <c r="F764" s="13"/>
      <c r="G764" s="11"/>
      <c r="H764" s="14"/>
    </row>
    <row r="765">
      <c r="A765" s="7"/>
      <c r="C765" s="13"/>
      <c r="F765" s="13"/>
      <c r="G765" s="11"/>
      <c r="H765" s="14"/>
    </row>
    <row r="766">
      <c r="A766" s="7"/>
      <c r="C766" s="13"/>
      <c r="F766" s="13"/>
      <c r="G766" s="11"/>
      <c r="H766" s="14"/>
    </row>
    <row r="767">
      <c r="A767" s="7"/>
      <c r="C767" s="13"/>
      <c r="F767" s="13"/>
      <c r="G767" s="11"/>
      <c r="H767" s="14"/>
    </row>
    <row r="768">
      <c r="A768" s="7"/>
      <c r="C768" s="13"/>
      <c r="F768" s="13"/>
      <c r="G768" s="11"/>
      <c r="H768" s="14"/>
    </row>
    <row r="769">
      <c r="A769" s="7"/>
      <c r="C769" s="13"/>
      <c r="F769" s="13"/>
      <c r="G769" s="11"/>
      <c r="H769" s="14"/>
    </row>
    <row r="770">
      <c r="A770" s="7"/>
      <c r="C770" s="13"/>
      <c r="F770" s="13"/>
      <c r="G770" s="11"/>
      <c r="H770" s="14"/>
    </row>
    <row r="771">
      <c r="A771" s="7"/>
      <c r="C771" s="13"/>
      <c r="F771" s="13"/>
      <c r="G771" s="11"/>
      <c r="H771" s="14"/>
    </row>
    <row r="772">
      <c r="A772" s="7"/>
      <c r="C772" s="13"/>
      <c r="F772" s="13"/>
      <c r="G772" s="11"/>
      <c r="H772" s="14"/>
    </row>
    <row r="773">
      <c r="A773" s="7"/>
      <c r="C773" s="13"/>
      <c r="F773" s="13"/>
      <c r="G773" s="11"/>
      <c r="H773" s="14"/>
    </row>
    <row r="774">
      <c r="A774" s="7"/>
      <c r="C774" s="13"/>
      <c r="F774" s="13"/>
      <c r="G774" s="11"/>
      <c r="H774" s="14"/>
    </row>
    <row r="775">
      <c r="A775" s="7"/>
      <c r="C775" s="13"/>
      <c r="F775" s="13"/>
      <c r="G775" s="11"/>
      <c r="H775" s="14"/>
    </row>
    <row r="776">
      <c r="A776" s="7"/>
      <c r="C776" s="13"/>
      <c r="F776" s="13"/>
      <c r="G776" s="11"/>
      <c r="H776" s="14"/>
    </row>
    <row r="777">
      <c r="A777" s="7"/>
      <c r="C777" s="13"/>
      <c r="F777" s="13"/>
      <c r="G777" s="11"/>
      <c r="H777" s="14"/>
    </row>
    <row r="778">
      <c r="A778" s="7"/>
      <c r="C778" s="13"/>
      <c r="F778" s="13"/>
      <c r="G778" s="11"/>
      <c r="H778" s="14"/>
    </row>
    <row r="779">
      <c r="A779" s="7"/>
      <c r="C779" s="13"/>
      <c r="F779" s="13"/>
      <c r="G779" s="11"/>
      <c r="H779" s="14"/>
    </row>
    <row r="780">
      <c r="A780" s="7"/>
      <c r="C780" s="13"/>
      <c r="F780" s="13"/>
      <c r="G780" s="11"/>
      <c r="H780" s="14"/>
    </row>
    <row r="781">
      <c r="A781" s="7"/>
      <c r="C781" s="13"/>
      <c r="F781" s="13"/>
      <c r="G781" s="11"/>
      <c r="H781" s="14"/>
    </row>
    <row r="782">
      <c r="A782" s="7"/>
      <c r="C782" s="13"/>
      <c r="F782" s="13"/>
      <c r="G782" s="11"/>
      <c r="H782" s="14"/>
    </row>
    <row r="783">
      <c r="A783" s="7"/>
      <c r="C783" s="13"/>
      <c r="F783" s="13"/>
      <c r="G783" s="11"/>
      <c r="H783" s="14"/>
    </row>
    <row r="784">
      <c r="A784" s="7"/>
      <c r="C784" s="13"/>
      <c r="F784" s="13"/>
      <c r="G784" s="11"/>
      <c r="H784" s="14"/>
    </row>
    <row r="785">
      <c r="A785" s="7"/>
      <c r="C785" s="13"/>
      <c r="F785" s="13"/>
      <c r="G785" s="11"/>
      <c r="H785" s="14"/>
    </row>
    <row r="786">
      <c r="A786" s="7"/>
      <c r="C786" s="13"/>
      <c r="F786" s="13"/>
      <c r="G786" s="11"/>
      <c r="H786" s="14"/>
    </row>
    <row r="787">
      <c r="A787" s="7"/>
      <c r="C787" s="13"/>
      <c r="F787" s="13"/>
      <c r="G787" s="11"/>
      <c r="H787" s="14"/>
    </row>
    <row r="788">
      <c r="A788" s="7"/>
      <c r="C788" s="13"/>
      <c r="F788" s="13"/>
      <c r="G788" s="11"/>
      <c r="H788" s="14"/>
    </row>
    <row r="789">
      <c r="A789" s="7"/>
      <c r="C789" s="13"/>
      <c r="F789" s="13"/>
      <c r="G789" s="11"/>
      <c r="H789" s="14"/>
    </row>
    <row r="790">
      <c r="A790" s="7"/>
      <c r="C790" s="13"/>
      <c r="F790" s="13"/>
      <c r="G790" s="11"/>
      <c r="H790" s="14"/>
    </row>
    <row r="791">
      <c r="A791" s="7"/>
      <c r="C791" s="13"/>
      <c r="F791" s="13"/>
      <c r="G791" s="11"/>
      <c r="H791" s="14"/>
    </row>
    <row r="792">
      <c r="A792" s="7"/>
      <c r="C792" s="13"/>
      <c r="F792" s="13"/>
      <c r="G792" s="11"/>
      <c r="H792" s="14"/>
    </row>
    <row r="793">
      <c r="A793" s="7"/>
      <c r="C793" s="13"/>
      <c r="F793" s="13"/>
      <c r="G793" s="11"/>
      <c r="H793" s="14"/>
    </row>
    <row r="794">
      <c r="A794" s="7"/>
      <c r="C794" s="13"/>
      <c r="F794" s="13"/>
      <c r="G794" s="11"/>
      <c r="H794" s="14"/>
    </row>
    <row r="795">
      <c r="A795" s="7"/>
      <c r="C795" s="13"/>
      <c r="F795" s="13"/>
      <c r="G795" s="11"/>
      <c r="H795" s="14"/>
    </row>
    <row r="796">
      <c r="A796" s="7"/>
      <c r="C796" s="13"/>
      <c r="F796" s="13"/>
      <c r="G796" s="11"/>
      <c r="H796" s="14"/>
    </row>
    <row r="797">
      <c r="A797" s="7"/>
      <c r="C797" s="13"/>
      <c r="F797" s="13"/>
      <c r="G797" s="11"/>
      <c r="H797" s="14"/>
    </row>
    <row r="798">
      <c r="A798" s="7"/>
      <c r="C798" s="13"/>
      <c r="F798" s="13"/>
      <c r="G798" s="11"/>
      <c r="H798" s="14"/>
    </row>
    <row r="799">
      <c r="A799" s="7"/>
      <c r="C799" s="13"/>
      <c r="F799" s="13"/>
      <c r="G799" s="11"/>
      <c r="H799" s="14"/>
    </row>
    <row r="800">
      <c r="A800" s="7"/>
      <c r="C800" s="13"/>
      <c r="F800" s="13"/>
      <c r="G800" s="11"/>
      <c r="H800" s="14"/>
    </row>
    <row r="801">
      <c r="A801" s="7"/>
      <c r="C801" s="13"/>
      <c r="F801" s="13"/>
      <c r="G801" s="11"/>
      <c r="H801" s="14"/>
    </row>
    <row r="802">
      <c r="A802" s="7"/>
      <c r="C802" s="13"/>
      <c r="F802" s="13"/>
      <c r="G802" s="11"/>
      <c r="H802" s="14"/>
    </row>
    <row r="803">
      <c r="A803" s="7"/>
      <c r="C803" s="13"/>
      <c r="F803" s="13"/>
      <c r="G803" s="11"/>
      <c r="H803" s="14"/>
    </row>
    <row r="804">
      <c r="A804" s="7"/>
      <c r="C804" s="13"/>
      <c r="F804" s="13"/>
      <c r="G804" s="11"/>
      <c r="H804" s="14"/>
    </row>
    <row r="805">
      <c r="A805" s="7"/>
      <c r="C805" s="13"/>
      <c r="F805" s="13"/>
      <c r="G805" s="11"/>
      <c r="H805" s="14"/>
    </row>
    <row r="806">
      <c r="A806" s="7"/>
      <c r="C806" s="13"/>
      <c r="F806" s="13"/>
      <c r="G806" s="11"/>
      <c r="H806" s="14"/>
    </row>
    <row r="807">
      <c r="A807" s="7"/>
      <c r="C807" s="13"/>
      <c r="F807" s="13"/>
      <c r="G807" s="11"/>
      <c r="H807" s="14"/>
    </row>
    <row r="808">
      <c r="A808" s="7"/>
      <c r="C808" s="13"/>
      <c r="F808" s="13"/>
      <c r="G808" s="11"/>
      <c r="H808" s="14"/>
    </row>
    <row r="809">
      <c r="A809" s="7"/>
      <c r="C809" s="13"/>
      <c r="F809" s="13"/>
      <c r="G809" s="11"/>
      <c r="H809" s="14"/>
    </row>
    <row r="810">
      <c r="A810" s="7"/>
      <c r="C810" s="13"/>
      <c r="F810" s="13"/>
      <c r="G810" s="11"/>
      <c r="H810" s="14"/>
    </row>
    <row r="811">
      <c r="A811" s="7"/>
      <c r="C811" s="13"/>
      <c r="F811" s="13"/>
      <c r="G811" s="11"/>
      <c r="H811" s="14"/>
    </row>
    <row r="812">
      <c r="A812" s="7"/>
      <c r="C812" s="13"/>
      <c r="F812" s="13"/>
      <c r="G812" s="11"/>
      <c r="H812" s="14"/>
    </row>
    <row r="813">
      <c r="A813" s="7"/>
      <c r="C813" s="13"/>
      <c r="F813" s="13"/>
      <c r="G813" s="11"/>
      <c r="H813" s="14"/>
    </row>
    <row r="814">
      <c r="A814" s="7"/>
      <c r="C814" s="13"/>
      <c r="F814" s="13"/>
      <c r="G814" s="11"/>
      <c r="H814" s="14"/>
    </row>
    <row r="815">
      <c r="A815" s="7"/>
      <c r="C815" s="13"/>
      <c r="F815" s="13"/>
      <c r="G815" s="11"/>
      <c r="H815" s="14"/>
    </row>
    <row r="816">
      <c r="A816" s="7"/>
      <c r="C816" s="13"/>
      <c r="F816" s="13"/>
      <c r="G816" s="11"/>
      <c r="H816" s="14"/>
    </row>
    <row r="817">
      <c r="A817" s="7"/>
      <c r="C817" s="13"/>
      <c r="F817" s="13"/>
      <c r="G817" s="11"/>
      <c r="H817" s="14"/>
    </row>
    <row r="818">
      <c r="A818" s="7"/>
      <c r="C818" s="13"/>
      <c r="F818" s="13"/>
      <c r="G818" s="11"/>
      <c r="H818" s="14"/>
    </row>
    <row r="819">
      <c r="A819" s="7"/>
      <c r="C819" s="13"/>
      <c r="F819" s="13"/>
      <c r="G819" s="11"/>
      <c r="H819" s="14"/>
    </row>
    <row r="820">
      <c r="A820" s="7"/>
      <c r="C820" s="13"/>
      <c r="F820" s="13"/>
      <c r="G820" s="11"/>
      <c r="H820" s="14"/>
    </row>
    <row r="821">
      <c r="A821" s="7"/>
      <c r="C821" s="13"/>
      <c r="F821" s="13"/>
      <c r="G821" s="11"/>
      <c r="H821" s="14"/>
    </row>
    <row r="822">
      <c r="A822" s="7"/>
      <c r="C822" s="13"/>
      <c r="F822" s="13"/>
      <c r="G822" s="11"/>
      <c r="H822" s="14"/>
    </row>
    <row r="823">
      <c r="A823" s="7"/>
      <c r="C823" s="13"/>
      <c r="F823" s="13"/>
      <c r="G823" s="11"/>
      <c r="H823" s="14"/>
    </row>
    <row r="824">
      <c r="A824" s="7"/>
      <c r="C824" s="13"/>
      <c r="F824" s="13"/>
      <c r="G824" s="11"/>
      <c r="H824" s="14"/>
    </row>
    <row r="825">
      <c r="A825" s="7"/>
      <c r="C825" s="13"/>
      <c r="F825" s="13"/>
      <c r="G825" s="11"/>
      <c r="H825" s="14"/>
    </row>
    <row r="826">
      <c r="A826" s="7"/>
      <c r="C826" s="13"/>
      <c r="F826" s="13"/>
      <c r="G826" s="11"/>
      <c r="H826" s="14"/>
    </row>
    <row r="827">
      <c r="A827" s="7"/>
      <c r="C827" s="13"/>
      <c r="F827" s="13"/>
      <c r="G827" s="11"/>
      <c r="H827" s="14"/>
    </row>
    <row r="828">
      <c r="A828" s="7"/>
      <c r="C828" s="13"/>
      <c r="F828" s="13"/>
      <c r="G828" s="11"/>
      <c r="H828" s="14"/>
    </row>
    <row r="829">
      <c r="A829" s="7"/>
      <c r="C829" s="13"/>
      <c r="F829" s="13"/>
      <c r="G829" s="11"/>
      <c r="H829" s="14"/>
    </row>
    <row r="830">
      <c r="A830" s="7"/>
      <c r="C830" s="13"/>
      <c r="F830" s="13"/>
      <c r="G830" s="11"/>
      <c r="H830" s="14"/>
    </row>
    <row r="831">
      <c r="A831" s="7"/>
      <c r="C831" s="13"/>
      <c r="F831" s="13"/>
      <c r="G831" s="11"/>
      <c r="H831" s="14"/>
    </row>
    <row r="832">
      <c r="A832" s="7"/>
      <c r="C832" s="13"/>
      <c r="F832" s="13"/>
      <c r="G832" s="11"/>
      <c r="H832" s="14"/>
    </row>
    <row r="833">
      <c r="A833" s="7"/>
      <c r="C833" s="13"/>
      <c r="F833" s="13"/>
      <c r="G833" s="11"/>
      <c r="H833" s="14"/>
    </row>
    <row r="834">
      <c r="A834" s="7"/>
      <c r="C834" s="13"/>
      <c r="F834" s="13"/>
      <c r="G834" s="11"/>
      <c r="H834" s="14"/>
    </row>
    <row r="835">
      <c r="A835" s="7"/>
      <c r="C835" s="13"/>
      <c r="F835" s="13"/>
      <c r="G835" s="11"/>
      <c r="H835" s="14"/>
    </row>
    <row r="836">
      <c r="A836" s="7"/>
      <c r="C836" s="13"/>
      <c r="F836" s="13"/>
      <c r="G836" s="11"/>
      <c r="H836" s="14"/>
    </row>
    <row r="837">
      <c r="A837" s="7"/>
      <c r="C837" s="13"/>
      <c r="F837" s="13"/>
      <c r="G837" s="11"/>
      <c r="H837" s="14"/>
    </row>
    <row r="838">
      <c r="A838" s="7"/>
      <c r="C838" s="13"/>
      <c r="F838" s="13"/>
      <c r="G838" s="11"/>
      <c r="H838" s="14"/>
    </row>
    <row r="839">
      <c r="A839" s="7"/>
      <c r="C839" s="13"/>
      <c r="F839" s="13"/>
      <c r="G839" s="11"/>
      <c r="H839" s="14"/>
    </row>
    <row r="840">
      <c r="A840" s="7"/>
      <c r="C840" s="13"/>
      <c r="F840" s="13"/>
      <c r="G840" s="11"/>
      <c r="H840" s="14"/>
    </row>
    <row r="841">
      <c r="A841" s="7"/>
      <c r="C841" s="13"/>
      <c r="F841" s="13"/>
      <c r="G841" s="11"/>
      <c r="H841" s="14"/>
    </row>
    <row r="842">
      <c r="A842" s="7"/>
      <c r="C842" s="13"/>
      <c r="F842" s="13"/>
      <c r="G842" s="11"/>
      <c r="H842" s="14"/>
    </row>
    <row r="843">
      <c r="A843" s="7"/>
      <c r="C843" s="13"/>
      <c r="F843" s="13"/>
      <c r="G843" s="11"/>
      <c r="H843" s="14"/>
    </row>
    <row r="844">
      <c r="A844" s="7"/>
      <c r="C844" s="13"/>
      <c r="F844" s="13"/>
      <c r="G844" s="11"/>
      <c r="H844" s="14"/>
    </row>
    <row r="845">
      <c r="A845" s="7"/>
      <c r="C845" s="13"/>
      <c r="F845" s="13"/>
      <c r="G845" s="11"/>
      <c r="H845" s="14"/>
    </row>
    <row r="846">
      <c r="A846" s="7"/>
      <c r="C846" s="13"/>
      <c r="F846" s="13"/>
      <c r="G846" s="11"/>
      <c r="H846" s="14"/>
    </row>
    <row r="847">
      <c r="A847" s="7"/>
      <c r="C847" s="13"/>
      <c r="F847" s="13"/>
      <c r="G847" s="11"/>
      <c r="H847" s="14"/>
    </row>
    <row r="848">
      <c r="A848" s="7"/>
      <c r="C848" s="13"/>
      <c r="F848" s="13"/>
      <c r="G848" s="11"/>
      <c r="H848" s="14"/>
    </row>
    <row r="849">
      <c r="A849" s="7"/>
      <c r="C849" s="13"/>
      <c r="F849" s="13"/>
      <c r="G849" s="11"/>
      <c r="H849" s="14"/>
    </row>
    <row r="850">
      <c r="A850" s="7"/>
      <c r="C850" s="13"/>
      <c r="F850" s="13"/>
      <c r="G850" s="11"/>
      <c r="H850" s="14"/>
    </row>
    <row r="851">
      <c r="A851" s="7"/>
      <c r="C851" s="13"/>
      <c r="F851" s="13"/>
      <c r="G851" s="11"/>
      <c r="H851" s="14"/>
    </row>
    <row r="852">
      <c r="A852" s="7"/>
      <c r="C852" s="13"/>
      <c r="F852" s="13"/>
      <c r="G852" s="11"/>
      <c r="H852" s="14"/>
    </row>
    <row r="853">
      <c r="A853" s="7"/>
      <c r="C853" s="13"/>
      <c r="F853" s="13"/>
      <c r="G853" s="11"/>
      <c r="H853" s="14"/>
    </row>
    <row r="854">
      <c r="A854" s="7"/>
      <c r="C854" s="13"/>
      <c r="F854" s="13"/>
      <c r="G854" s="11"/>
      <c r="H854" s="14"/>
    </row>
    <row r="855">
      <c r="A855" s="7"/>
      <c r="C855" s="13"/>
      <c r="F855" s="13"/>
      <c r="G855" s="11"/>
      <c r="H855" s="14"/>
    </row>
    <row r="856">
      <c r="A856" s="7"/>
      <c r="C856" s="13"/>
      <c r="F856" s="13"/>
      <c r="G856" s="11"/>
      <c r="H856" s="14"/>
    </row>
    <row r="857">
      <c r="A857" s="7"/>
      <c r="C857" s="13"/>
      <c r="F857" s="13"/>
      <c r="G857" s="11"/>
      <c r="H857" s="14"/>
    </row>
    <row r="858">
      <c r="A858" s="7"/>
      <c r="C858" s="13"/>
      <c r="F858" s="13"/>
      <c r="G858" s="11"/>
      <c r="H858" s="14"/>
    </row>
    <row r="859">
      <c r="A859" s="7"/>
      <c r="C859" s="13"/>
      <c r="F859" s="13"/>
      <c r="G859" s="11"/>
      <c r="H859" s="14"/>
    </row>
    <row r="860">
      <c r="A860" s="7"/>
      <c r="C860" s="13"/>
      <c r="F860" s="13"/>
      <c r="G860" s="11"/>
      <c r="H860" s="14"/>
    </row>
    <row r="861">
      <c r="A861" s="7"/>
      <c r="C861" s="13"/>
      <c r="F861" s="13"/>
      <c r="G861" s="11"/>
      <c r="H861" s="14"/>
    </row>
    <row r="862">
      <c r="A862" s="7"/>
      <c r="C862" s="13"/>
      <c r="F862" s="13"/>
      <c r="G862" s="11"/>
      <c r="H862" s="14"/>
    </row>
    <row r="863">
      <c r="A863" s="7"/>
      <c r="C863" s="13"/>
      <c r="F863" s="13"/>
      <c r="G863" s="11"/>
      <c r="H863" s="14"/>
    </row>
    <row r="864">
      <c r="A864" s="7"/>
      <c r="C864" s="13"/>
      <c r="F864" s="13"/>
      <c r="G864" s="11"/>
      <c r="H864" s="14"/>
    </row>
    <row r="865">
      <c r="A865" s="7"/>
      <c r="C865" s="13"/>
      <c r="F865" s="13"/>
      <c r="G865" s="11"/>
      <c r="H865" s="14"/>
    </row>
    <row r="866">
      <c r="A866" s="7"/>
      <c r="C866" s="13"/>
      <c r="F866" s="13"/>
      <c r="G866" s="11"/>
      <c r="H866" s="14"/>
    </row>
    <row r="867">
      <c r="A867" s="7"/>
      <c r="C867" s="13"/>
      <c r="F867" s="13"/>
      <c r="G867" s="11"/>
      <c r="H867" s="14"/>
    </row>
    <row r="868">
      <c r="A868" s="7"/>
      <c r="C868" s="13"/>
      <c r="F868" s="13"/>
      <c r="G868" s="11"/>
      <c r="H868" s="14"/>
    </row>
    <row r="869">
      <c r="A869" s="7"/>
      <c r="C869" s="13"/>
      <c r="F869" s="13"/>
      <c r="G869" s="11"/>
      <c r="H869" s="14"/>
    </row>
    <row r="870">
      <c r="A870" s="7"/>
      <c r="C870" s="13"/>
      <c r="F870" s="13"/>
      <c r="G870" s="11"/>
      <c r="H870" s="14"/>
    </row>
    <row r="871">
      <c r="A871" s="7"/>
      <c r="C871" s="13"/>
      <c r="F871" s="13"/>
      <c r="G871" s="11"/>
      <c r="H871" s="14"/>
    </row>
    <row r="872">
      <c r="A872" s="7"/>
      <c r="C872" s="13"/>
      <c r="F872" s="13"/>
      <c r="G872" s="11"/>
      <c r="H872" s="14"/>
    </row>
    <row r="873">
      <c r="A873" s="7"/>
      <c r="C873" s="13"/>
      <c r="F873" s="13"/>
      <c r="G873" s="11"/>
      <c r="H873" s="14"/>
    </row>
    <row r="874">
      <c r="A874" s="7"/>
      <c r="C874" s="13"/>
      <c r="F874" s="13"/>
      <c r="G874" s="11"/>
      <c r="H874" s="14"/>
    </row>
    <row r="875">
      <c r="A875" s="7"/>
      <c r="C875" s="13"/>
      <c r="F875" s="13"/>
      <c r="G875" s="11"/>
      <c r="H875" s="14"/>
    </row>
    <row r="876">
      <c r="A876" s="7"/>
      <c r="C876" s="13"/>
      <c r="F876" s="13"/>
      <c r="G876" s="11"/>
      <c r="H876" s="14"/>
    </row>
    <row r="877">
      <c r="A877" s="7"/>
      <c r="C877" s="13"/>
      <c r="F877" s="13"/>
      <c r="G877" s="11"/>
      <c r="H877" s="14"/>
    </row>
    <row r="878">
      <c r="A878" s="7"/>
      <c r="C878" s="13"/>
      <c r="F878" s="13"/>
      <c r="G878" s="11"/>
      <c r="H878" s="14"/>
    </row>
    <row r="879">
      <c r="A879" s="7"/>
      <c r="C879" s="13"/>
      <c r="F879" s="13"/>
      <c r="G879" s="11"/>
      <c r="H879" s="14"/>
    </row>
    <row r="880">
      <c r="A880" s="7"/>
      <c r="C880" s="13"/>
      <c r="F880" s="13"/>
      <c r="G880" s="11"/>
      <c r="H880" s="14"/>
    </row>
    <row r="881">
      <c r="A881" s="7"/>
      <c r="C881" s="13"/>
      <c r="F881" s="13"/>
      <c r="G881" s="11"/>
      <c r="H881" s="14"/>
    </row>
    <row r="882">
      <c r="A882" s="7"/>
      <c r="C882" s="13"/>
      <c r="F882" s="13"/>
      <c r="G882" s="11"/>
      <c r="H882" s="14"/>
    </row>
    <row r="883">
      <c r="A883" s="7"/>
      <c r="C883" s="13"/>
      <c r="F883" s="13"/>
      <c r="G883" s="11"/>
      <c r="H883" s="14"/>
    </row>
    <row r="884">
      <c r="A884" s="7"/>
      <c r="C884" s="13"/>
      <c r="F884" s="13"/>
      <c r="G884" s="11"/>
      <c r="H884" s="14"/>
    </row>
    <row r="885">
      <c r="A885" s="7"/>
      <c r="C885" s="13"/>
      <c r="F885" s="13"/>
      <c r="G885" s="11"/>
      <c r="H885" s="14"/>
    </row>
    <row r="886">
      <c r="A886" s="7"/>
      <c r="C886" s="13"/>
      <c r="F886" s="13"/>
      <c r="G886" s="11"/>
      <c r="H886" s="14"/>
    </row>
    <row r="887">
      <c r="A887" s="7"/>
      <c r="C887" s="13"/>
      <c r="F887" s="13"/>
      <c r="G887" s="11"/>
      <c r="H887" s="14"/>
    </row>
    <row r="888">
      <c r="A888" s="7"/>
      <c r="C888" s="13"/>
      <c r="F888" s="13"/>
      <c r="G888" s="11"/>
      <c r="H888" s="14"/>
    </row>
    <row r="889">
      <c r="A889" s="7"/>
      <c r="C889" s="13"/>
      <c r="F889" s="13"/>
      <c r="G889" s="11"/>
      <c r="H889" s="14"/>
    </row>
    <row r="890">
      <c r="A890" s="7"/>
      <c r="C890" s="13"/>
      <c r="F890" s="13"/>
      <c r="G890" s="11"/>
      <c r="H890" s="14"/>
    </row>
    <row r="891">
      <c r="A891" s="7"/>
      <c r="C891" s="13"/>
      <c r="F891" s="13"/>
      <c r="G891" s="11"/>
      <c r="H891" s="14"/>
    </row>
    <row r="892">
      <c r="A892" s="7"/>
      <c r="C892" s="13"/>
      <c r="F892" s="13"/>
      <c r="G892" s="11"/>
      <c r="H892" s="14"/>
    </row>
    <row r="893">
      <c r="A893" s="7"/>
      <c r="C893" s="13"/>
      <c r="F893" s="13"/>
      <c r="G893" s="11"/>
      <c r="H893" s="14"/>
    </row>
    <row r="894">
      <c r="A894" s="7"/>
      <c r="C894" s="13"/>
      <c r="F894" s="13"/>
      <c r="G894" s="11"/>
      <c r="H894" s="14"/>
    </row>
    <row r="895">
      <c r="A895" s="7"/>
      <c r="C895" s="13"/>
      <c r="F895" s="13"/>
      <c r="G895" s="11"/>
      <c r="H895" s="14"/>
    </row>
    <row r="896">
      <c r="A896" s="7"/>
      <c r="C896" s="13"/>
      <c r="F896" s="13"/>
      <c r="G896" s="11"/>
      <c r="H896" s="14"/>
    </row>
    <row r="897">
      <c r="A897" s="7"/>
      <c r="C897" s="13"/>
      <c r="F897" s="13"/>
      <c r="G897" s="11"/>
      <c r="H897" s="14"/>
    </row>
    <row r="898">
      <c r="A898" s="7"/>
      <c r="C898" s="13"/>
      <c r="F898" s="13"/>
      <c r="G898" s="11"/>
      <c r="H898" s="14"/>
    </row>
    <row r="899">
      <c r="A899" s="7"/>
      <c r="C899" s="13"/>
      <c r="F899" s="13"/>
      <c r="G899" s="11"/>
      <c r="H899" s="14"/>
    </row>
    <row r="900">
      <c r="A900" s="7"/>
      <c r="C900" s="13"/>
      <c r="F900" s="13"/>
      <c r="G900" s="11"/>
      <c r="H900" s="14"/>
    </row>
    <row r="901">
      <c r="A901" s="7"/>
      <c r="C901" s="13"/>
      <c r="F901" s="13"/>
      <c r="G901" s="11"/>
      <c r="H901" s="14"/>
    </row>
    <row r="902">
      <c r="A902" s="7"/>
      <c r="C902" s="13"/>
      <c r="F902" s="13"/>
      <c r="G902" s="11"/>
      <c r="H902" s="14"/>
    </row>
    <row r="903">
      <c r="A903" s="7"/>
      <c r="C903" s="13"/>
      <c r="F903" s="13"/>
      <c r="G903" s="11"/>
      <c r="H903" s="14"/>
    </row>
    <row r="904">
      <c r="A904" s="7"/>
      <c r="C904" s="13"/>
      <c r="F904" s="13"/>
      <c r="G904" s="11"/>
      <c r="H904" s="14"/>
    </row>
    <row r="905">
      <c r="A905" s="7"/>
      <c r="C905" s="13"/>
      <c r="F905" s="13"/>
      <c r="G905" s="11"/>
      <c r="H905" s="14"/>
    </row>
    <row r="906">
      <c r="A906" s="7"/>
      <c r="C906" s="13"/>
      <c r="F906" s="13"/>
      <c r="G906" s="11"/>
      <c r="H906" s="14"/>
    </row>
    <row r="907">
      <c r="A907" s="7"/>
      <c r="C907" s="13"/>
      <c r="F907" s="13"/>
      <c r="G907" s="11"/>
      <c r="H907" s="14"/>
    </row>
    <row r="908">
      <c r="A908" s="7"/>
      <c r="C908" s="13"/>
      <c r="F908" s="13"/>
      <c r="G908" s="11"/>
      <c r="H908" s="14"/>
    </row>
    <row r="909">
      <c r="A909" s="7"/>
      <c r="C909" s="13"/>
      <c r="F909" s="13"/>
      <c r="G909" s="11"/>
      <c r="H909" s="14"/>
    </row>
    <row r="910">
      <c r="A910" s="7"/>
      <c r="C910" s="13"/>
      <c r="F910" s="13"/>
      <c r="G910" s="11"/>
      <c r="H910" s="14"/>
    </row>
    <row r="911">
      <c r="A911" s="7"/>
      <c r="C911" s="13"/>
      <c r="F911" s="13"/>
      <c r="G911" s="11"/>
      <c r="H911" s="14"/>
    </row>
    <row r="912">
      <c r="A912" s="7"/>
      <c r="C912" s="13"/>
      <c r="F912" s="13"/>
      <c r="G912" s="11"/>
      <c r="H912" s="14"/>
    </row>
    <row r="913">
      <c r="A913" s="7"/>
      <c r="C913" s="13"/>
      <c r="F913" s="13"/>
      <c r="G913" s="11"/>
      <c r="H913" s="14"/>
    </row>
    <row r="914">
      <c r="A914" s="7"/>
      <c r="C914" s="13"/>
      <c r="F914" s="13"/>
      <c r="G914" s="11"/>
      <c r="H914" s="14"/>
    </row>
    <row r="915">
      <c r="A915" s="7"/>
      <c r="C915" s="13"/>
      <c r="F915" s="13"/>
      <c r="G915" s="11"/>
      <c r="H915" s="14"/>
    </row>
    <row r="916">
      <c r="A916" s="7"/>
      <c r="C916" s="13"/>
      <c r="F916" s="13"/>
      <c r="G916" s="11"/>
      <c r="H916" s="14"/>
    </row>
    <row r="917">
      <c r="A917" s="7"/>
      <c r="C917" s="13"/>
      <c r="F917" s="13"/>
      <c r="G917" s="11"/>
      <c r="H917" s="14"/>
    </row>
    <row r="918">
      <c r="A918" s="7"/>
      <c r="C918" s="13"/>
      <c r="F918" s="13"/>
      <c r="G918" s="11"/>
      <c r="H918" s="14"/>
    </row>
    <row r="919">
      <c r="A919" s="7"/>
      <c r="C919" s="13"/>
      <c r="F919" s="13"/>
      <c r="G919" s="11"/>
      <c r="H919" s="14"/>
    </row>
    <row r="920">
      <c r="A920" s="7"/>
      <c r="C920" s="13"/>
      <c r="F920" s="13"/>
      <c r="G920" s="11"/>
      <c r="H920" s="14"/>
    </row>
    <row r="921">
      <c r="A921" s="7"/>
      <c r="C921" s="13"/>
      <c r="F921" s="13"/>
      <c r="G921" s="11"/>
      <c r="H921" s="14"/>
    </row>
    <row r="922">
      <c r="A922" s="7"/>
      <c r="C922" s="13"/>
      <c r="F922" s="13"/>
      <c r="G922" s="11"/>
      <c r="H922" s="14"/>
    </row>
    <row r="923">
      <c r="A923" s="7"/>
      <c r="C923" s="13"/>
      <c r="F923" s="13"/>
      <c r="G923" s="11"/>
      <c r="H923" s="14"/>
    </row>
    <row r="924">
      <c r="A924" s="7"/>
      <c r="C924" s="13"/>
      <c r="F924" s="13"/>
      <c r="G924" s="11"/>
      <c r="H924" s="14"/>
    </row>
    <row r="925">
      <c r="A925" s="7"/>
      <c r="C925" s="13"/>
      <c r="F925" s="13"/>
      <c r="G925" s="11"/>
      <c r="H925" s="14"/>
    </row>
    <row r="926">
      <c r="A926" s="7"/>
      <c r="C926" s="13"/>
      <c r="F926" s="13"/>
      <c r="G926" s="11"/>
      <c r="H926" s="14"/>
    </row>
    <row r="927">
      <c r="A927" s="7"/>
      <c r="C927" s="13"/>
      <c r="F927" s="13"/>
      <c r="G927" s="11"/>
      <c r="H927" s="14"/>
    </row>
    <row r="928">
      <c r="A928" s="7"/>
      <c r="C928" s="13"/>
      <c r="F928" s="13"/>
      <c r="G928" s="11"/>
      <c r="H928" s="14"/>
    </row>
    <row r="929">
      <c r="A929" s="7"/>
      <c r="C929" s="13"/>
      <c r="F929" s="13"/>
      <c r="G929" s="11"/>
      <c r="H929" s="14"/>
    </row>
    <row r="930">
      <c r="A930" s="7"/>
      <c r="C930" s="13"/>
      <c r="F930" s="13"/>
      <c r="G930" s="11"/>
      <c r="H930" s="14"/>
    </row>
    <row r="931">
      <c r="A931" s="7"/>
      <c r="C931" s="13"/>
      <c r="F931" s="13"/>
      <c r="G931" s="11"/>
      <c r="H931" s="14"/>
    </row>
    <row r="932">
      <c r="A932" s="7"/>
      <c r="C932" s="13"/>
      <c r="F932" s="13"/>
      <c r="G932" s="11"/>
      <c r="H932" s="14"/>
    </row>
    <row r="933">
      <c r="A933" s="7"/>
      <c r="C933" s="13"/>
      <c r="F933" s="13"/>
      <c r="G933" s="11"/>
      <c r="H933" s="14"/>
    </row>
    <row r="934">
      <c r="A934" s="7"/>
      <c r="C934" s="13"/>
      <c r="F934" s="13"/>
      <c r="G934" s="11"/>
      <c r="H934" s="14"/>
    </row>
    <row r="935">
      <c r="A935" s="7"/>
      <c r="C935" s="13"/>
      <c r="F935" s="13"/>
      <c r="G935" s="11"/>
      <c r="H935" s="14"/>
    </row>
    <row r="936">
      <c r="A936" s="7"/>
      <c r="C936" s="13"/>
      <c r="F936" s="13"/>
      <c r="G936" s="11"/>
      <c r="H936" s="14"/>
    </row>
    <row r="937">
      <c r="A937" s="7"/>
      <c r="C937" s="13"/>
      <c r="F937" s="13"/>
      <c r="G937" s="11"/>
      <c r="H937" s="14"/>
    </row>
    <row r="938">
      <c r="A938" s="7"/>
      <c r="C938" s="13"/>
      <c r="F938" s="13"/>
      <c r="G938" s="11"/>
      <c r="H938" s="14"/>
    </row>
    <row r="939">
      <c r="A939" s="7"/>
      <c r="C939" s="13"/>
      <c r="F939" s="13"/>
      <c r="G939" s="11"/>
      <c r="H939" s="14"/>
    </row>
    <row r="940">
      <c r="A940" s="7"/>
      <c r="C940" s="13"/>
      <c r="F940" s="13"/>
      <c r="G940" s="11"/>
      <c r="H940" s="14"/>
    </row>
    <row r="941">
      <c r="A941" s="7"/>
      <c r="C941" s="13"/>
      <c r="F941" s="13"/>
      <c r="G941" s="11"/>
      <c r="H941" s="14"/>
    </row>
    <row r="942">
      <c r="A942" s="7"/>
      <c r="C942" s="13"/>
      <c r="F942" s="13"/>
      <c r="G942" s="11"/>
      <c r="H942" s="14"/>
    </row>
    <row r="943">
      <c r="A943" s="7"/>
      <c r="C943" s="13"/>
      <c r="F943" s="13"/>
      <c r="G943" s="11"/>
      <c r="H943" s="14"/>
    </row>
    <row r="944">
      <c r="A944" s="7"/>
      <c r="C944" s="13"/>
      <c r="F944" s="13"/>
      <c r="G944" s="11"/>
      <c r="H944" s="14"/>
    </row>
    <row r="945">
      <c r="A945" s="7"/>
      <c r="C945" s="13"/>
      <c r="F945" s="13"/>
      <c r="G945" s="11"/>
      <c r="H945" s="14"/>
    </row>
    <row r="946">
      <c r="A946" s="7"/>
      <c r="C946" s="13"/>
      <c r="F946" s="13"/>
      <c r="G946" s="11"/>
      <c r="H946" s="14"/>
    </row>
    <row r="947">
      <c r="A947" s="7"/>
      <c r="C947" s="13"/>
      <c r="F947" s="13"/>
      <c r="G947" s="11"/>
      <c r="H947" s="14"/>
    </row>
    <row r="948">
      <c r="A948" s="7"/>
      <c r="C948" s="13"/>
      <c r="F948" s="13"/>
      <c r="G948" s="11"/>
      <c r="H948" s="14"/>
    </row>
    <row r="949">
      <c r="A949" s="7"/>
      <c r="C949" s="13"/>
      <c r="F949" s="13"/>
      <c r="G949" s="11"/>
      <c r="H949" s="14"/>
    </row>
    <row r="950">
      <c r="A950" s="7"/>
      <c r="C950" s="13"/>
      <c r="F950" s="13"/>
      <c r="G950" s="11"/>
      <c r="H950" s="14"/>
    </row>
    <row r="951">
      <c r="A951" s="7"/>
      <c r="C951" s="13"/>
      <c r="F951" s="13"/>
      <c r="G951" s="11"/>
      <c r="H951" s="14"/>
    </row>
    <row r="952">
      <c r="A952" s="7"/>
      <c r="C952" s="13"/>
      <c r="F952" s="13"/>
      <c r="G952" s="11"/>
      <c r="H952" s="14"/>
    </row>
    <row r="953">
      <c r="A953" s="7"/>
      <c r="C953" s="13"/>
      <c r="F953" s="13"/>
      <c r="G953" s="11"/>
      <c r="H953" s="14"/>
    </row>
    <row r="954">
      <c r="A954" s="7"/>
      <c r="C954" s="13"/>
      <c r="F954" s="13"/>
      <c r="G954" s="11"/>
      <c r="H954" s="14"/>
    </row>
    <row r="955">
      <c r="A955" s="7"/>
      <c r="C955" s="13"/>
      <c r="F955" s="13"/>
      <c r="G955" s="11"/>
      <c r="H955" s="14"/>
    </row>
    <row r="956">
      <c r="A956" s="7"/>
      <c r="C956" s="13"/>
      <c r="F956" s="13"/>
      <c r="G956" s="11"/>
      <c r="H956" s="14"/>
    </row>
    <row r="957">
      <c r="A957" s="7"/>
      <c r="C957" s="13"/>
      <c r="F957" s="13"/>
      <c r="G957" s="11"/>
      <c r="H957" s="14"/>
    </row>
    <row r="958">
      <c r="A958" s="7"/>
      <c r="C958" s="13"/>
      <c r="F958" s="13"/>
      <c r="G958" s="11"/>
      <c r="H958" s="14"/>
    </row>
    <row r="959">
      <c r="A959" s="7"/>
      <c r="C959" s="13"/>
      <c r="F959" s="13"/>
      <c r="G959" s="11"/>
      <c r="H959" s="14"/>
    </row>
    <row r="960">
      <c r="A960" s="7"/>
      <c r="C960" s="13"/>
      <c r="F960" s="13"/>
      <c r="G960" s="11"/>
      <c r="H960" s="14"/>
    </row>
    <row r="961">
      <c r="A961" s="7"/>
      <c r="C961" s="13"/>
      <c r="F961" s="13"/>
      <c r="G961" s="11"/>
      <c r="H961" s="14"/>
    </row>
    <row r="962">
      <c r="A962" s="7"/>
      <c r="C962" s="13"/>
      <c r="F962" s="13"/>
      <c r="G962" s="11"/>
      <c r="H962" s="14"/>
    </row>
    <row r="963">
      <c r="A963" s="7"/>
      <c r="C963" s="13"/>
      <c r="F963" s="13"/>
      <c r="G963" s="11"/>
      <c r="H963" s="14"/>
    </row>
    <row r="964">
      <c r="A964" s="7"/>
      <c r="C964" s="13"/>
      <c r="F964" s="13"/>
      <c r="G964" s="11"/>
      <c r="H964" s="14"/>
    </row>
    <row r="965">
      <c r="A965" s="7"/>
      <c r="C965" s="13"/>
      <c r="F965" s="13"/>
      <c r="G965" s="11"/>
      <c r="H965" s="14"/>
    </row>
    <row r="966">
      <c r="A966" s="7"/>
      <c r="C966" s="13"/>
      <c r="F966" s="13"/>
      <c r="G966" s="11"/>
      <c r="H966" s="14"/>
    </row>
    <row r="967">
      <c r="A967" s="7"/>
      <c r="C967" s="13"/>
      <c r="F967" s="13"/>
      <c r="G967" s="11"/>
      <c r="H967" s="14"/>
    </row>
    <row r="968">
      <c r="A968" s="7"/>
      <c r="C968" s="13"/>
      <c r="F968" s="13"/>
      <c r="G968" s="11"/>
      <c r="H968" s="14"/>
    </row>
    <row r="969">
      <c r="A969" s="7"/>
      <c r="C969" s="13"/>
      <c r="F969" s="13"/>
      <c r="G969" s="11"/>
      <c r="H969" s="14"/>
    </row>
    <row r="970">
      <c r="A970" s="7"/>
      <c r="C970" s="13"/>
      <c r="F970" s="13"/>
      <c r="G970" s="11"/>
      <c r="H970" s="14"/>
    </row>
    <row r="971">
      <c r="A971" s="7"/>
      <c r="C971" s="13"/>
      <c r="F971" s="13"/>
      <c r="G971" s="11"/>
      <c r="H971" s="14"/>
    </row>
    <row r="972">
      <c r="A972" s="7"/>
      <c r="C972" s="13"/>
      <c r="F972" s="13"/>
      <c r="G972" s="11"/>
      <c r="H972" s="14"/>
    </row>
    <row r="973">
      <c r="A973" s="7"/>
      <c r="C973" s="13"/>
      <c r="F973" s="13"/>
      <c r="G973" s="11"/>
      <c r="H973" s="14"/>
    </row>
    <row r="974">
      <c r="A974" s="7"/>
      <c r="C974" s="13"/>
      <c r="F974" s="13"/>
      <c r="G974" s="11"/>
      <c r="H974" s="14"/>
    </row>
    <row r="975">
      <c r="A975" s="7"/>
      <c r="C975" s="13"/>
      <c r="F975" s="13"/>
      <c r="G975" s="11"/>
      <c r="H975" s="14"/>
    </row>
    <row r="976">
      <c r="A976" s="7"/>
      <c r="C976" s="13"/>
      <c r="F976" s="13"/>
      <c r="G976" s="11"/>
      <c r="H976" s="14"/>
    </row>
    <row r="977">
      <c r="A977" s="7"/>
      <c r="C977" s="13"/>
      <c r="F977" s="13"/>
      <c r="G977" s="11"/>
      <c r="H977" s="14"/>
    </row>
    <row r="978">
      <c r="A978" s="7"/>
      <c r="C978" s="13"/>
      <c r="F978" s="13"/>
      <c r="G978" s="11"/>
      <c r="H978" s="14"/>
    </row>
    <row r="979">
      <c r="A979" s="7"/>
      <c r="C979" s="13"/>
      <c r="F979" s="13"/>
      <c r="G979" s="11"/>
      <c r="H979" s="14"/>
    </row>
    <row r="980">
      <c r="A980" s="7"/>
      <c r="C980" s="13"/>
      <c r="F980" s="13"/>
      <c r="G980" s="11"/>
      <c r="H980" s="14"/>
    </row>
    <row r="981">
      <c r="A981" s="7"/>
      <c r="C981" s="13"/>
      <c r="F981" s="13"/>
      <c r="G981" s="11"/>
      <c r="H981" s="14"/>
    </row>
    <row r="982">
      <c r="A982" s="7"/>
      <c r="C982" s="13"/>
      <c r="F982" s="13"/>
      <c r="G982" s="11"/>
      <c r="H982" s="14"/>
    </row>
    <row r="983">
      <c r="A983" s="7"/>
      <c r="C983" s="13"/>
      <c r="F983" s="13"/>
      <c r="G983" s="11"/>
      <c r="H983" s="14"/>
    </row>
    <row r="984">
      <c r="A984" s="7"/>
      <c r="C984" s="13"/>
      <c r="F984" s="13"/>
      <c r="G984" s="11"/>
      <c r="H984" s="14"/>
    </row>
    <row r="985">
      <c r="A985" s="7"/>
      <c r="C985" s="13"/>
      <c r="F985" s="13"/>
      <c r="G985" s="11"/>
      <c r="H985" s="14"/>
    </row>
    <row r="986">
      <c r="A986" s="7"/>
      <c r="C986" s="13"/>
      <c r="F986" s="13"/>
      <c r="G986" s="11"/>
      <c r="H986" s="14"/>
    </row>
    <row r="987">
      <c r="A987" s="7"/>
      <c r="C987" s="13"/>
      <c r="F987" s="13"/>
      <c r="G987" s="11"/>
      <c r="H987" s="14"/>
    </row>
    <row r="988">
      <c r="A988" s="7"/>
      <c r="C988" s="13"/>
      <c r="F988" s="13"/>
      <c r="G988" s="11"/>
      <c r="H988" s="14"/>
    </row>
    <row r="989">
      <c r="A989" s="7"/>
      <c r="C989" s="13"/>
      <c r="F989" s="13"/>
      <c r="G989" s="11"/>
      <c r="H989" s="14"/>
    </row>
    <row r="990">
      <c r="A990" s="7"/>
      <c r="C990" s="13"/>
      <c r="F990" s="13"/>
      <c r="G990" s="11"/>
      <c r="H990" s="14"/>
    </row>
    <row r="991">
      <c r="A991" s="7"/>
      <c r="C991" s="13"/>
      <c r="F991" s="13"/>
      <c r="G991" s="11"/>
      <c r="H991" s="14"/>
    </row>
    <row r="992">
      <c r="A992" s="7"/>
      <c r="C992" s="13"/>
      <c r="F992" s="13"/>
      <c r="G992" s="11"/>
      <c r="H992" s="14"/>
    </row>
    <row r="993">
      <c r="A993" s="7"/>
      <c r="C993" s="13"/>
      <c r="F993" s="13"/>
      <c r="G993" s="11"/>
      <c r="H993" s="14"/>
    </row>
    <row r="994">
      <c r="A994" s="7"/>
      <c r="C994" s="13"/>
      <c r="F994" s="13"/>
      <c r="G994" s="11"/>
      <c r="H994" s="14"/>
    </row>
    <row r="995">
      <c r="A995" s="7"/>
      <c r="C995" s="13"/>
      <c r="F995" s="13"/>
      <c r="G995" s="11"/>
      <c r="H995" s="14"/>
    </row>
    <row r="996">
      <c r="A996" s="7"/>
      <c r="C996" s="13"/>
      <c r="F996" s="13"/>
      <c r="G996" s="11"/>
      <c r="H996" s="14"/>
    </row>
    <row r="997">
      <c r="A997" s="7"/>
      <c r="C997" s="13"/>
      <c r="F997" s="13"/>
      <c r="G997" s="11"/>
      <c r="H997" s="14"/>
    </row>
    <row r="998">
      <c r="A998" s="7"/>
      <c r="C998" s="13"/>
      <c r="F998" s="13"/>
      <c r="G998" s="11"/>
      <c r="H998" s="14"/>
    </row>
    <row r="999">
      <c r="A999" s="7"/>
      <c r="C999" s="13"/>
      <c r="F999" s="13"/>
      <c r="G999" s="11"/>
      <c r="H999" s="14"/>
    </row>
    <row r="1000">
      <c r="A1000" s="7"/>
      <c r="C1000" s="13"/>
      <c r="F1000" s="13"/>
      <c r="G1000" s="11"/>
      <c r="H1000" s="14"/>
    </row>
    <row r="1001">
      <c r="A1001" s="7"/>
      <c r="C1001" s="13"/>
      <c r="F1001" s="13"/>
      <c r="G1001" s="11"/>
      <c r="H1001" s="14"/>
    </row>
    <row r="1002">
      <c r="A1002" s="7"/>
      <c r="C1002" s="13"/>
      <c r="F1002" s="13"/>
      <c r="G1002" s="11"/>
      <c r="H1002" s="14"/>
    </row>
  </sheetData>
  <conditionalFormatting sqref="A1">
    <cfRule type="notContainsBlanks" dxfId="0" priority="1">
      <formula>LEN(TRIM(A1))&gt;0</formula>
    </cfRule>
  </conditionalFormatting>
  <conditionalFormatting sqref="D1:D1002">
    <cfRule type="beginsWith" dxfId="1" priority="2" operator="beginsWith" text="High">
      <formula>LEFT((D1),LEN("High"))=("High")</formula>
    </cfRule>
  </conditionalFormatting>
  <conditionalFormatting sqref="A2:A466">
    <cfRule type="colorScale" priority="3">
      <colorScale>
        <cfvo type="formula" val="1"/>
        <cfvo type="formula" val="1900"/>
        <cfvo type="formula" val="3801"/>
        <color rgb="FFB4A7D6"/>
        <color rgb="FFD9EAD3"/>
        <color rgb="FFE6B8AF"/>
      </colorScale>
    </cfRule>
  </conditionalFormatting>
  <conditionalFormatting sqref="F1:F1002">
    <cfRule type="cellIs" dxfId="2" priority="4" operator="greaterThan">
      <formula>100</formula>
    </cfRule>
  </conditionalFormatting>
  <conditionalFormatting sqref="A1:Z1002">
    <cfRule type="expression" dxfId="3" priority="5">
      <formula>$D1="Noise"</formula>
    </cfRule>
  </conditionalFormatting>
  <conditionalFormatting sqref="D1:D1002">
    <cfRule type="beginsWith" dxfId="4" priority="6" operator="beginsWith" text="Deep Neutral">
      <formula>LEFT((D1),LEN("Deep Neutral"))=("Deep Neutral")</formula>
    </cfRule>
  </conditionalFormatting>
  <conditionalFormatting sqref="E1:E1002">
    <cfRule type="containsText" dxfId="5" priority="7" operator="containsText" text="UIL">
      <formula>NOT(ISERROR(SEARCH(("UIL"),(E1))))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tr">
        <f>IFERROR(__xludf.DUMMYFUNCTION("FILTER('Master line list'!A1:Z1002, 'Master line list'!F1:F1002 &gt; 0)"),"Index")</f>
        <v>Index</v>
      </c>
      <c r="B1" s="2" t="str">
        <f>IFERROR(__xludf.DUMMYFUNCTION("""COMPUTED_VALUE"""),"Region")</f>
        <v>Region</v>
      </c>
      <c r="C1" s="3" t="str">
        <f>IFERROR(__xludf.DUMMYFUNCTION("""COMPUTED_VALUE"""),"λ(HM)")</f>
        <v>λ(HM)</v>
      </c>
      <c r="D1" s="2" t="str">
        <f>IFERROR(__xludf.DUMMYFUNCTION("""COMPUTED_VALUE"""),"Type")</f>
        <v>Type</v>
      </c>
      <c r="E1" s="2" t="str">
        <f>IFERROR(__xludf.DUMMYFUNCTION("""COMPUTED_VALUE"""),"ID")</f>
        <v>ID</v>
      </c>
      <c r="F1" s="3" t="str">
        <f>IFERROR(__xludf.DUMMYFUNCTION("""COMPUTED_VALUE"""),"Strength")</f>
        <v>Strength</v>
      </c>
      <c r="G1" s="4" t="str">
        <f>IFERROR(__xludf.DUMMYFUNCTION("""COMPUTED_VALUE"""),"Cont method")</f>
        <v>Cont method</v>
      </c>
      <c r="H1" s="5" t="str">
        <f>IFERROR(__xludf.DUMMYFUNCTION("""COMPUTED_VALUE"""),"Comments")</f>
        <v>Comments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f>IFERROR(__xludf.DUMMYFUNCTION("""COMPUTED_VALUE"""),49.0)</f>
        <v>49</v>
      </c>
      <c r="B2" s="17" t="str">
        <f>IFERROR(__xludf.DUMMYFUNCTION("""COMPUTED_VALUE"""),"GLOB-E")</f>
        <v>GLOB-E</v>
      </c>
      <c r="C2" s="13">
        <f>IFERROR(__xludf.DUMMYFUNCTION("""COMPUTED_VALUE"""),4657.93)</f>
        <v>4657.93</v>
      </c>
      <c r="D2" s="17" t="str">
        <f>IFERROR(__xludf.DUMMYFUNCTION("""COMPUTED_VALUE"""),"Fe, Ni")</f>
        <v>Fe, Ni</v>
      </c>
      <c r="E2" s="17" t="str">
        <f>IFERROR(__xludf.DUMMYFUNCTION("""COMPUTED_VALUE"""),"[Fe III] 4658.10")</f>
        <v>[Fe III] 4658.10</v>
      </c>
      <c r="F2" s="13">
        <f>IFERROR(__xludf.DUMMYFUNCTION("""COMPUTED_VALUE"""),0.6)</f>
        <v>0.6</v>
      </c>
      <c r="G2" s="17"/>
      <c r="H2" s="17" t="str">
        <f>IFERROR(__xludf.DUMMYFUNCTION("""COMPUTED_VALUE"""),"Shows diffuse emission, particularly in SE and NE")</f>
        <v>Shows diffuse emission, particularly in SE and NE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7">
        <f>IFERROR(__xludf.DUMMYFUNCTION("""COMPUTED_VALUE"""),71.0)</f>
        <v>71</v>
      </c>
      <c r="B3" s="17" t="str">
        <f>IFERROR(__xludf.DUMMYFUNCTION("""COMPUTED_VALUE"""),"BS")</f>
        <v>BS</v>
      </c>
      <c r="C3" s="13">
        <f>IFERROR(__xludf.DUMMYFUNCTION("""COMPUTED_VALUE"""),4685.55)</f>
        <v>4685.55</v>
      </c>
      <c r="D3" s="17" t="str">
        <f>IFERROR(__xludf.DUMMYFUNCTION("""COMPUTED_VALUE"""),"High Neb")</f>
        <v>High Neb</v>
      </c>
      <c r="E3" s="17" t="str">
        <f>IFERROR(__xludf.DUMMYFUNCTION("""COMPUTED_VALUE"""),"He II  4685.68")</f>
        <v>He II  4685.68</v>
      </c>
      <c r="F3" s="13">
        <f>IFERROR(__xludf.DUMMYFUNCTION("""COMPUTED_VALUE"""),44.0)</f>
        <v>44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7">
        <f>IFERROR(__xludf.DUMMYFUNCTION("""COMPUTED_VALUE"""),91.0)</f>
        <v>91</v>
      </c>
      <c r="B4" s="17" t="str">
        <f>IFERROR(__xludf.DUMMYFUNCTION("""COMPUTED_VALUE"""),"BS")</f>
        <v>BS</v>
      </c>
      <c r="C4" s="13">
        <f>IFERROR(__xludf.DUMMYFUNCTION("""COMPUTED_VALUE"""),4711.46)</f>
        <v>4711.46</v>
      </c>
      <c r="D4" s="17" t="str">
        <f>IFERROR(__xludf.DUMMYFUNCTION("""COMPUTED_VALUE"""),"High Neb")</f>
        <v>High Neb</v>
      </c>
      <c r="E4" s="17" t="str">
        <f>IFERROR(__xludf.DUMMYFUNCTION("""COMPUTED_VALUE"""),"[Ar IV] 4711.37")</f>
        <v>[Ar IV] 4711.37</v>
      </c>
      <c r="F4" s="13">
        <f>IFERROR(__xludf.DUMMYFUNCTION("""COMPUTED_VALUE"""),79.0)</f>
        <v>79</v>
      </c>
      <c r="G4" s="17">
        <f>IFERROR(__xludf.DUMMYFUNCTION("""COMPUTED_VALUE"""),11.0)</f>
        <v>11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7">
        <f>IFERROR(__xludf.DUMMYFUNCTION("""COMPUTED_VALUE"""),114.0)</f>
        <v>114</v>
      </c>
      <c r="B5" s="17" t="str">
        <f>IFERROR(__xludf.DUMMYFUNCTION("""COMPUTED_VALUE"""),"BS")</f>
        <v>BS</v>
      </c>
      <c r="C5" s="13">
        <f>IFERROR(__xludf.DUMMYFUNCTION("""COMPUTED_VALUE"""),4740.08)</f>
        <v>4740.08</v>
      </c>
      <c r="D5" s="17" t="str">
        <f>IFERROR(__xludf.DUMMYFUNCTION("""COMPUTED_VALUE"""),"High Neb")</f>
        <v>High Neb</v>
      </c>
      <c r="E5" s="17" t="str">
        <f>IFERROR(__xludf.DUMMYFUNCTION("""COMPUTED_VALUE"""),"[Ar IV] 4740.17")</f>
        <v>[Ar IV] 4740.17</v>
      </c>
      <c r="F5" s="13">
        <f>IFERROR(__xludf.DUMMYFUNCTION("""COMPUTED_VALUE"""),53.0)</f>
        <v>53</v>
      </c>
      <c r="G5" s="17">
        <f>IFERROR(__xludf.DUMMYFUNCTION("""COMPUTED_VALUE"""),11.0)</f>
        <v>11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7">
        <f>IFERROR(__xludf.DUMMYFUNCTION("""COMPUTED_VALUE"""),211.0)</f>
        <v>211</v>
      </c>
      <c r="B6" s="17" t="str">
        <f>IFERROR(__xludf.DUMMYFUNCTION("""COMPUTED_VALUE"""),"GLOB-E")</f>
        <v>GLOB-E</v>
      </c>
      <c r="C6" s="13">
        <f>IFERROR(__xludf.DUMMYFUNCTION("""COMPUTED_VALUE"""),4861.18)</f>
        <v>4861.18</v>
      </c>
      <c r="D6" s="17" t="str">
        <f>IFERROR(__xludf.DUMMYFUNCTION("""COMPUTED_VALUE"""),"Med Neb")</f>
        <v>Med Neb</v>
      </c>
      <c r="E6" s="17" t="str">
        <f>IFERROR(__xludf.DUMMYFUNCTION("""COMPUTED_VALUE"""),"H I 4861.32")</f>
        <v>H I 4861.32</v>
      </c>
      <c r="F6" s="13">
        <f>IFERROR(__xludf.DUMMYFUNCTION("""COMPUTED_VALUE"""),2300.0)</f>
        <v>2300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7">
        <f>IFERROR(__xludf.DUMMYFUNCTION("""COMPUTED_VALUE"""),227.0)</f>
        <v>227</v>
      </c>
      <c r="B7" s="17" t="str">
        <f>IFERROR(__xludf.DUMMYFUNCTION("""COMPUTED_VALUE"""),"GLOB-E")</f>
        <v>GLOB-E</v>
      </c>
      <c r="C7" s="13">
        <f>IFERROR(__xludf.DUMMYFUNCTION("""COMPUTED_VALUE"""),4881.05)</f>
        <v>4881.05</v>
      </c>
      <c r="D7" s="17" t="str">
        <f>IFERROR(__xludf.DUMMYFUNCTION("""COMPUTED_VALUE"""),"Fe, Ni")</f>
        <v>Fe, Ni</v>
      </c>
      <c r="E7" s="17" t="str">
        <f>IFERROR(__xludf.DUMMYFUNCTION("""COMPUTED_VALUE"""),"[Fe III] 4881.073")</f>
        <v>[Fe III] 4881.073</v>
      </c>
      <c r="F7" s="13">
        <f>IFERROR(__xludf.DUMMYFUNCTION("""COMPUTED_VALUE"""),1.2)</f>
        <v>1.2</v>
      </c>
      <c r="G7" s="17"/>
      <c r="H7" s="17" t="str">
        <f>IFERROR(__xludf.DUMMYFUNCTION("""COMPUTED_VALUE"""),"No clear diffuse emission. Seen in YSO-c and GLOB-D")</f>
        <v>No clear diffuse emission. Seen in YSO-c and GLOB-D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7">
        <f>IFERROR(__xludf.DUMMYFUNCTION("""COMPUTED_VALUE"""),260.0)</f>
        <v>260</v>
      </c>
      <c r="B8" s="17" t="str">
        <f>IFERROR(__xludf.DUMMYFUNCTION("""COMPUTED_VALUE"""),"GLOB-E")</f>
        <v>GLOB-E</v>
      </c>
      <c r="C8" s="13">
        <f>IFERROR(__xludf.DUMMYFUNCTION("""COMPUTED_VALUE"""),4921.75)</f>
        <v>4921.75</v>
      </c>
      <c r="D8" s="17" t="str">
        <f>IFERROR(__xludf.DUMMYFUNCTION("""COMPUTED_VALUE"""),"Med Neb")</f>
        <v>Med Neb</v>
      </c>
      <c r="E8" s="17" t="str">
        <f>IFERROR(__xludf.DUMMYFUNCTION("""COMPUTED_VALUE"""),"He I 4921.93")</f>
        <v>He I 4921.93</v>
      </c>
      <c r="F8" s="13">
        <f>IFERROR(__xludf.DUMMYFUNCTION("""COMPUTED_VALUE"""),21.0)</f>
        <v>21</v>
      </c>
      <c r="G8" s="17" t="str">
        <f>IFERROR(__xludf.DUMMYFUNCTION("""COMPUTED_VALUE"""),"11, 101")</f>
        <v>11, 101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7">
        <f>IFERROR(__xludf.DUMMYFUNCTION("""COMPUTED_VALUE"""),289.0)</f>
        <v>289</v>
      </c>
      <c r="B9" s="17" t="str">
        <f>IFERROR(__xludf.DUMMYFUNCTION("""COMPUTED_VALUE"""),"GLOB-E")</f>
        <v>GLOB-E</v>
      </c>
      <c r="C9" s="13">
        <f>IFERROR(__xludf.DUMMYFUNCTION("""COMPUTED_VALUE"""),4958.76)</f>
        <v>4958.76</v>
      </c>
      <c r="D9" s="17" t="str">
        <f>IFERROR(__xludf.DUMMYFUNCTION("""COMPUTED_VALUE"""),"Med Neb")</f>
        <v>Med Neb</v>
      </c>
      <c r="E9" s="17" t="str">
        <f>IFERROR(__xludf.DUMMYFUNCTION("""COMPUTED_VALUE"""),"[O III] 4958.91")</f>
        <v>[O III] 4958.91</v>
      </c>
      <c r="F9" s="13">
        <f>IFERROR(__xludf.DUMMYFUNCTION("""COMPUTED_VALUE"""),3300.0)</f>
        <v>3300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7">
        <f>IFERROR(__xludf.DUMMYFUNCTION("""COMPUTED_VALUE"""),328.0)</f>
        <v>328</v>
      </c>
      <c r="B10" s="17" t="str">
        <f>IFERROR(__xludf.DUMMYFUNCTION("""COMPUTED_VALUE"""),"GLOB-E")</f>
        <v>GLOB-E</v>
      </c>
      <c r="C10" s="13">
        <f>IFERROR(__xludf.DUMMYFUNCTION("""COMPUTED_VALUE"""),5006.61)</f>
        <v>5006.61</v>
      </c>
      <c r="D10" s="17" t="str">
        <f>IFERROR(__xludf.DUMMYFUNCTION("""COMPUTED_VALUE"""),"Med Neb")</f>
        <v>Med Neb</v>
      </c>
      <c r="E10" s="17" t="str">
        <f>IFERROR(__xludf.DUMMYFUNCTION("""COMPUTED_VALUE"""),"[O III] 5006.84")</f>
        <v>[O III] 5006.84</v>
      </c>
      <c r="F10" s="13">
        <f>IFERROR(__xludf.DUMMYFUNCTION("""COMPUTED_VALUE"""),9500.0)</f>
        <v>9500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7">
        <f>IFERROR(__xludf.DUMMYFUNCTION("""COMPUTED_VALUE"""),335.0)</f>
        <v>335</v>
      </c>
      <c r="B11" s="17" t="str">
        <f>IFERROR(__xludf.DUMMYFUNCTION("""COMPUTED_VALUE"""),"GLOB-E")</f>
        <v>GLOB-E</v>
      </c>
      <c r="C11" s="13">
        <f>IFERROR(__xludf.DUMMYFUNCTION("""COMPUTED_VALUE"""),5015.43)</f>
        <v>5015.43</v>
      </c>
      <c r="D11" s="17" t="str">
        <f>IFERROR(__xludf.DUMMYFUNCTION("""COMPUTED_VALUE"""),"Med Neb")</f>
        <v>Med Neb</v>
      </c>
      <c r="E11" s="17" t="str">
        <f>IFERROR(__xludf.DUMMYFUNCTION("""COMPUTED_VALUE"""),"He I 5015.68")</f>
        <v>He I 5015.68</v>
      </c>
      <c r="F11" s="13">
        <f>IFERROR(__xludf.DUMMYFUNCTION("""COMPUTED_VALUE"""),36.0)</f>
        <v>36</v>
      </c>
      <c r="G11" s="17" t="str">
        <f>IFERROR(__xludf.DUMMYFUNCTION("""COMPUTED_VALUE"""),"101, 101B")</f>
        <v>101, 101B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7">
        <f>IFERROR(__xludf.DUMMYFUNCTION("""COMPUTED_VALUE"""),356.0)</f>
        <v>356</v>
      </c>
      <c r="B12" s="17" t="str">
        <f>IFERROR(__xludf.DUMMYFUNCTION("""COMPUTED_VALUE"""),"GLOB-E")</f>
        <v>GLOB-E</v>
      </c>
      <c r="C12" s="13">
        <f>IFERROR(__xludf.DUMMYFUNCTION("""COMPUTED_VALUE"""),5041.47)</f>
        <v>5041.47</v>
      </c>
      <c r="D12" s="17" t="str">
        <f>IFERROR(__xludf.DUMMYFUNCTION("""COMPUTED_VALUE"""),"Med Perm")</f>
        <v>Med Perm</v>
      </c>
      <c r="E12" s="17" t="str">
        <f>IFERROR(__xludf.DUMMYFUNCTION("""COMPUTED_VALUE"""),"Si II 5041.03")</f>
        <v>Si II 5041.03</v>
      </c>
      <c r="F12" s="13">
        <f>IFERROR(__xludf.DUMMYFUNCTION("""COMPUTED_VALUE"""),2.9)</f>
        <v>2.9</v>
      </c>
      <c r="G12" s="17" t="str">
        <f>IFERROR(__xludf.DUMMYFUNCTION("""COMPUTED_VALUE"""),"11, 101B")</f>
        <v>11, 101B</v>
      </c>
      <c r="H12" s="17" t="str">
        <f>IFERROR(__xludf.DUMMYFUNCTION("""COMPUTED_VALUE"""),"No clear diffuse, Seen in YSO-c and GLOB-F (blushifted and just outside region box)")</f>
        <v>No clear diffuse, Seen in YSO-c and GLOB-F (blushifted and just outside region box)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7">
        <f>IFERROR(__xludf.DUMMYFUNCTION("""COMPUTED_VALUE"""),360.0)</f>
        <v>360</v>
      </c>
      <c r="B13" s="17" t="str">
        <f>IFERROR(__xludf.DUMMYFUNCTION("""COMPUTED_VALUE"""),"GLOB-E")</f>
        <v>GLOB-E</v>
      </c>
      <c r="C13" s="13">
        <f>IFERROR(__xludf.DUMMYFUNCTION("""COMPUTED_VALUE"""),5047.36)</f>
        <v>5047.36</v>
      </c>
      <c r="D13" s="17" t="str">
        <f>IFERROR(__xludf.DUMMYFUNCTION("""COMPUTED_VALUE"""),"Med Neb")</f>
        <v>Med Neb</v>
      </c>
      <c r="E13" s="17" t="str">
        <f>IFERROR(__xludf.DUMMYFUNCTION("""COMPUTED_VALUE"""),"He I 5047.74")</f>
        <v>He I 5047.74</v>
      </c>
      <c r="F13" s="13">
        <f>IFERROR(__xludf.DUMMYFUNCTION("""COMPUTED_VALUE"""),4.0)</f>
        <v>4</v>
      </c>
      <c r="G13" s="17">
        <f>IFERROR(__xludf.DUMMYFUNCTION("""COMPUTED_VALUE"""),11.0)</f>
        <v>11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7">
        <f>IFERROR(__xludf.DUMMYFUNCTION("""COMPUTED_VALUE"""),367.0)</f>
        <v>367</v>
      </c>
      <c r="B14" s="17" t="str">
        <f>IFERROR(__xludf.DUMMYFUNCTION("""COMPUTED_VALUE"""),"GLOB-E")</f>
        <v>GLOB-E</v>
      </c>
      <c r="C14" s="13">
        <f>IFERROR(__xludf.DUMMYFUNCTION("""COMPUTED_VALUE"""),5056.14)</f>
        <v>5056.14</v>
      </c>
      <c r="D14" s="17" t="str">
        <f>IFERROR(__xludf.DUMMYFUNCTION("""COMPUTED_VALUE"""),"Med Perm")</f>
        <v>Med Perm</v>
      </c>
      <c r="E14" s="17" t="str">
        <f>IFERROR(__xludf.DUMMYFUNCTION("""COMPUTED_VALUE"""),"Si II 5055.98")</f>
        <v>Si II 5055.98</v>
      </c>
      <c r="F14" s="13">
        <f>IFERROR(__xludf.DUMMYFUNCTION("""COMPUTED_VALUE"""),7.3)</f>
        <v>7.3</v>
      </c>
      <c r="G14" s="17">
        <f>IFERROR(__xludf.DUMMYFUNCTION("""COMPUTED_VALUE"""),11.0)</f>
        <v>11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7">
        <f>IFERROR(__xludf.DUMMYFUNCTION("""COMPUTED_VALUE"""),449.0)</f>
        <v>449</v>
      </c>
      <c r="B15" s="17" t="str">
        <f>IFERROR(__xludf.DUMMYFUNCTION("""COMPUTED_VALUE"""),"GLOB-E")</f>
        <v>GLOB-E</v>
      </c>
      <c r="C15" s="13">
        <f>IFERROR(__xludf.DUMMYFUNCTION("""COMPUTED_VALUE"""),5158.5)</f>
        <v>5158.5</v>
      </c>
      <c r="D15" s="17" t="str">
        <f>IFERROR(__xludf.DUMMYFUNCTION("""COMPUTED_VALUE"""),"Fe, Ni")</f>
        <v>Fe, Ni</v>
      </c>
      <c r="E15" s="17" t="str">
        <f>IFERROR(__xludf.DUMMYFUNCTION("""COMPUTED_VALUE"""),"[Fe II] 5158.81")</f>
        <v>[Fe II] 5158.81</v>
      </c>
      <c r="F15" s="13">
        <f>IFERROR(__xludf.DUMMYFUNCTION("""COMPUTED_VALUE"""),4.4)</f>
        <v>4.4</v>
      </c>
      <c r="G15" s="17">
        <f>IFERROR(__xludf.DUMMYFUNCTION("""COMPUTED_VALUE"""),11.0)</f>
        <v>11</v>
      </c>
      <c r="H15" s="17" t="str">
        <f>IFERROR(__xludf.DUMMYFUNCTION("""COMPUTED_VALUE"""),"No clear diffuse")</f>
        <v>No clear diffuse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7">
        <f>IFERROR(__xludf.DUMMYFUNCTION("""COMPUTED_VALUE"""),475.0)</f>
        <v>475</v>
      </c>
      <c r="B16" s="17" t="str">
        <f>IFERROR(__xludf.DUMMYFUNCTION("""COMPUTED_VALUE"""),"GLOB-E")</f>
        <v>GLOB-E</v>
      </c>
      <c r="C16" s="13">
        <f>IFERROR(__xludf.DUMMYFUNCTION("""COMPUTED_VALUE"""),5191.18)</f>
        <v>5191.18</v>
      </c>
      <c r="D16" s="17" t="str">
        <f>IFERROR(__xludf.DUMMYFUNCTION("""COMPUTED_VALUE"""),"Med Neb")</f>
        <v>Med Neb</v>
      </c>
      <c r="E16" s="17" t="str">
        <f>IFERROR(__xludf.DUMMYFUNCTION("""COMPUTED_VALUE"""),"[Ar  III] 5191.82")</f>
        <v>[Ar  III] 5191.82</v>
      </c>
      <c r="F16" s="13">
        <f>IFERROR(__xludf.DUMMYFUNCTION("""COMPUTED_VALUE"""),1.8)</f>
        <v>1.8</v>
      </c>
      <c r="G16" s="17" t="str">
        <f>IFERROR(__xludf.DUMMYFUNCTION("""COMPUTED_VALUE"""),"11, 101")</f>
        <v>11, 101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7">
        <f>IFERROR(__xludf.DUMMYFUNCTION("""COMPUTED_VALUE"""),482.0)</f>
        <v>482</v>
      </c>
      <c r="B17" s="17" t="str">
        <f>IFERROR(__xludf.DUMMYFUNCTION("""COMPUTED_VALUE"""),"GLOB-E")</f>
        <v>GLOB-E</v>
      </c>
      <c r="C17" s="13">
        <f>IFERROR(__xludf.DUMMYFUNCTION("""COMPUTED_VALUE"""),5199.1)</f>
        <v>5199.1</v>
      </c>
      <c r="D17" s="17" t="str">
        <f>IFERROR(__xludf.DUMMYFUNCTION("""COMPUTED_VALUE"""),"Neutral")</f>
        <v>Neutral</v>
      </c>
      <c r="E17" s="17" t="str">
        <f>IFERROR(__xludf.DUMMYFUNCTION("""COMPUTED_VALUE"""),"[N I]  5199.00")</f>
        <v>[N I]  5199.00</v>
      </c>
      <c r="F17" s="13">
        <f>IFERROR(__xludf.DUMMYFUNCTION("""COMPUTED_VALUE"""),6.5)</f>
        <v>6.5</v>
      </c>
      <c r="G17" s="17">
        <f>IFERROR(__xludf.DUMMYFUNCTION("""COMPUTED_VALUE"""),101.0)</f>
        <v>101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7">
        <f>IFERROR(__xludf.DUMMYFUNCTION("""COMPUTED_VALUE"""),737.0)</f>
        <v>737</v>
      </c>
      <c r="B18" s="17" t="str">
        <f>IFERROR(__xludf.DUMMYFUNCTION("""COMPUTED_VALUE"""),"GLOB-E")</f>
        <v>GLOB-E</v>
      </c>
      <c r="C18" s="13">
        <f>IFERROR(__xludf.DUMMYFUNCTION("""COMPUTED_VALUE"""),5517.48)</f>
        <v>5517.48</v>
      </c>
      <c r="D18" s="17" t="str">
        <f>IFERROR(__xludf.DUMMYFUNCTION("""COMPUTED_VALUE"""),"Med Neb")</f>
        <v>Med Neb</v>
      </c>
      <c r="E18" s="17" t="str">
        <f>IFERROR(__xludf.DUMMYFUNCTION("""COMPUTED_VALUE"""),"[Cl III] 5517.71")</f>
        <v>[Cl III] 5517.71</v>
      </c>
      <c r="F18" s="13">
        <f>IFERROR(__xludf.DUMMYFUNCTION("""COMPUTED_VALUE"""),8.1)</f>
        <v>8.1</v>
      </c>
      <c r="G18" s="17" t="str">
        <f>IFERROR(__xludf.DUMMYFUNCTION("""COMPUTED_VALUE"""),"11, 101")</f>
        <v>11, 101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7">
        <f>IFERROR(__xludf.DUMMYFUNCTION("""COMPUTED_VALUE"""),753.0)</f>
        <v>753</v>
      </c>
      <c r="B19" s="17" t="str">
        <f>IFERROR(__xludf.DUMMYFUNCTION("""COMPUTED_VALUE"""),"GLOB-E")</f>
        <v>GLOB-E</v>
      </c>
      <c r="C19" s="13">
        <f>IFERROR(__xludf.DUMMYFUNCTION("""COMPUTED_VALUE"""),5537.66)</f>
        <v>5537.66</v>
      </c>
      <c r="D19" s="17" t="str">
        <f>IFERROR(__xludf.DUMMYFUNCTION("""COMPUTED_VALUE"""),"Med Neb")</f>
        <v>Med Neb</v>
      </c>
      <c r="E19" s="17" t="str">
        <f>IFERROR(__xludf.DUMMYFUNCTION("""COMPUTED_VALUE"""),"[Cl III]] 5537.88")</f>
        <v>[Cl III]] 5537.88</v>
      </c>
      <c r="F19" s="13">
        <f>IFERROR(__xludf.DUMMYFUNCTION("""COMPUTED_VALUE"""),5.2)</f>
        <v>5.2</v>
      </c>
      <c r="G19" s="17" t="str">
        <f>IFERROR(__xludf.DUMMYFUNCTION("""COMPUTED_VALUE"""),"11, 101")</f>
        <v>11, 101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7">
        <f>IFERROR(__xludf.DUMMYFUNCTION("""COMPUTED_VALUE"""),914.0)</f>
        <v>914</v>
      </c>
      <c r="B20" s="17" t="str">
        <f>IFERROR(__xludf.DUMMYFUNCTION("""COMPUTED_VALUE"""),"BS")</f>
        <v>BS</v>
      </c>
      <c r="C20" s="13">
        <f>IFERROR(__xludf.DUMMYFUNCTION("""COMPUTED_VALUE"""),5739.64)</f>
        <v>5739.64</v>
      </c>
      <c r="D20" s="17" t="str">
        <f>IFERROR(__xludf.DUMMYFUNCTION("""COMPUTED_VALUE"""),"High Perm")</f>
        <v>High Perm</v>
      </c>
      <c r="E20" s="17" t="str">
        <f>IFERROR(__xludf.DUMMYFUNCTION("""COMPUTED_VALUE"""),"Si III 5739.73")</f>
        <v>Si III 5739.73</v>
      </c>
      <c r="F20" s="13">
        <f>IFERROR(__xludf.DUMMYFUNCTION("""COMPUTED_VALUE"""),2.3)</f>
        <v>2.3</v>
      </c>
      <c r="G20" s="17"/>
      <c r="H20" s="17" t="str">
        <f>IFERROR(__xludf.DUMMYFUNCTION("""COMPUTED_VALUE"""),"Unique line! Is it recombination or fluorescence?")</f>
        <v>Unique line! Is it recombination or fluorescence?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7">
        <f>IFERROR(__xludf.DUMMYFUNCTION("""COMPUTED_VALUE"""),926.0)</f>
        <v>926</v>
      </c>
      <c r="B21" s="17" t="str">
        <f>IFERROR(__xludf.DUMMYFUNCTION("""COMPUTED_VALUE"""),"GLOB-E")</f>
        <v>GLOB-E</v>
      </c>
      <c r="C21" s="13">
        <f>IFERROR(__xludf.DUMMYFUNCTION("""COMPUTED_VALUE"""),5754.69)</f>
        <v>5754.69</v>
      </c>
      <c r="D21" s="17" t="str">
        <f>IFERROR(__xludf.DUMMYFUNCTION("""COMPUTED_VALUE"""),"Low Neb")</f>
        <v>Low Neb</v>
      </c>
      <c r="E21" s="17" t="str">
        <f>IFERROR(__xludf.DUMMYFUNCTION("""COMPUTED_VALUE"""),"[N II] 5755.08")</f>
        <v>[N II] 5755.08</v>
      </c>
      <c r="F21" s="13">
        <f>IFERROR(__xludf.DUMMYFUNCTION("""COMPUTED_VALUE"""),4.7)</f>
        <v>4.7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7">
        <f>IFERROR(__xludf.DUMMYFUNCTION("""COMPUTED_VALUE"""),1023.0)</f>
        <v>1023</v>
      </c>
      <c r="B22" s="17" t="str">
        <f>IFERROR(__xludf.DUMMYFUNCTION("""COMPUTED_VALUE"""),"GLOB-E")</f>
        <v>GLOB-E</v>
      </c>
      <c r="C22" s="13">
        <f>IFERROR(__xludf.DUMMYFUNCTION("""COMPUTED_VALUE"""),5875.53)</f>
        <v>5875.53</v>
      </c>
      <c r="D22" s="17" t="str">
        <f>IFERROR(__xludf.DUMMYFUNCTION("""COMPUTED_VALUE"""),"Med Neb")</f>
        <v>Med Neb</v>
      </c>
      <c r="E22" s="17" t="str">
        <f>IFERROR(__xludf.DUMMYFUNCTION("""COMPUTED_VALUE"""),"He I 5875.62")</f>
        <v>He I 5875.62</v>
      </c>
      <c r="F22" s="13">
        <f>IFERROR(__xludf.DUMMYFUNCTION("""COMPUTED_VALUE"""),290.0)</f>
        <v>290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7">
        <f>IFERROR(__xludf.DUMMYFUNCTION("""COMPUTED_VALUE"""),1089.0)</f>
        <v>1089</v>
      </c>
      <c r="B23" s="17" t="str">
        <f>IFERROR(__xludf.DUMMYFUNCTION("""COMPUTED_VALUE"""),"GLOB-E")</f>
        <v>GLOB-E</v>
      </c>
      <c r="C23" s="13">
        <f>IFERROR(__xludf.DUMMYFUNCTION("""COMPUTED_VALUE"""),5957.68)</f>
        <v>5957.68</v>
      </c>
      <c r="D23" s="17" t="str">
        <f>IFERROR(__xludf.DUMMYFUNCTION("""COMPUTED_VALUE"""),"Med Perm")</f>
        <v>Med Perm</v>
      </c>
      <c r="E23" s="17" t="str">
        <f>IFERROR(__xludf.DUMMYFUNCTION("""COMPUTED_VALUE"""),"Si II 5957.56")</f>
        <v>Si II 5957.56</v>
      </c>
      <c r="F23" s="13">
        <f>IFERROR(__xludf.DUMMYFUNCTION("""COMPUTED_VALUE"""),2.3)</f>
        <v>2.3</v>
      </c>
      <c r="G23" s="17" t="str">
        <f>IFERROR(__xludf.DUMMYFUNCTION("""COMPUTED_VALUE"""),"11, 101")</f>
        <v>11, 101</v>
      </c>
      <c r="H23" s="17" t="str">
        <f>IFERROR(__xludf.DUMMYFUNCTION("""COMPUTED_VALUE"""),"Faintly detected from neutral region")</f>
        <v>Faintly detected from neutral region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7">
        <f>IFERROR(__xludf.DUMMYFUNCTION("""COMPUTED_VALUE"""),1106.0)</f>
        <v>1106</v>
      </c>
      <c r="B24" s="17" t="str">
        <f>IFERROR(__xludf.DUMMYFUNCTION("""COMPUTED_VALUE"""),"GLOB-E")</f>
        <v>GLOB-E</v>
      </c>
      <c r="C24" s="13">
        <f>IFERROR(__xludf.DUMMYFUNCTION("""COMPUTED_VALUE"""),5979.16)</f>
        <v>5979.16</v>
      </c>
      <c r="D24" s="17" t="str">
        <f>IFERROR(__xludf.DUMMYFUNCTION("""COMPUTED_VALUE"""),"Med Perm")</f>
        <v>Med Perm</v>
      </c>
      <c r="E24" s="17" t="str">
        <f>IFERROR(__xludf.DUMMYFUNCTION("""COMPUTED_VALUE"""),"Si II 5978.93")</f>
        <v>Si II 5978.93</v>
      </c>
      <c r="F24" s="13">
        <f>IFERROR(__xludf.DUMMYFUNCTION("""COMPUTED_VALUE"""),4.7)</f>
        <v>4.7</v>
      </c>
      <c r="G24" s="17">
        <f>IFERROR(__xludf.DUMMYFUNCTION("""COMPUTED_VALUE"""),101.0)</f>
        <v>101</v>
      </c>
      <c r="H24" s="17" t="str">
        <f>IFERROR(__xludf.DUMMYFUNCTION("""COMPUTED_VALUE"""),"Clearly detected from neutral region")</f>
        <v>Clearly detected from neutral region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7">
        <f>IFERROR(__xludf.DUMMYFUNCTION("""COMPUTED_VALUE"""),1160.0)</f>
        <v>1160</v>
      </c>
      <c r="B25" s="17" t="str">
        <f>IFERROR(__xludf.DUMMYFUNCTION("""COMPUTED_VALUE"""),"GLOB-E")</f>
        <v>GLOB-E</v>
      </c>
      <c r="C25" s="13">
        <f>IFERROR(__xludf.DUMMYFUNCTION("""COMPUTED_VALUE"""),6046.4)</f>
        <v>6046.4</v>
      </c>
      <c r="D25" s="17" t="str">
        <f>IFERROR(__xludf.DUMMYFUNCTION("""COMPUTED_VALUE"""),"Low Perm")</f>
        <v>Low Perm</v>
      </c>
      <c r="E25" s="17" t="str">
        <f>IFERROR(__xludf.DUMMYFUNCTION("""COMPUTED_VALUE"""),"O I 6046.23")</f>
        <v>O I 6046.23</v>
      </c>
      <c r="F25" s="13">
        <f>IFERROR(__xludf.DUMMYFUNCTION("""COMPUTED_VALUE"""),2.3)</f>
        <v>2.3</v>
      </c>
      <c r="G25" s="17" t="str">
        <f>IFERROR(__xludf.DUMMYFUNCTION("""COMPUTED_VALUE"""),"11, 101")</f>
        <v>11, 101</v>
      </c>
      <c r="H25" s="17" t="str">
        <f>IFERROR(__xludf.DUMMYFUNCTION("""COMPUTED_VALUE"""),"Diffuse emission very weak. Strong from YSO")</f>
        <v>Diffuse emission very weak. Strong from YSO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7">
        <f>IFERROR(__xludf.DUMMYFUNCTION("""COMPUTED_VALUE"""),1204.0)</f>
        <v>1204</v>
      </c>
      <c r="B26" s="17" t="str">
        <f>IFERROR(__xludf.DUMMYFUNCTION("""COMPUTED_VALUE"""),"BS")</f>
        <v>BS</v>
      </c>
      <c r="C26" s="13">
        <f>IFERROR(__xludf.DUMMYFUNCTION("""COMPUTED_VALUE"""),6101.81)</f>
        <v>6101.81</v>
      </c>
      <c r="D26" s="17" t="str">
        <f>IFERROR(__xludf.DUMMYFUNCTION("""COMPUTED_VALUE"""),"High Neb")</f>
        <v>High Neb</v>
      </c>
      <c r="E26" s="17" t="str">
        <f>IFERROR(__xludf.DUMMYFUNCTION("""COMPUTED_VALUE"""),"[K IV] 6101.79")</f>
        <v>[K IV] 6101.79</v>
      </c>
      <c r="F26" s="13">
        <f>IFERROR(__xludf.DUMMYFUNCTION("""COMPUTED_VALUE"""),4.2)</f>
        <v>4.2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7">
        <f>IFERROR(__xludf.DUMMYFUNCTION("""COMPUTED_VALUE"""),1268.0)</f>
        <v>1268</v>
      </c>
      <c r="B27" s="17" t="str">
        <f>IFERROR(__xludf.DUMMYFUNCTION("""COMPUTED_VALUE"""),"GLOB-E")</f>
        <v>GLOB-E</v>
      </c>
      <c r="C27" s="13">
        <f>IFERROR(__xludf.DUMMYFUNCTION("""COMPUTED_VALUE"""),6180.27)</f>
        <v>6180.27</v>
      </c>
      <c r="D27" s="17" t="str">
        <f>IFERROR(__xludf.DUMMYFUNCTION("""COMPUTED_VALUE"""),"Deep Neutral")</f>
        <v>Deep Neutral</v>
      </c>
      <c r="E27" s="17" t="str">
        <f>IFERROR(__xludf.DUMMYFUNCTION("""COMPUTED_VALUE"""),"UIL")</f>
        <v>UIL</v>
      </c>
      <c r="F27" s="13">
        <f>IFERROR(__xludf.DUMMYFUNCTION("""COMPUTED_VALUE"""),0.9)</f>
        <v>0.9</v>
      </c>
      <c r="G27" s="17"/>
      <c r="H27" s="17" t="str">
        <f>IFERROR(__xludf.DUMMYFUNCTION("""COMPUTED_VALUE"""),"Very very weak. Marginal detection")</f>
        <v>Very very weak. Marginal detection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7">
        <f>IFERROR(__xludf.DUMMYFUNCTION("""COMPUTED_VALUE"""),1300.0)</f>
        <v>1300</v>
      </c>
      <c r="B28" s="17" t="str">
        <f>IFERROR(__xludf.DUMMYFUNCTION("""COMPUTED_VALUE"""),"GLOB-E")</f>
        <v>GLOB-E</v>
      </c>
      <c r="C28" s="13">
        <f>IFERROR(__xludf.DUMMYFUNCTION("""COMPUTED_VALUE"""),6220.43)</f>
        <v>6220.43</v>
      </c>
      <c r="D28" s="17" t="str">
        <f>IFERROR(__xludf.DUMMYFUNCTION("""COMPUTED_VALUE"""),"Deep Neutral")</f>
        <v>Deep Neutral</v>
      </c>
      <c r="E28" s="17" t="str">
        <f>IFERROR(__xludf.DUMMYFUNCTION("""COMPUTED_VALUE"""),"UIL")</f>
        <v>UIL</v>
      </c>
      <c r="F28" s="13">
        <f>IFERROR(__xludf.DUMMYFUNCTION("""COMPUTED_VALUE"""),2.4)</f>
        <v>2.4</v>
      </c>
      <c r="G28" s="17" t="str">
        <f>IFERROR(__xludf.DUMMYFUNCTION("""COMPUTED_VALUE"""),"101B")</f>
        <v>101B</v>
      </c>
      <c r="H28" s="17" t="str">
        <f>IFERROR(__xludf.DUMMYFUNCTION("""COMPUTED_VALUE"""),"This is the bluest UIL that is absolutely definite. Clear signal in all the GLOB anf FIL regions")</f>
        <v>This is the bluest UIL that is absolutely definite. Clear signal in all the GLOB anf FIL regions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7">
        <f>IFERROR(__xludf.DUMMYFUNCTION("""COMPUTED_VALUE"""),1312.0)</f>
        <v>1312</v>
      </c>
      <c r="B29" s="17" t="str">
        <f>IFERROR(__xludf.DUMMYFUNCTION("""COMPUTED_VALUE"""),"GLOB-E")</f>
        <v>GLOB-E</v>
      </c>
      <c r="C29" s="13">
        <f>IFERROR(__xludf.DUMMYFUNCTION("""COMPUTED_VALUE"""),6236.34)</f>
        <v>6236.34</v>
      </c>
      <c r="D29" s="17" t="str">
        <f>IFERROR(__xludf.DUMMYFUNCTION("""COMPUTED_VALUE"""),"Deep Neutral?")</f>
        <v>Deep Neutral?</v>
      </c>
      <c r="E29" s="17" t="str">
        <f>IFERROR(__xludf.DUMMYFUNCTION("""COMPUTED_VALUE"""),"UIL")</f>
        <v>UIL</v>
      </c>
      <c r="F29" s="13">
        <f>IFERROR(__xludf.DUMMYFUNCTION("""COMPUTED_VALUE"""),1.2)</f>
        <v>1.2</v>
      </c>
      <c r="G29" s="17" t="str">
        <f>IFERROR(__xludf.DUMMYFUNCTION("""COMPUTED_VALUE"""),"101B")</f>
        <v>101B</v>
      </c>
      <c r="H29" s="17" t="str">
        <f>IFERROR(__xludf.DUMMYFUNCTION("""COMPUTED_VALUE"""),"Marginal")</f>
        <v>Marginal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7">
        <f>IFERROR(__xludf.DUMMYFUNCTION("""COMPUTED_VALUE"""),1322.0)</f>
        <v>1322</v>
      </c>
      <c r="B30" s="17" t="str">
        <f>IFERROR(__xludf.DUMMYFUNCTION("""COMPUTED_VALUE"""),"GLOB-E")</f>
        <v>GLOB-E</v>
      </c>
      <c r="C30" s="13">
        <f>IFERROR(__xludf.DUMMYFUNCTION("""COMPUTED_VALUE"""),6246.55)</f>
        <v>6246.55</v>
      </c>
      <c r="D30" s="17" t="str">
        <f>IFERROR(__xludf.DUMMYFUNCTION("""COMPUTED_VALUE"""),"Deep Neutral?")</f>
        <v>Deep Neutral?</v>
      </c>
      <c r="E30" s="17" t="str">
        <f>IFERROR(__xludf.DUMMYFUNCTION("""COMPUTED_VALUE"""),"UIL")</f>
        <v>UIL</v>
      </c>
      <c r="F30" s="13">
        <f>IFERROR(__xludf.DUMMYFUNCTION("""COMPUTED_VALUE"""),0.3)</f>
        <v>0.3</v>
      </c>
      <c r="G30" s="17" t="str">
        <f>IFERROR(__xludf.DUMMYFUNCTION("""COMPUTED_VALUE"""),"101B")</f>
        <v>101B</v>
      </c>
      <c r="H30" s="17" t="str">
        <f>IFERROR(__xludf.DUMMYFUNCTION("""COMPUTED_VALUE"""),"Very marginal")</f>
        <v>Very marginal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7">
        <f>IFERROR(__xludf.DUMMYFUNCTION("""COMPUTED_VALUE"""),1332.0)</f>
        <v>1332</v>
      </c>
      <c r="B31" s="17" t="str">
        <f>IFERROR(__xludf.DUMMYFUNCTION("""COMPUTED_VALUE"""),"GLOB-E")</f>
        <v>GLOB-E</v>
      </c>
      <c r="C31" s="13">
        <f>IFERROR(__xludf.DUMMYFUNCTION("""COMPUTED_VALUE"""),6260.8)</f>
        <v>6260.8</v>
      </c>
      <c r="D31" s="17" t="str">
        <f>IFERROR(__xludf.DUMMYFUNCTION("""COMPUTED_VALUE"""),"Deep Neutral?")</f>
        <v>Deep Neutral?</v>
      </c>
      <c r="E31" s="17" t="str">
        <f>IFERROR(__xludf.DUMMYFUNCTION("""COMPUTED_VALUE"""),"UIL")</f>
        <v>UIL</v>
      </c>
      <c r="F31" s="13">
        <f>IFERROR(__xludf.DUMMYFUNCTION("""COMPUTED_VALUE"""),0.4)</f>
        <v>0.4</v>
      </c>
      <c r="G31" s="17" t="str">
        <f>IFERROR(__xludf.DUMMYFUNCTION("""COMPUTED_VALUE"""),"101B")</f>
        <v>101B</v>
      </c>
      <c r="H31" s="17" t="str">
        <f>IFERROR(__xludf.DUMMYFUNCTION("""COMPUTED_VALUE"""),"These last 3 look vaguely like #1300 but weaker")</f>
        <v>These last 3 look vaguely like #1300 but weaker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7">
        <f>IFERROR(__xludf.DUMMYFUNCTION("""COMPUTED_VALUE"""),1339.0)</f>
        <v>1339</v>
      </c>
      <c r="B32" s="17" t="str">
        <f>IFERROR(__xludf.DUMMYFUNCTION("""COMPUTED_VALUE"""),"GLOB-E")</f>
        <v>GLOB-E</v>
      </c>
      <c r="C32" s="13">
        <f>IFERROR(__xludf.DUMMYFUNCTION("""COMPUTED_VALUE"""),6270.59)</f>
        <v>6270.59</v>
      </c>
      <c r="D32" s="17" t="str">
        <f>IFERROR(__xludf.DUMMYFUNCTION("""COMPUTED_VALUE"""),"Deep Neutral")</f>
        <v>Deep Neutral</v>
      </c>
      <c r="E32" s="17" t="str">
        <f>IFERROR(__xludf.DUMMYFUNCTION("""COMPUTED_VALUE"""),"UIL")</f>
        <v>UIL</v>
      </c>
      <c r="F32" s="13">
        <f>IFERROR(__xludf.DUMMYFUNCTION("""COMPUTED_VALUE"""),2.7)</f>
        <v>2.7</v>
      </c>
      <c r="G32" s="17" t="str">
        <f>IFERROR(__xludf.DUMMYFUNCTION("""COMPUTED_VALUE"""),"11, 101")</f>
        <v>11, 101</v>
      </c>
      <c r="H32" s="17" t="str">
        <f>IFERROR(__xludf.DUMMYFUNCTION("""COMPUTED_VALUE"""),"Clear detection but seems blended with sky line")</f>
        <v>Clear detection but seems blended with sky line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7">
        <f>IFERROR(__xludf.DUMMYFUNCTION("""COMPUTED_VALUE"""),1363.0)</f>
        <v>1363</v>
      </c>
      <c r="B33" s="17" t="str">
        <f>IFERROR(__xludf.DUMMYFUNCTION("""COMPUTED_VALUE"""),"GLOB-E")</f>
        <v>GLOB-E</v>
      </c>
      <c r="C33" s="13">
        <f>IFERROR(__xludf.DUMMYFUNCTION("""COMPUTED_VALUE"""),6300.38)</f>
        <v>6300.38</v>
      </c>
      <c r="D33" s="17" t="str">
        <f>IFERROR(__xludf.DUMMYFUNCTION("""COMPUTED_VALUE"""),"Low Neb")</f>
        <v>Low Neb</v>
      </c>
      <c r="E33" s="17" t="str">
        <f>IFERROR(__xludf.DUMMYFUNCTION("""COMPUTED_VALUE"""),"[O I] 6300.30")</f>
        <v>[O I] 6300.30</v>
      </c>
      <c r="F33" s="13">
        <f>IFERROR(__xludf.DUMMYFUNCTION("""COMPUTED_VALUE"""),70.0)</f>
        <v>70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7">
        <f>IFERROR(__xludf.DUMMYFUNCTION("""COMPUTED_VALUE"""),1372.0)</f>
        <v>1372</v>
      </c>
      <c r="B34" s="17" t="str">
        <f>IFERROR(__xludf.DUMMYFUNCTION("""COMPUTED_VALUE"""),"GLOB-E")</f>
        <v>GLOB-E</v>
      </c>
      <c r="C34" s="13">
        <f>IFERROR(__xludf.DUMMYFUNCTION("""COMPUTED_VALUE"""),6311.9)</f>
        <v>6311.9</v>
      </c>
      <c r="D34" s="17" t="str">
        <f>IFERROR(__xludf.DUMMYFUNCTION("""COMPUTED_VALUE"""),"Med Neb")</f>
        <v>Med Neb</v>
      </c>
      <c r="E34" s="17" t="str">
        <f>IFERROR(__xludf.DUMMYFUNCTION("""COMPUTED_VALUE"""),"[S III] 6312.06")</f>
        <v>[S III] 6312.06</v>
      </c>
      <c r="F34" s="13">
        <f>IFERROR(__xludf.DUMMYFUNCTION("""COMPUTED_VALUE"""),26.0)</f>
        <v>26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7">
        <f>IFERROR(__xludf.DUMMYFUNCTION("""COMPUTED_VALUE"""),1401.0)</f>
        <v>1401</v>
      </c>
      <c r="B35" s="17" t="str">
        <f>IFERROR(__xludf.DUMMYFUNCTION("""COMPUTED_VALUE"""),"GLOB-E")</f>
        <v>GLOB-E</v>
      </c>
      <c r="C35" s="13">
        <f>IFERROR(__xludf.DUMMYFUNCTION("""COMPUTED_VALUE"""),6347.15)</f>
        <v>6347.15</v>
      </c>
      <c r="D35" s="17" t="str">
        <f>IFERROR(__xludf.DUMMYFUNCTION("""COMPUTED_VALUE"""),"Med Perm")</f>
        <v>Med Perm</v>
      </c>
      <c r="E35" s="17" t="str">
        <f>IFERROR(__xludf.DUMMYFUNCTION("""COMPUTED_VALUE"""),"Si II 6347.11")</f>
        <v>Si II 6347.11</v>
      </c>
      <c r="F35" s="13">
        <f>IFERROR(__xludf.DUMMYFUNCTION("""COMPUTED_VALUE"""),5.2)</f>
        <v>5.2</v>
      </c>
      <c r="G35" s="17">
        <f>IFERROR(__xludf.DUMMYFUNCTION("""COMPUTED_VALUE"""),11.0)</f>
        <v>11</v>
      </c>
      <c r="H35" s="17" t="str">
        <f>IFERROR(__xludf.DUMMYFUNCTION("""COMPUTED_VALUE"""),"Clear but faint diffuse from neutral region")</f>
        <v>Clear but faint diffuse from neutral region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7">
        <f>IFERROR(__xludf.DUMMYFUNCTION("""COMPUTED_VALUE"""),1414.0)</f>
        <v>1414</v>
      </c>
      <c r="B36" s="17" t="str">
        <f>IFERROR(__xludf.DUMMYFUNCTION("""COMPUTED_VALUE"""),"GLOB-E")</f>
        <v>GLOB-E</v>
      </c>
      <c r="C36" s="13">
        <f>IFERROR(__xludf.DUMMYFUNCTION("""COMPUTED_VALUE"""),6363.86)</f>
        <v>6363.86</v>
      </c>
      <c r="D36" s="17" t="str">
        <f>IFERROR(__xludf.DUMMYFUNCTION("""COMPUTED_VALUE"""),"Low Neb")</f>
        <v>Low Neb</v>
      </c>
      <c r="E36" s="17" t="str">
        <f>IFERROR(__xludf.DUMMYFUNCTION("""COMPUTED_VALUE"""),"[O I] 6363.78 ")</f>
        <v>[O I] 6363.78 </v>
      </c>
      <c r="F36" s="13">
        <f>IFERROR(__xludf.DUMMYFUNCTION("""COMPUTED_VALUE"""),24.0)</f>
        <v>24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7">
        <f>IFERROR(__xludf.DUMMYFUNCTION("""COMPUTED_VALUE"""),1420.0)</f>
        <v>1420</v>
      </c>
      <c r="B37" s="17" t="str">
        <f>IFERROR(__xludf.DUMMYFUNCTION("""COMPUTED_VALUE"""),"GLOB-E")</f>
        <v>GLOB-E</v>
      </c>
      <c r="C37" s="13">
        <f>IFERROR(__xludf.DUMMYFUNCTION("""COMPUTED_VALUE"""),6371.35)</f>
        <v>6371.35</v>
      </c>
      <c r="D37" s="17" t="str">
        <f>IFERROR(__xludf.DUMMYFUNCTION("""COMPUTED_VALUE"""),"Med Perm")</f>
        <v>Med Perm</v>
      </c>
      <c r="E37" s="17" t="str">
        <f>IFERROR(__xludf.DUMMYFUNCTION("""COMPUTED_VALUE"""),"Si II 6371.36 ")</f>
        <v>Si II 6371.36 </v>
      </c>
      <c r="F37" s="13">
        <f>IFERROR(__xludf.DUMMYFUNCTION("""COMPUTED_VALUE"""),1.4)</f>
        <v>1.4</v>
      </c>
      <c r="G37" s="17">
        <f>IFERROR(__xludf.DUMMYFUNCTION("""COMPUTED_VALUE"""),101.0)</f>
        <v>101</v>
      </c>
      <c r="H37" s="17" t="str">
        <f>IFERROR(__xludf.DUMMYFUNCTION("""COMPUTED_VALUE"""),"Diffuse is not clear. Cont method 11 affected by [O I]")</f>
        <v>Diffuse is not clear. Cont method 11 affected by [O I]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7">
        <f>IFERROR(__xludf.DUMMYFUNCTION("""COMPUTED_VALUE"""),1470.0)</f>
        <v>1470</v>
      </c>
      <c r="B38" s="17" t="str">
        <f>IFERROR(__xludf.DUMMYFUNCTION("""COMPUTED_VALUE"""),"GLOB-E")</f>
        <v>GLOB-E</v>
      </c>
      <c r="C38" s="13">
        <f>IFERROR(__xludf.DUMMYFUNCTION("""COMPUTED_VALUE"""),6433.9)</f>
        <v>6433.9</v>
      </c>
      <c r="D38" s="17" t="str">
        <f>IFERROR(__xludf.DUMMYFUNCTION("""COMPUTED_VALUE"""),"Deep Neutral?")</f>
        <v>Deep Neutral?</v>
      </c>
      <c r="E38" s="17" t="str">
        <f>IFERROR(__xludf.DUMMYFUNCTION("""COMPUTED_VALUE"""),"UIL")</f>
        <v>UIL</v>
      </c>
      <c r="F38" s="13">
        <f>IFERROR(__xludf.DUMMYFUNCTION("""COMPUTED_VALUE"""),1.2)</f>
        <v>1.2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7">
        <f>IFERROR(__xludf.DUMMYFUNCTION("""COMPUTED_VALUE"""),1484.0)</f>
        <v>1484</v>
      </c>
      <c r="B39" s="17" t="str">
        <f>IFERROR(__xludf.DUMMYFUNCTION("""COMPUTED_VALUE"""),"GLOB-E")</f>
        <v>GLOB-E</v>
      </c>
      <c r="C39" s="13">
        <f>IFERROR(__xludf.DUMMYFUNCTION("""COMPUTED_VALUE"""),6451.0)</f>
        <v>6451</v>
      </c>
      <c r="D39" s="17" t="str">
        <f>IFERROR(__xludf.DUMMYFUNCTION("""COMPUTED_VALUE"""),"Neutral?")</f>
        <v>Neutral?</v>
      </c>
      <c r="E39" s="17" t="str">
        <f>IFERROR(__xludf.DUMMYFUNCTION("""COMPUTED_VALUE"""),"UIL")</f>
        <v>UIL</v>
      </c>
      <c r="F39" s="13">
        <f>IFERROR(__xludf.DUMMYFUNCTION("""COMPUTED_VALUE"""),1.7)</f>
        <v>1.7</v>
      </c>
      <c r="G39" s="17"/>
      <c r="H39" s="17" t="str">
        <f>IFERROR(__xludf.DUMMYFUNCTION("""COMPUTED_VALUE"""),"Filaments look spatially broader than in the deep neutral lines")</f>
        <v>Filaments look spatially broader than in the deep neutral lines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7">
        <f>IFERROR(__xludf.DUMMYFUNCTION("""COMPUTED_VALUE"""),1490.0)</f>
        <v>1490</v>
      </c>
      <c r="B40" s="17" t="str">
        <f>IFERROR(__xludf.DUMMYFUNCTION("""COMPUTED_VALUE"""),"GLOB-E")</f>
        <v>GLOB-E</v>
      </c>
      <c r="C40" s="13">
        <f>IFERROR(__xludf.DUMMYFUNCTION("""COMPUTED_VALUE"""),6459.4)</f>
        <v>6459.4</v>
      </c>
      <c r="D40" s="17" t="str">
        <f>IFERROR(__xludf.DUMMYFUNCTION("""COMPUTED_VALUE"""),"Deep Neutral?")</f>
        <v>Deep Neutral?</v>
      </c>
      <c r="E40" s="17" t="str">
        <f>IFERROR(__xludf.DUMMYFUNCTION("""COMPUTED_VALUE"""),"UIL")</f>
        <v>UIL</v>
      </c>
      <c r="F40" s="13">
        <f>IFERROR(__xludf.DUMMYFUNCTION("""COMPUTED_VALUE"""),1.0)</f>
        <v>1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7">
        <f>IFERROR(__xludf.DUMMYFUNCTION("""COMPUTED_VALUE"""),1498.0)</f>
        <v>1498</v>
      </c>
      <c r="B41" s="17" t="str">
        <f>IFERROR(__xludf.DUMMYFUNCTION("""COMPUTED_VALUE"""),"GLOB-E")</f>
        <v>GLOB-E</v>
      </c>
      <c r="C41" s="13">
        <f>IFERROR(__xludf.DUMMYFUNCTION("""COMPUTED_VALUE"""),6467.88)</f>
        <v>6467.88</v>
      </c>
      <c r="D41" s="17" t="str">
        <f>IFERROR(__xludf.DUMMYFUNCTION("""COMPUTED_VALUE"""),"Neutral?")</f>
        <v>Neutral?</v>
      </c>
      <c r="E41" s="17" t="str">
        <f>IFERROR(__xludf.DUMMYFUNCTION("""COMPUTED_VALUE"""),"UIL")</f>
        <v>UIL</v>
      </c>
      <c r="F41" s="13">
        <f>IFERROR(__xludf.DUMMYFUNCTION("""COMPUTED_VALUE"""),1.2)</f>
        <v>1.2</v>
      </c>
      <c r="G41" s="17"/>
      <c r="H41" s="17" t="str">
        <f>IFERROR(__xludf.DUMMYFUNCTION("""COMPUTED_VALUE"""),"Similar to #1484")</f>
        <v>Similar to #1484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7">
        <f>IFERROR(__xludf.DUMMYFUNCTION("""COMPUTED_VALUE"""),1512.0)</f>
        <v>1512</v>
      </c>
      <c r="B42" s="17" t="str">
        <f>IFERROR(__xludf.DUMMYFUNCTION("""COMPUTED_VALUE"""),"GLOB-E")</f>
        <v>GLOB-E</v>
      </c>
      <c r="C42" s="13">
        <f>IFERROR(__xludf.DUMMYFUNCTION("""COMPUTED_VALUE"""),6486.05)</f>
        <v>6486.05</v>
      </c>
      <c r="D42" s="17" t="str">
        <f>IFERROR(__xludf.DUMMYFUNCTION("""COMPUTED_VALUE"""),"Deep Neutral?")</f>
        <v>Deep Neutral?</v>
      </c>
      <c r="E42" s="17" t="str">
        <f>IFERROR(__xludf.DUMMYFUNCTION("""COMPUTED_VALUE"""),"UIL")</f>
        <v>UIL</v>
      </c>
      <c r="F42" s="13">
        <f>IFERROR(__xludf.DUMMYFUNCTION("""COMPUTED_VALUE"""),1.1)</f>
        <v>1.1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7">
        <f>IFERROR(__xludf.DUMMYFUNCTION("""COMPUTED_VALUE"""),1524.0)</f>
        <v>1524</v>
      </c>
      <c r="B43" s="17" t="str">
        <f>IFERROR(__xludf.DUMMYFUNCTION("""COMPUTED_VALUE"""),"GLOB-E")</f>
        <v>GLOB-E</v>
      </c>
      <c r="C43" s="13">
        <f>IFERROR(__xludf.DUMMYFUNCTION("""COMPUTED_VALUE"""),6501.82)</f>
        <v>6501.82</v>
      </c>
      <c r="D43" s="17" t="str">
        <f>IFERROR(__xludf.DUMMYFUNCTION("""COMPUTED_VALUE"""),"Deep Neutral?")</f>
        <v>Deep Neutral?</v>
      </c>
      <c r="E43" s="17" t="str">
        <f>IFERROR(__xludf.DUMMYFUNCTION("""COMPUTED_VALUE"""),"UIL")</f>
        <v>UIL</v>
      </c>
      <c r="F43" s="13">
        <f>IFERROR(__xludf.DUMMYFUNCTION("""COMPUTED_VALUE"""),2.0)</f>
        <v>2</v>
      </c>
      <c r="G43" s="17">
        <f>IFERROR(__xludf.DUMMYFUNCTION("""COMPUTED_VALUE"""),11.0)</f>
        <v>11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7">
        <f>IFERROR(__xludf.DUMMYFUNCTION("""COMPUTED_VALUE"""),1547.0)</f>
        <v>1547</v>
      </c>
      <c r="B44" s="17" t="str">
        <f>IFERROR(__xludf.DUMMYFUNCTION("""COMPUTED_VALUE"""),"GLOB-E")</f>
        <v>GLOB-E</v>
      </c>
      <c r="C44" s="13">
        <f>IFERROR(__xludf.DUMMYFUNCTION("""COMPUTED_VALUE"""),6529.5)</f>
        <v>6529.5</v>
      </c>
      <c r="D44" s="17" t="str">
        <f>IFERROR(__xludf.DUMMYFUNCTION("""COMPUTED_VALUE"""),"Low Neb?")</f>
        <v>Low Neb?</v>
      </c>
      <c r="E44" s="17" t="str">
        <f>IFERROR(__xludf.DUMMYFUNCTION("""COMPUTED_VALUE"""),"UIL")</f>
        <v>UIL</v>
      </c>
      <c r="F44" s="13">
        <f>IFERROR(__xludf.DUMMYFUNCTION("""COMPUTED_VALUE"""),1.4)</f>
        <v>1.4</v>
      </c>
      <c r="G44" s="17" t="str">
        <f>IFERROR(__xludf.DUMMYFUNCTION("""COMPUTED_VALUE"""),"11, 101B")</f>
        <v>11, 101B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7">
        <f>IFERROR(__xludf.DUMMYFUNCTION("""COMPUTED_VALUE"""),1561.0)</f>
        <v>1561</v>
      </c>
      <c r="B45" s="17" t="str">
        <f>IFERROR(__xludf.DUMMYFUNCTION("""COMPUTED_VALUE"""),"GLOB-E")</f>
        <v>GLOB-E</v>
      </c>
      <c r="C45" s="13">
        <f>IFERROR(__xludf.DUMMYFUNCTION("""COMPUTED_VALUE"""),6548.07)</f>
        <v>6548.07</v>
      </c>
      <c r="D45" s="17" t="str">
        <f>IFERROR(__xludf.DUMMYFUNCTION("""COMPUTED_VALUE"""),"Low Neb")</f>
        <v>Low Neb</v>
      </c>
      <c r="E45" s="17" t="str">
        <f>IFERROR(__xludf.DUMMYFUNCTION("""COMPUTED_VALUE"""),"[N II] 6548.05")</f>
        <v>[N II] 6548.05</v>
      </c>
      <c r="F45" s="13">
        <f>IFERROR(__xludf.DUMMYFUNCTION("""COMPUTED_VALUE"""),66.0)</f>
        <v>66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7">
        <f>IFERROR(__xludf.DUMMYFUNCTION("""COMPUTED_VALUE"""),1573.0)</f>
        <v>1573</v>
      </c>
      <c r="B46" s="17" t="str">
        <f>IFERROR(__xludf.DUMMYFUNCTION("""COMPUTED_VALUE"""),"GLOB-E")</f>
        <v>GLOB-E</v>
      </c>
      <c r="C46" s="13">
        <f>IFERROR(__xludf.DUMMYFUNCTION("""COMPUTED_VALUE"""),6562.62)</f>
        <v>6562.62</v>
      </c>
      <c r="D46" s="17" t="str">
        <f>IFERROR(__xludf.DUMMYFUNCTION("""COMPUTED_VALUE"""),"Med Neb")</f>
        <v>Med Neb</v>
      </c>
      <c r="E46" s="17" t="str">
        <f>IFERROR(__xludf.DUMMYFUNCTION("""COMPUTED_VALUE"""),"H I 6562.79")</f>
        <v>H I 6562.79</v>
      </c>
      <c r="F46" s="13">
        <f>IFERROR(__xludf.DUMMYFUNCTION("""COMPUTED_VALUE"""),8200.0)</f>
        <v>8200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7">
        <f>IFERROR(__xludf.DUMMYFUNCTION("""COMPUTED_VALUE"""),1590.0)</f>
        <v>1590</v>
      </c>
      <c r="B47" s="17" t="str">
        <f>IFERROR(__xludf.DUMMYFUNCTION("""COMPUTED_VALUE"""),"GLOB-E")</f>
        <v>GLOB-E</v>
      </c>
      <c r="C47" s="13">
        <f>IFERROR(__xludf.DUMMYFUNCTION("""COMPUTED_VALUE"""),6583.33)</f>
        <v>6583.33</v>
      </c>
      <c r="D47" s="17" t="str">
        <f>IFERROR(__xludf.DUMMYFUNCTION("""COMPUTED_VALUE"""),"Low Neb")</f>
        <v>Low Neb</v>
      </c>
      <c r="E47" s="17" t="str">
        <f>IFERROR(__xludf.DUMMYFUNCTION("""COMPUTED_VALUE"""),"[N II] 6583.45")</f>
        <v>[N II] 6583.45</v>
      </c>
      <c r="F47" s="13">
        <f>IFERROR(__xludf.DUMMYFUNCTION("""COMPUTED_VALUE"""),230.0)</f>
        <v>230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7">
        <f>IFERROR(__xludf.DUMMYFUNCTION("""COMPUTED_VALUE"""),1603.0)</f>
        <v>1603</v>
      </c>
      <c r="B48" s="17" t="str">
        <f>IFERROR(__xludf.DUMMYFUNCTION("""COMPUTED_VALUE"""),"GLOB-E")</f>
        <v>GLOB-E</v>
      </c>
      <c r="C48" s="13">
        <f>IFERROR(__xludf.DUMMYFUNCTION("""COMPUTED_VALUE"""),6601.28)</f>
        <v>6601.28</v>
      </c>
      <c r="D48" s="17" t="str">
        <f>IFERROR(__xludf.DUMMYFUNCTION("""COMPUTED_VALUE"""),"Neutral?")</f>
        <v>Neutral?</v>
      </c>
      <c r="E48" s="17" t="str">
        <f>IFERROR(__xludf.DUMMYFUNCTION("""COMPUTED_VALUE"""),"UIL")</f>
        <v>UIL</v>
      </c>
      <c r="F48" s="13">
        <f>IFERROR(__xludf.DUMMYFUNCTION("""COMPUTED_VALUE"""),0.9)</f>
        <v>0.9</v>
      </c>
      <c r="G48" s="17" t="str">
        <f>IFERROR(__xludf.DUMMYFUNCTION("""COMPUTED_VALUE"""),"11, 101B")</f>
        <v>11, 101B</v>
      </c>
      <c r="H48" s="17" t="str">
        <f>IFERROR(__xludf.DUMMYFUNCTION("""COMPUTED_VALUE"""),"Weak ")</f>
        <v>Weak 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7">
        <f>IFERROR(__xludf.DUMMYFUNCTION("""COMPUTED_VALUE"""),1616.0)</f>
        <v>1616</v>
      </c>
      <c r="B49" s="17" t="str">
        <f>IFERROR(__xludf.DUMMYFUNCTION("""COMPUTED_VALUE"""),"GLOB-E")</f>
        <v>GLOB-E</v>
      </c>
      <c r="C49" s="13">
        <f>IFERROR(__xludf.DUMMYFUNCTION("""COMPUTED_VALUE"""),6615.11)</f>
        <v>6615.11</v>
      </c>
      <c r="D49" s="17" t="str">
        <f>IFERROR(__xludf.DUMMYFUNCTION("""COMPUTED_VALUE"""),"?")</f>
        <v>?</v>
      </c>
      <c r="E49" s="17" t="str">
        <f>IFERROR(__xludf.DUMMYFUNCTION("""COMPUTED_VALUE"""),"UIL")</f>
        <v>UIL</v>
      </c>
      <c r="F49" s="13">
        <f>IFERROR(__xludf.DUMMYFUNCTION("""COMPUTED_VALUE"""),0.4)</f>
        <v>0.4</v>
      </c>
      <c r="G49" s="17" t="str">
        <f>IFERROR(__xludf.DUMMYFUNCTION("""COMPUTED_VALUE"""),"101B")</f>
        <v>101B</v>
      </c>
      <c r="H49" s="17" t="str">
        <f>IFERROR(__xludf.DUMMYFUNCTION("""COMPUTED_VALUE"""),"Broad profile and very weak")</f>
        <v>Broad profile and very weak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7">
        <f>IFERROR(__xludf.DUMMYFUNCTION("""COMPUTED_VALUE"""),1626.0)</f>
        <v>1626</v>
      </c>
      <c r="B50" s="17" t="str">
        <f>IFERROR(__xludf.DUMMYFUNCTION("""COMPUTED_VALUE"""),"GLOB-E")</f>
        <v>GLOB-E</v>
      </c>
      <c r="C50" s="13">
        <f>IFERROR(__xludf.DUMMYFUNCTION("""COMPUTED_VALUE"""),6628.89)</f>
        <v>6628.89</v>
      </c>
      <c r="D50" s="17" t="str">
        <f>IFERROR(__xludf.DUMMYFUNCTION("""COMPUTED_VALUE"""),"Deep Neutral?")</f>
        <v>Deep Neutral?</v>
      </c>
      <c r="E50" s="17" t="str">
        <f>IFERROR(__xludf.DUMMYFUNCTION("""COMPUTED_VALUE"""),"UIL")</f>
        <v>UIL</v>
      </c>
      <c r="F50" s="13">
        <f>IFERROR(__xludf.DUMMYFUNCTION("""COMPUTED_VALUE"""),2.1)</f>
        <v>2.1</v>
      </c>
      <c r="G50" s="17" t="str">
        <f>IFERROR(__xludf.DUMMYFUNCTION("""COMPUTED_VALUE"""),"101B, 11")</f>
        <v>101B, 11</v>
      </c>
      <c r="H50" s="17" t="str">
        <f>IFERROR(__xludf.DUMMYFUNCTION("""COMPUTED_VALUE"""),"Left-hand guardian of the Raman dip")</f>
        <v>Left-hand guardian of the Raman dip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7">
        <f>IFERROR(__xludf.DUMMYFUNCTION("""COMPUTED_VALUE"""),1632.0)</f>
        <v>1632</v>
      </c>
      <c r="B51" s="17" t="str">
        <f>IFERROR(__xludf.DUMMYFUNCTION("""COMPUTED_VALUE"""),"GLOB-E")</f>
        <v>GLOB-E</v>
      </c>
      <c r="C51" s="13">
        <f>IFERROR(__xludf.DUMMYFUNCTION("""COMPUTED_VALUE"""),6636.78)</f>
        <v>6636.78</v>
      </c>
      <c r="D51" s="17" t="str">
        <f>IFERROR(__xludf.DUMMYFUNCTION("""COMPUTED_VALUE"""),"Deep Neutral?")</f>
        <v>Deep Neutral?</v>
      </c>
      <c r="E51" s="17" t="str">
        <f>IFERROR(__xludf.DUMMYFUNCTION("""COMPUTED_VALUE"""),"UIL")</f>
        <v>UIL</v>
      </c>
      <c r="F51" s="13">
        <f>IFERROR(__xludf.DUMMYFUNCTION("""COMPUTED_VALUE"""),1.6)</f>
        <v>1.6</v>
      </c>
      <c r="G51" s="17" t="str">
        <f>IFERROR(__xludf.DUMMYFUNCTION("""COMPUTED_VALUE"""),"101B")</f>
        <v>101B</v>
      </c>
      <c r="H51" s="17" t="str">
        <f>IFERROR(__xludf.DUMMYFUNCTION("""COMPUTED_VALUE"""),"Right-hand guardian of the Raman dip")</f>
        <v>Right-hand guardian of the Raman dip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7">
        <f>IFERROR(__xludf.DUMMYFUNCTION("""COMPUTED_VALUE"""),1640.0)</f>
        <v>1640</v>
      </c>
      <c r="B52" s="17" t="str">
        <f>IFERROR(__xludf.DUMMYFUNCTION("""COMPUTED_VALUE"""),"GLOB-E")</f>
        <v>GLOB-E</v>
      </c>
      <c r="C52" s="13">
        <f>IFERROR(__xludf.DUMMYFUNCTION("""COMPUTED_VALUE"""),6645.63)</f>
        <v>6645.63</v>
      </c>
      <c r="D52" s="17" t="str">
        <f>IFERROR(__xludf.DUMMYFUNCTION("""COMPUTED_VALUE"""),"Deep Neutral?")</f>
        <v>Deep Neutral?</v>
      </c>
      <c r="E52" s="17" t="str">
        <f>IFERROR(__xludf.DUMMYFUNCTION("""COMPUTED_VALUE"""),"UIL")</f>
        <v>UIL</v>
      </c>
      <c r="F52" s="13">
        <f>IFERROR(__xludf.DUMMYFUNCTION("""COMPUTED_VALUE"""),1.3)</f>
        <v>1.3</v>
      </c>
      <c r="G52" s="17" t="str">
        <f>IFERROR(__xludf.DUMMYFUNCTION("""COMPUTED_VALUE"""),"101B")</f>
        <v>101B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7">
        <f>IFERROR(__xludf.DUMMYFUNCTION("""COMPUTED_VALUE"""),1648.0)</f>
        <v>1648</v>
      </c>
      <c r="B53" s="17" t="str">
        <f>IFERROR(__xludf.DUMMYFUNCTION("""COMPUTED_VALUE"""),"GLOB-E")</f>
        <v>GLOB-E</v>
      </c>
      <c r="C53" s="13">
        <f>IFERROR(__xludf.DUMMYFUNCTION("""COMPUTED_VALUE"""),6655.67)</f>
        <v>6655.67</v>
      </c>
      <c r="D53" s="17" t="str">
        <f>IFERROR(__xludf.DUMMYFUNCTION("""COMPUTED_VALUE"""),"Deep Neutral?")</f>
        <v>Deep Neutral?</v>
      </c>
      <c r="E53" s="17" t="str">
        <f>IFERROR(__xludf.DUMMYFUNCTION("""COMPUTED_VALUE"""),"UIL")</f>
        <v>UIL</v>
      </c>
      <c r="F53" s="13">
        <f>IFERROR(__xludf.DUMMYFUNCTION("""COMPUTED_VALUE"""),0.7)</f>
        <v>0.7</v>
      </c>
      <c r="G53" s="17">
        <f>IFERROR(__xludf.DUMMYFUNCTION("""COMPUTED_VALUE"""),11.0)</f>
        <v>11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7">
        <f>IFERROR(__xludf.DUMMYFUNCTION("""COMPUTED_VALUE"""),1657.0)</f>
        <v>1657</v>
      </c>
      <c r="B54" s="17" t="str">
        <f>IFERROR(__xludf.DUMMYFUNCTION("""COMPUTED_VALUE"""),"GLOB-E")</f>
        <v>GLOB-E</v>
      </c>
      <c r="C54" s="13">
        <f>IFERROR(__xludf.DUMMYFUNCTION("""COMPUTED_VALUE"""),6667.62)</f>
        <v>6667.62</v>
      </c>
      <c r="D54" s="17" t="str">
        <f>IFERROR(__xludf.DUMMYFUNCTION("""COMPUTED_VALUE"""),"Fe, Ni")</f>
        <v>Fe, Ni</v>
      </c>
      <c r="E54" s="17" t="str">
        <f>IFERROR(__xludf.DUMMYFUNCTION("""COMPUTED_VALUE"""),"[Ni II]  6666.80")</f>
        <v>[Ni II]  6666.80</v>
      </c>
      <c r="F54" s="13">
        <f>IFERROR(__xludf.DUMMYFUNCTION("""COMPUTED_VALUE"""),0.5)</f>
        <v>0.5</v>
      </c>
      <c r="G54" s="17" t="str">
        <f>IFERROR(__xludf.DUMMYFUNCTION("""COMPUTED_VALUE"""),"11, 101B")</f>
        <v>11, 101B</v>
      </c>
      <c r="H54" s="17" t="str">
        <f>IFERROR(__xludf.DUMMYFUNCTION("""COMPUTED_VALUE"""),"Diffuse emission is unclear (difffers between 11 and 101B)")</f>
        <v>Diffuse emission is unclear (difffers between 11 and 101B)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7">
        <f>IFERROR(__xludf.DUMMYFUNCTION("""COMPUTED_VALUE"""),1665.0)</f>
        <v>1665</v>
      </c>
      <c r="B55" s="17" t="str">
        <f>IFERROR(__xludf.DUMMYFUNCTION("""COMPUTED_VALUE"""),"GLOB-E")</f>
        <v>GLOB-E</v>
      </c>
      <c r="C55" s="13">
        <f>IFERROR(__xludf.DUMMYFUNCTION("""COMPUTED_VALUE"""),6677.94)</f>
        <v>6677.94</v>
      </c>
      <c r="D55" s="17" t="str">
        <f>IFERROR(__xludf.DUMMYFUNCTION("""COMPUTED_VALUE"""),"Med Neb")</f>
        <v>Med Neb</v>
      </c>
      <c r="E55" s="17" t="str">
        <f>IFERROR(__xludf.DUMMYFUNCTION("""COMPUTED_VALUE"""),"He I 6678.15")</f>
        <v>He I 6678.15</v>
      </c>
      <c r="F55" s="13">
        <f>IFERROR(__xludf.DUMMYFUNCTION("""COMPUTED_VALUE"""),78.0)</f>
        <v>78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7">
        <f>IFERROR(__xludf.DUMMYFUNCTION("""COMPUTED_VALUE"""),1682.0)</f>
        <v>1682</v>
      </c>
      <c r="B56" s="17" t="str">
        <f>IFERROR(__xludf.DUMMYFUNCTION("""COMPUTED_VALUE"""),"GLOB-E")</f>
        <v>GLOB-E</v>
      </c>
      <c r="C56" s="13">
        <f>IFERROR(__xludf.DUMMYFUNCTION("""COMPUTED_VALUE"""),6699.06)</f>
        <v>6699.06</v>
      </c>
      <c r="D56" s="17" t="str">
        <f>IFERROR(__xludf.DUMMYFUNCTION("""COMPUTED_VALUE"""),"Deep Neutral?")</f>
        <v>Deep Neutral?</v>
      </c>
      <c r="E56" s="17" t="str">
        <f>IFERROR(__xludf.DUMMYFUNCTION("""COMPUTED_VALUE"""),"UIL")</f>
        <v>UIL</v>
      </c>
      <c r="F56" s="13">
        <f>IFERROR(__xludf.DUMMYFUNCTION("""COMPUTED_VALUE"""),0.9)</f>
        <v>0.9</v>
      </c>
      <c r="G56" s="17">
        <f>IFERROR(__xludf.DUMMYFUNCTION("""COMPUTED_VALUE"""),11.0)</f>
        <v>11</v>
      </c>
      <c r="H56" s="17" t="str">
        <f>IFERROR(__xludf.DUMMYFUNCTION("""COMPUTED_VALUE"""),"Weak but clearly detected in most GLOB/FIL regions")</f>
        <v>Weak but clearly detected in most GLOB/FIL regions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7">
        <f>IFERROR(__xludf.DUMMYFUNCTION("""COMPUTED_VALUE"""),1696.0)</f>
        <v>1696</v>
      </c>
      <c r="B57" s="17" t="str">
        <f>IFERROR(__xludf.DUMMYFUNCTION("""COMPUTED_VALUE"""),"GLOB-E")</f>
        <v>GLOB-E</v>
      </c>
      <c r="C57" s="13">
        <f>IFERROR(__xludf.DUMMYFUNCTION("""COMPUTED_VALUE"""),6716.47)</f>
        <v>6716.47</v>
      </c>
      <c r="D57" s="17" t="str">
        <f>IFERROR(__xludf.DUMMYFUNCTION("""COMPUTED_VALUE"""),"Low Neb")</f>
        <v>Low Neb</v>
      </c>
      <c r="E57" s="17" t="str">
        <f>IFERROR(__xludf.DUMMYFUNCTION("""COMPUTED_VALUE"""),"[S II] 6716.44")</f>
        <v>[S II] 6716.44</v>
      </c>
      <c r="F57" s="13">
        <f>IFERROR(__xludf.DUMMYFUNCTION("""COMPUTED_VALUE"""),385.0)</f>
        <v>385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7">
        <f>IFERROR(__xludf.DUMMYFUNCTION("""COMPUTED_VALUE"""),1708.0)</f>
        <v>1708</v>
      </c>
      <c r="B58" s="17" t="str">
        <f>IFERROR(__xludf.DUMMYFUNCTION("""COMPUTED_VALUE"""),"GLOB-E")</f>
        <v>GLOB-E</v>
      </c>
      <c r="C58" s="13">
        <f>IFERROR(__xludf.DUMMYFUNCTION("""COMPUTED_VALUE"""),6730.74)</f>
        <v>6730.74</v>
      </c>
      <c r="D58" s="17" t="str">
        <f>IFERROR(__xludf.DUMMYFUNCTION("""COMPUTED_VALUE"""),"Low Neb")</f>
        <v>Low Neb</v>
      </c>
      <c r="E58" s="17" t="str">
        <f>IFERROR(__xludf.DUMMYFUNCTION("""COMPUTED_VALUE"""),"[S II] 6730.816")</f>
        <v>[S II] 6730.816</v>
      </c>
      <c r="F58" s="13">
        <f>IFERROR(__xludf.DUMMYFUNCTION("""COMPUTED_VALUE"""),286.0)</f>
        <v>286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7">
        <f>IFERROR(__xludf.DUMMYFUNCTION("""COMPUTED_VALUE"""),1744.0)</f>
        <v>1744</v>
      </c>
      <c r="B59" s="17" t="str">
        <f>IFERROR(__xludf.DUMMYFUNCTION("""COMPUTED_VALUE"""),"GLOB-E")</f>
        <v>GLOB-E</v>
      </c>
      <c r="C59" s="13">
        <f>IFERROR(__xludf.DUMMYFUNCTION("""COMPUTED_VALUE"""),6776.88)</f>
        <v>6776.88</v>
      </c>
      <c r="D59" s="17" t="str">
        <f>IFERROR(__xludf.DUMMYFUNCTION("""COMPUTED_VALUE"""),"Deep Neutral")</f>
        <v>Deep Neutral</v>
      </c>
      <c r="E59" s="17" t="str">
        <f>IFERROR(__xludf.DUMMYFUNCTION("""COMPUTED_VALUE"""),"UIL")</f>
        <v>UIL</v>
      </c>
      <c r="F59" s="13">
        <f>IFERROR(__xludf.DUMMYFUNCTION("""COMPUTED_VALUE"""),2.3)</f>
        <v>2.3</v>
      </c>
      <c r="G59" s="17">
        <f>IFERROR(__xludf.DUMMYFUNCTION("""COMPUTED_VALUE"""),11.0)</f>
        <v>11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7">
        <f>IFERROR(__xludf.DUMMYFUNCTION("""COMPUTED_VALUE"""),1801.0)</f>
        <v>1801</v>
      </c>
      <c r="B60" s="17" t="str">
        <f>IFERROR(__xludf.DUMMYFUNCTION("""COMPUTED_VALUE"""),"GLOB-E")</f>
        <v>GLOB-E</v>
      </c>
      <c r="C60" s="13">
        <f>IFERROR(__xludf.DUMMYFUNCTION("""COMPUTED_VALUE"""),6846.81)</f>
        <v>6846.81</v>
      </c>
      <c r="D60" s="17" t="str">
        <f>IFERROR(__xludf.DUMMYFUNCTION("""COMPUTED_VALUE"""),"Deep Neutral?")</f>
        <v>Deep Neutral?</v>
      </c>
      <c r="E60" s="17" t="str">
        <f>IFERROR(__xludf.DUMMYFUNCTION("""COMPUTED_VALUE"""),"UIL")</f>
        <v>UIL</v>
      </c>
      <c r="F60" s="13">
        <f>IFERROR(__xludf.DUMMYFUNCTION("""COMPUTED_VALUE"""),1.4)</f>
        <v>1.4</v>
      </c>
      <c r="G60" s="17">
        <f>IFERROR(__xludf.DUMMYFUNCTION("""COMPUTED_VALUE"""),11.0)</f>
        <v>11</v>
      </c>
      <c r="H60" s="17" t="str">
        <f>IFERROR(__xludf.DUMMYFUNCTION("""COMPUTED_VALUE"""),"Broad, so probably a blend")</f>
        <v>Broad, so probably a blend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7">
        <f>IFERROR(__xludf.DUMMYFUNCTION("""COMPUTED_VALUE"""),1913.0)</f>
        <v>1913</v>
      </c>
      <c r="B61" s="17" t="str">
        <f>IFERROR(__xludf.DUMMYFUNCTION("""COMPUTED_VALUE"""),"GLOB-E")</f>
        <v>GLOB-E</v>
      </c>
      <c r="C61" s="13">
        <f>IFERROR(__xludf.DUMMYFUNCTION("""COMPUTED_VALUE"""),6987.38)</f>
        <v>6987.38</v>
      </c>
      <c r="D61" s="17" t="str">
        <f>IFERROR(__xludf.DUMMYFUNCTION("""COMPUTED_VALUE"""),"Deep Neutral?")</f>
        <v>Deep Neutral?</v>
      </c>
      <c r="E61" s="17" t="str">
        <f>IFERROR(__xludf.DUMMYFUNCTION("""COMPUTED_VALUE"""),"UIL")</f>
        <v>UIL</v>
      </c>
      <c r="F61" s="13">
        <f>IFERROR(__xludf.DUMMYFUNCTION("""COMPUTED_VALUE"""),2.1)</f>
        <v>2.1</v>
      </c>
      <c r="G61" s="17">
        <f>IFERROR(__xludf.DUMMYFUNCTION("""COMPUTED_VALUE"""),11.0)</f>
        <v>11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7">
        <f>IFERROR(__xludf.DUMMYFUNCTION("""COMPUTED_VALUE"""),1925.0)</f>
        <v>1925</v>
      </c>
      <c r="B62" s="17" t="str">
        <f>IFERROR(__xludf.DUMMYFUNCTION("""COMPUTED_VALUE"""),"GLOB-E")</f>
        <v>GLOB-E</v>
      </c>
      <c r="C62" s="13">
        <f>IFERROR(__xludf.DUMMYFUNCTION("""COMPUTED_VALUE"""),7002.32)</f>
        <v>7002.32</v>
      </c>
      <c r="D62" s="17" t="str">
        <f>IFERROR(__xludf.DUMMYFUNCTION("""COMPUTED_VALUE"""),"Neutral")</f>
        <v>Neutral</v>
      </c>
      <c r="E62" s="17" t="str">
        <f>IFERROR(__xludf.DUMMYFUNCTION("""COMPUTED_VALUE"""),"O I 7001.92")</f>
        <v>O I 7001.92</v>
      </c>
      <c r="F62" s="13">
        <f>IFERROR(__xludf.DUMMYFUNCTION("""COMPUTED_VALUE"""),1.2)</f>
        <v>1.2</v>
      </c>
      <c r="G62" s="17" t="str">
        <f>IFERROR(__xludf.DUMMYFUNCTION("""COMPUTED_VALUE"""),"11, 101B")</f>
        <v>11, 101B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7">
        <f>IFERROR(__xludf.DUMMYFUNCTION("""COMPUTED_VALUE"""),1931.0)</f>
        <v>1931</v>
      </c>
      <c r="B63" s="17" t="str">
        <f>IFERROR(__xludf.DUMMYFUNCTION("""COMPUTED_VALUE"""),"GLOB-E")</f>
        <v>GLOB-E</v>
      </c>
      <c r="C63" s="13">
        <f>IFERROR(__xludf.DUMMYFUNCTION("""COMPUTED_VALUE"""),7010.02)</f>
        <v>7010.02</v>
      </c>
      <c r="D63" s="17" t="str">
        <f>IFERROR(__xludf.DUMMYFUNCTION("""COMPUTED_VALUE"""),"Deep Neutral?")</f>
        <v>Deep Neutral?</v>
      </c>
      <c r="E63" s="17" t="str">
        <f>IFERROR(__xludf.DUMMYFUNCTION("""COMPUTED_VALUE"""),"UIL")</f>
        <v>UIL</v>
      </c>
      <c r="F63" s="13">
        <f>IFERROR(__xludf.DUMMYFUNCTION("""COMPUTED_VALUE"""),1.9)</f>
        <v>1.9</v>
      </c>
      <c r="G63" s="17" t="str">
        <f>IFERROR(__xludf.DUMMYFUNCTION("""COMPUTED_VALUE"""),"101B")</f>
        <v>101B</v>
      </c>
      <c r="H63" s="17" t="str">
        <f>IFERROR(__xludf.DUMMYFUNCTION("""COMPUTED_VALUE"""),"Broad")</f>
        <v>Broad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7">
        <f>IFERROR(__xludf.DUMMYFUNCTION("""COMPUTED_VALUE"""),1935.0)</f>
        <v>1935</v>
      </c>
      <c r="B64" s="17" t="str">
        <f>IFERROR(__xludf.DUMMYFUNCTION("""COMPUTED_VALUE"""),"GLOB-E")</f>
        <v>GLOB-E</v>
      </c>
      <c r="C64" s="13">
        <f>IFERROR(__xludf.DUMMYFUNCTION("""COMPUTED_VALUE"""),7015.18)</f>
        <v>7015.18</v>
      </c>
      <c r="D64" s="17" t="str">
        <f>IFERROR(__xludf.DUMMYFUNCTION("""COMPUTED_VALUE"""),"Deep Neutral?")</f>
        <v>Deep Neutral?</v>
      </c>
      <c r="E64" s="17" t="str">
        <f>IFERROR(__xludf.DUMMYFUNCTION("""COMPUTED_VALUE"""),"UIL")</f>
        <v>UIL</v>
      </c>
      <c r="F64" s="13">
        <f>IFERROR(__xludf.DUMMYFUNCTION("""COMPUTED_VALUE"""),0.4)</f>
        <v>0.4</v>
      </c>
      <c r="G64" s="17" t="str">
        <f>IFERROR(__xludf.DUMMYFUNCTION("""COMPUTED_VALUE"""),"101B")</f>
        <v>101B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7">
        <f>IFERROR(__xludf.DUMMYFUNCTION("""COMPUTED_VALUE"""),1944.0)</f>
        <v>1944</v>
      </c>
      <c r="B65" s="17" t="str">
        <f>IFERROR(__xludf.DUMMYFUNCTION("""COMPUTED_VALUE"""),"GLOB-E")</f>
        <v>GLOB-E</v>
      </c>
      <c r="C65" s="13">
        <f>IFERROR(__xludf.DUMMYFUNCTION("""COMPUTED_VALUE"""),7025.59)</f>
        <v>7025.59</v>
      </c>
      <c r="D65" s="17" t="str">
        <f>IFERROR(__xludf.DUMMYFUNCTION("""COMPUTED_VALUE"""),"Deep Neutral?")</f>
        <v>Deep Neutral?</v>
      </c>
      <c r="E65" s="17" t="str">
        <f>IFERROR(__xludf.DUMMYFUNCTION("""COMPUTED_VALUE"""),"UIL")</f>
        <v>UIL</v>
      </c>
      <c r="F65" s="13">
        <f>IFERROR(__xludf.DUMMYFUNCTION("""COMPUTED_VALUE"""),0.6)</f>
        <v>0.6</v>
      </c>
      <c r="G65" s="17" t="str">
        <f>IFERROR(__xludf.DUMMYFUNCTION("""COMPUTED_VALUE"""),"101B, 11")</f>
        <v>101B, 11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7">
        <f>IFERROR(__xludf.DUMMYFUNCTION("""COMPUTED_VALUE"""),1954.0)</f>
        <v>1954</v>
      </c>
      <c r="B66" s="17" t="str">
        <f>IFERROR(__xludf.DUMMYFUNCTION("""COMPUTED_VALUE"""),"GLOB-E")</f>
        <v>GLOB-E</v>
      </c>
      <c r="C66" s="13">
        <f>IFERROR(__xludf.DUMMYFUNCTION("""COMPUTED_VALUE"""),7038.08)</f>
        <v>7038.08</v>
      </c>
      <c r="D66" s="17" t="str">
        <f>IFERROR(__xludf.DUMMYFUNCTION("""COMPUTED_VALUE"""),"Deep Neutral?")</f>
        <v>Deep Neutral?</v>
      </c>
      <c r="E66" s="17" t="str">
        <f>IFERROR(__xludf.DUMMYFUNCTION("""COMPUTED_VALUE"""),"UIL")</f>
        <v>UIL</v>
      </c>
      <c r="F66" s="13">
        <f>IFERROR(__xludf.DUMMYFUNCTION("""COMPUTED_VALUE"""),1.4)</f>
        <v>1.4</v>
      </c>
      <c r="G66" s="17" t="str">
        <f>IFERROR(__xludf.DUMMYFUNCTION("""COMPUTED_VALUE"""),"101B, 11")</f>
        <v>101B, 11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7">
        <f>IFERROR(__xludf.DUMMYFUNCTION("""COMPUTED_VALUE"""),1958.0)</f>
        <v>1958</v>
      </c>
      <c r="B67" s="17" t="str">
        <f>IFERROR(__xludf.DUMMYFUNCTION("""COMPUTED_VALUE"""),"GLOB-E")</f>
        <v>GLOB-E</v>
      </c>
      <c r="C67" s="13">
        <f>IFERROR(__xludf.DUMMYFUNCTION("""COMPUTED_VALUE"""),7043.21)</f>
        <v>7043.21</v>
      </c>
      <c r="D67" s="17" t="str">
        <f>IFERROR(__xludf.DUMMYFUNCTION("""COMPUTED_VALUE"""),"Deep Neutral?")</f>
        <v>Deep Neutral?</v>
      </c>
      <c r="E67" s="17" t="str">
        <f>IFERROR(__xludf.DUMMYFUNCTION("""COMPUTED_VALUE"""),"UIL")</f>
        <v>UIL</v>
      </c>
      <c r="F67" s="13">
        <f>IFERROR(__xludf.DUMMYFUNCTION("""COMPUTED_VALUE"""),0.9)</f>
        <v>0.9</v>
      </c>
      <c r="G67" s="17" t="str">
        <f>IFERROR(__xludf.DUMMYFUNCTION("""COMPUTED_VALUE"""),"101B")</f>
        <v>101B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7">
        <f>IFERROR(__xludf.DUMMYFUNCTION("""COMPUTED_VALUE"""),1969.0)</f>
        <v>1969</v>
      </c>
      <c r="B68" s="17" t="str">
        <f>IFERROR(__xludf.DUMMYFUNCTION("""COMPUTED_VALUE"""),"GLOB-E")</f>
        <v>GLOB-E</v>
      </c>
      <c r="C68" s="13">
        <f>IFERROR(__xludf.DUMMYFUNCTION("""COMPUTED_VALUE"""),7056.76)</f>
        <v>7056.76</v>
      </c>
      <c r="D68" s="17" t="str">
        <f>IFERROR(__xludf.DUMMYFUNCTION("""COMPUTED_VALUE"""),"Deep Neutral?")</f>
        <v>Deep Neutral?</v>
      </c>
      <c r="E68" s="17" t="str">
        <f>IFERROR(__xludf.DUMMYFUNCTION("""COMPUTED_VALUE"""),"UIL")</f>
        <v>UIL</v>
      </c>
      <c r="F68" s="13">
        <f>IFERROR(__xludf.DUMMYFUNCTION("""COMPUTED_VALUE"""),1.0)</f>
        <v>1</v>
      </c>
      <c r="G68" s="17" t="str">
        <f>IFERROR(__xludf.DUMMYFUNCTION("""COMPUTED_VALUE"""),"11, 101B")</f>
        <v>11, 101B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7">
        <f>IFERROR(__xludf.DUMMYFUNCTION("""COMPUTED_VALUE"""),1975.0)</f>
        <v>1975</v>
      </c>
      <c r="B69" s="17" t="str">
        <f>IFERROR(__xludf.DUMMYFUNCTION("""COMPUTED_VALUE"""),"GLOB-E")</f>
        <v>GLOB-E</v>
      </c>
      <c r="C69" s="13">
        <f>IFERROR(__xludf.DUMMYFUNCTION("""COMPUTED_VALUE"""),7065.11)</f>
        <v>7065.11</v>
      </c>
      <c r="D69" s="17" t="str">
        <f>IFERROR(__xludf.DUMMYFUNCTION("""COMPUTED_VALUE"""),"Med Neb")</f>
        <v>Med Neb</v>
      </c>
      <c r="E69" s="17" t="str">
        <f>IFERROR(__xludf.DUMMYFUNCTION("""COMPUTED_VALUE"""),"He I 7065.28")</f>
        <v>He I 7065.28</v>
      </c>
      <c r="F69" s="13">
        <f>IFERROR(__xludf.DUMMYFUNCTION("""COMPUTED_VALUE"""),61.0)</f>
        <v>61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7">
        <f>IFERROR(__xludf.DUMMYFUNCTION("""COMPUTED_VALUE"""),1987.0)</f>
        <v>1987</v>
      </c>
      <c r="B70" s="17" t="str">
        <f>IFERROR(__xludf.DUMMYFUNCTION("""COMPUTED_VALUE"""),"GLOB-E")</f>
        <v>GLOB-E</v>
      </c>
      <c r="C70" s="13">
        <f>IFERROR(__xludf.DUMMYFUNCTION("""COMPUTED_VALUE"""),7078.89)</f>
        <v>7078.89</v>
      </c>
      <c r="D70" s="17" t="str">
        <f>IFERROR(__xludf.DUMMYFUNCTION("""COMPUTED_VALUE"""),"Deep Neutral?")</f>
        <v>Deep Neutral?</v>
      </c>
      <c r="E70" s="17" t="str">
        <f>IFERROR(__xludf.DUMMYFUNCTION("""COMPUTED_VALUE"""),"UIL")</f>
        <v>UIL</v>
      </c>
      <c r="F70" s="13">
        <f>IFERROR(__xludf.DUMMYFUNCTION("""COMPUTED_VALUE"""),0.6)</f>
        <v>0.6</v>
      </c>
      <c r="G70" s="17" t="str">
        <f>IFERROR(__xludf.DUMMYFUNCTION("""COMPUTED_VALUE"""),"11, 101B")</f>
        <v>11, 101B</v>
      </c>
      <c r="H70" s="17" t="str">
        <f>IFERROR(__xludf.DUMMYFUNCTION("""COMPUTED_VALUE"""),"Broad and weak")</f>
        <v>Broad and weak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7">
        <f>IFERROR(__xludf.DUMMYFUNCTION("""COMPUTED_VALUE"""),1997.0)</f>
        <v>1997</v>
      </c>
      <c r="B71" s="17" t="str">
        <f>IFERROR(__xludf.DUMMYFUNCTION("""COMPUTED_VALUE"""),"GLOB-E")</f>
        <v>GLOB-E</v>
      </c>
      <c r="C71" s="13">
        <f>IFERROR(__xludf.DUMMYFUNCTION("""COMPUTED_VALUE"""),7092.14)</f>
        <v>7092.14</v>
      </c>
      <c r="D71" s="17" t="str">
        <f>IFERROR(__xludf.DUMMYFUNCTION("""COMPUTED_VALUE"""),"Deep Neutral")</f>
        <v>Deep Neutral</v>
      </c>
      <c r="E71" s="17" t="str">
        <f>IFERROR(__xludf.DUMMYFUNCTION("""COMPUTED_VALUE"""),"UIL")</f>
        <v>UIL</v>
      </c>
      <c r="F71" s="13">
        <f>IFERROR(__xludf.DUMMYFUNCTION("""COMPUTED_VALUE"""),3.1)</f>
        <v>3.1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7">
        <f>IFERROR(__xludf.DUMMYFUNCTION("""COMPUTED_VALUE"""),2008.0)</f>
        <v>2008</v>
      </c>
      <c r="B72" s="17" t="str">
        <f>IFERROR(__xludf.DUMMYFUNCTION("""COMPUTED_VALUE"""),"GLOB-E")</f>
        <v>GLOB-E</v>
      </c>
      <c r="C72" s="13">
        <f>IFERROR(__xludf.DUMMYFUNCTION("""COMPUTED_VALUE"""),7105.4)</f>
        <v>7105.4</v>
      </c>
      <c r="D72" s="17" t="str">
        <f>IFERROR(__xludf.DUMMYFUNCTION("""COMPUTED_VALUE"""),"Deep Neutral")</f>
        <v>Deep Neutral</v>
      </c>
      <c r="E72" s="17" t="str">
        <f>IFERROR(__xludf.DUMMYFUNCTION("""COMPUTED_VALUE"""),"UIL")</f>
        <v>UIL</v>
      </c>
      <c r="F72" s="13">
        <f>IFERROR(__xludf.DUMMYFUNCTION("""COMPUTED_VALUE"""),2.0)</f>
        <v>2</v>
      </c>
      <c r="G72" s="17" t="str">
        <f>IFERROR(__xludf.DUMMYFUNCTION("""COMPUTED_VALUE"""),"101B")</f>
        <v>101B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7">
        <f>IFERROR(__xludf.DUMMYFUNCTION("""COMPUTED_VALUE"""),2012.0)</f>
        <v>2012</v>
      </c>
      <c r="B73" s="17" t="str">
        <f>IFERROR(__xludf.DUMMYFUNCTION("""COMPUTED_VALUE"""),"GLOB-E")</f>
        <v>GLOB-E</v>
      </c>
      <c r="C73" s="13">
        <f>IFERROR(__xludf.DUMMYFUNCTION("""COMPUTED_VALUE"""),7111.43)</f>
        <v>7111.43</v>
      </c>
      <c r="D73" s="17" t="str">
        <f>IFERROR(__xludf.DUMMYFUNCTION("""COMPUTED_VALUE"""),"Deep Neutral")</f>
        <v>Deep Neutral</v>
      </c>
      <c r="E73" s="17" t="str">
        <f>IFERROR(__xludf.DUMMYFUNCTION("""COMPUTED_VALUE"""),"UIL")</f>
        <v>UIL</v>
      </c>
      <c r="F73" s="13">
        <f>IFERROR(__xludf.DUMMYFUNCTION("""COMPUTED_VALUE"""),2.2)</f>
        <v>2.2</v>
      </c>
      <c r="G73" s="17" t="str">
        <f>IFERROR(__xludf.DUMMYFUNCTION("""COMPUTED_VALUE"""),"101B")</f>
        <v>101B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7">
        <f>IFERROR(__xludf.DUMMYFUNCTION("""COMPUTED_VALUE"""),2032.0)</f>
        <v>2032</v>
      </c>
      <c r="B74" s="17" t="str">
        <f>IFERROR(__xludf.DUMMYFUNCTION("""COMPUTED_VALUE"""),"GLOB-E")</f>
        <v>GLOB-E</v>
      </c>
      <c r="C74" s="13">
        <f>IFERROR(__xludf.DUMMYFUNCTION("""COMPUTED_VALUE"""),7135.5)</f>
        <v>7135.5</v>
      </c>
      <c r="D74" s="17" t="str">
        <f>IFERROR(__xludf.DUMMYFUNCTION("""COMPUTED_VALUE"""),"Med Neb")</f>
        <v>Med Neb</v>
      </c>
      <c r="E74" s="17" t="str">
        <f>IFERROR(__xludf.DUMMYFUNCTION("""COMPUTED_VALUE"""),"[Ar III] 7135.78")</f>
        <v>[Ar III] 7135.78</v>
      </c>
      <c r="F74" s="13">
        <f>IFERROR(__xludf.DUMMYFUNCTION("""COMPUTED_VALUE"""),196.0)</f>
        <v>196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</sheetData>
  <conditionalFormatting sqref="A1">
    <cfRule type="notContainsBlanks" dxfId="0" priority="1">
      <formula>LEN(TRIM(A1))&gt;0</formula>
    </cfRule>
  </conditionalFormatting>
  <conditionalFormatting sqref="D1:D1001">
    <cfRule type="beginsWith" dxfId="1" priority="2" operator="beginsWith" text="High">
      <formula>LEFT((D1),LEN("High"))=("High")</formula>
    </cfRule>
  </conditionalFormatting>
  <conditionalFormatting sqref="A2:A465">
    <cfRule type="colorScale" priority="3">
      <colorScale>
        <cfvo type="formula" val="1"/>
        <cfvo type="formula" val="1900"/>
        <cfvo type="formula" val="3801"/>
        <color rgb="FFB4A7D6"/>
        <color rgb="FFD9EAD3"/>
        <color rgb="FFE6B8AF"/>
      </colorScale>
    </cfRule>
  </conditionalFormatting>
  <conditionalFormatting sqref="F1:F1001">
    <cfRule type="cellIs" dxfId="2" priority="4" operator="greaterThan">
      <formula>100</formula>
    </cfRule>
  </conditionalFormatting>
  <conditionalFormatting sqref="A1:Z1001">
    <cfRule type="expression" dxfId="3" priority="5">
      <formula>$D1="Noise"</formula>
    </cfRule>
  </conditionalFormatting>
  <conditionalFormatting sqref="D1:D1001">
    <cfRule type="beginsWith" dxfId="4" priority="6" operator="beginsWith" text="Deep Neutral">
      <formula>LEFT((D1),LEN("Deep Neutral"))=("Deep Neutral")</formula>
    </cfRule>
  </conditionalFormatting>
  <drawing r:id="rId1"/>
</worksheet>
</file>