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will4\Desktop\Capstone\"/>
    </mc:Choice>
  </mc:AlternateContent>
  <xr:revisionPtr revIDLastSave="0" documentId="13_ncr:1_{7A0BB2CF-2900-42A0-BF12-AFAA0E0052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ameters and Calculations" sheetId="1" r:id="rId1"/>
    <sheet name="Sources" sheetId="6" r:id="rId2"/>
    <sheet name="Solenoid Design" sheetId="2" r:id="rId3"/>
    <sheet name="Solenoid Measurements" sheetId="3" r:id="rId4"/>
    <sheet name="resistance" sheetId="4" r:id="rId5"/>
    <sheet name="Power Radiated to Hea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6" l="1"/>
  <c r="A24" i="6"/>
  <c r="A3" i="1"/>
  <c r="B3" i="1" s="1"/>
  <c r="C3" i="1" s="1"/>
  <c r="D3" i="1" s="1"/>
  <c r="E3" i="1" s="1"/>
  <c r="A19" i="6"/>
  <c r="A20" i="6" s="1"/>
  <c r="X4" i="5"/>
  <c r="X3" i="5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2" i="4"/>
  <c r="R3" i="5"/>
  <c r="S3" i="5" s="1"/>
  <c r="T3" i="5" s="1"/>
  <c r="R4" i="5"/>
  <c r="S4" i="5" s="1"/>
  <c r="T4" i="5" s="1"/>
  <c r="R5" i="5"/>
  <c r="S5" i="5" s="1"/>
  <c r="T5" i="5" s="1"/>
  <c r="R6" i="5"/>
  <c r="S6" i="5" s="1"/>
  <c r="T6" i="5" s="1"/>
  <c r="R7" i="5"/>
  <c r="S7" i="5" s="1"/>
  <c r="T7" i="5" s="1"/>
  <c r="R8" i="5"/>
  <c r="S8" i="5" s="1"/>
  <c r="T8" i="5" s="1"/>
  <c r="R9" i="5"/>
  <c r="S9" i="5" s="1"/>
  <c r="T9" i="5" s="1"/>
  <c r="R10" i="5"/>
  <c r="S10" i="5" s="1"/>
  <c r="T10" i="5" s="1"/>
  <c r="R11" i="5"/>
  <c r="S11" i="5" s="1"/>
  <c r="T11" i="5" s="1"/>
  <c r="R12" i="5"/>
  <c r="S12" i="5" s="1"/>
  <c r="T12" i="5" s="1"/>
  <c r="R13" i="5"/>
  <c r="S13" i="5" s="1"/>
  <c r="T13" i="5" s="1"/>
  <c r="R14" i="5"/>
  <c r="S14" i="5" s="1"/>
  <c r="T14" i="5" s="1"/>
  <c r="R15" i="5"/>
  <c r="S15" i="5" s="1"/>
  <c r="T15" i="5" s="1"/>
  <c r="R16" i="5"/>
  <c r="S16" i="5" s="1"/>
  <c r="T16" i="5" s="1"/>
  <c r="R17" i="5"/>
  <c r="S17" i="5" s="1"/>
  <c r="T17" i="5" s="1"/>
  <c r="R18" i="5"/>
  <c r="S18" i="5" s="1"/>
  <c r="T18" i="5" s="1"/>
  <c r="R19" i="5"/>
  <c r="S19" i="5" s="1"/>
  <c r="T19" i="5" s="1"/>
  <c r="R20" i="5"/>
  <c r="S20" i="5" s="1"/>
  <c r="T20" i="5" s="1"/>
  <c r="R21" i="5"/>
  <c r="S21" i="5" s="1"/>
  <c r="T21" i="5" s="1"/>
  <c r="R22" i="5"/>
  <c r="S22" i="5" s="1"/>
  <c r="T22" i="5" s="1"/>
  <c r="R23" i="5"/>
  <c r="S23" i="5" s="1"/>
  <c r="T23" i="5" s="1"/>
  <c r="R24" i="5"/>
  <c r="S24" i="5" s="1"/>
  <c r="T24" i="5" s="1"/>
  <c r="R25" i="5"/>
  <c r="S25" i="5" s="1"/>
  <c r="T25" i="5" s="1"/>
  <c r="R26" i="5"/>
  <c r="S26" i="5" s="1"/>
  <c r="T26" i="5" s="1"/>
  <c r="R27" i="5"/>
  <c r="S27" i="5" s="1"/>
  <c r="T27" i="5" s="1"/>
  <c r="R28" i="5"/>
  <c r="S28" i="5" s="1"/>
  <c r="T28" i="5" s="1"/>
  <c r="R29" i="5"/>
  <c r="S29" i="5" s="1"/>
  <c r="T29" i="5" s="1"/>
  <c r="R30" i="5"/>
  <c r="S30" i="5" s="1"/>
  <c r="T30" i="5" s="1"/>
  <c r="R31" i="5"/>
  <c r="S31" i="5" s="1"/>
  <c r="T31" i="5" s="1"/>
  <c r="R32" i="5"/>
  <c r="S32" i="5" s="1"/>
  <c r="T32" i="5" s="1"/>
  <c r="R33" i="5"/>
  <c r="S33" i="5" s="1"/>
  <c r="T33" i="5" s="1"/>
  <c r="R34" i="5"/>
  <c r="S34" i="5" s="1"/>
  <c r="T34" i="5" s="1"/>
  <c r="R35" i="5"/>
  <c r="S35" i="5" s="1"/>
  <c r="T35" i="5" s="1"/>
  <c r="R36" i="5"/>
  <c r="S36" i="5" s="1"/>
  <c r="T36" i="5" s="1"/>
  <c r="R37" i="5"/>
  <c r="S37" i="5" s="1"/>
  <c r="T37" i="5" s="1"/>
  <c r="R38" i="5"/>
  <c r="S38" i="5" s="1"/>
  <c r="T38" i="5" s="1"/>
  <c r="R39" i="5"/>
  <c r="S39" i="5" s="1"/>
  <c r="T39" i="5" s="1"/>
  <c r="R40" i="5"/>
  <c r="S40" i="5" s="1"/>
  <c r="T40" i="5" s="1"/>
  <c r="R2" i="5"/>
  <c r="S2" i="5" s="1"/>
  <c r="T2" i="5" s="1"/>
  <c r="F3" i="5"/>
  <c r="J3" i="5" s="1"/>
  <c r="F4" i="5"/>
  <c r="J4" i="5" s="1"/>
  <c r="F5" i="5"/>
  <c r="J5" i="5" s="1"/>
  <c r="F6" i="5"/>
  <c r="J6" i="5" s="1"/>
  <c r="F7" i="5"/>
  <c r="J7" i="5" s="1"/>
  <c r="F8" i="5"/>
  <c r="J8" i="5" s="1"/>
  <c r="F9" i="5"/>
  <c r="J9" i="5" s="1"/>
  <c r="F10" i="5"/>
  <c r="J10" i="5" s="1"/>
  <c r="F11" i="5"/>
  <c r="J11" i="5" s="1"/>
  <c r="F12" i="5"/>
  <c r="J12" i="5" s="1"/>
  <c r="F13" i="5"/>
  <c r="J13" i="5" s="1"/>
  <c r="F14" i="5"/>
  <c r="J14" i="5" s="1"/>
  <c r="F15" i="5"/>
  <c r="J15" i="5" s="1"/>
  <c r="F16" i="5"/>
  <c r="J16" i="5" s="1"/>
  <c r="F17" i="5"/>
  <c r="J17" i="5" s="1"/>
  <c r="F18" i="5"/>
  <c r="J18" i="5" s="1"/>
  <c r="F19" i="5"/>
  <c r="J19" i="5" s="1"/>
  <c r="F20" i="5"/>
  <c r="J20" i="5" s="1"/>
  <c r="F21" i="5"/>
  <c r="J21" i="5" s="1"/>
  <c r="F22" i="5"/>
  <c r="J22" i="5" s="1"/>
  <c r="F23" i="5"/>
  <c r="J23" i="5" s="1"/>
  <c r="F24" i="5"/>
  <c r="J24" i="5" s="1"/>
  <c r="F25" i="5"/>
  <c r="J25" i="5" s="1"/>
  <c r="F26" i="5"/>
  <c r="J26" i="5" s="1"/>
  <c r="F27" i="5"/>
  <c r="J27" i="5" s="1"/>
  <c r="F28" i="5"/>
  <c r="J28" i="5" s="1"/>
  <c r="F29" i="5"/>
  <c r="J29" i="5" s="1"/>
  <c r="F30" i="5"/>
  <c r="J30" i="5" s="1"/>
  <c r="F31" i="5"/>
  <c r="J31" i="5" s="1"/>
  <c r="F32" i="5"/>
  <c r="J32" i="5" s="1"/>
  <c r="F33" i="5"/>
  <c r="J33" i="5" s="1"/>
  <c r="F34" i="5"/>
  <c r="J34" i="5" s="1"/>
  <c r="F35" i="5"/>
  <c r="J35" i="5" s="1"/>
  <c r="F36" i="5"/>
  <c r="J36" i="5" s="1"/>
  <c r="F37" i="5"/>
  <c r="J37" i="5" s="1"/>
  <c r="F38" i="5"/>
  <c r="J38" i="5" s="1"/>
  <c r="F39" i="5"/>
  <c r="J39" i="5" s="1"/>
  <c r="F40" i="5"/>
  <c r="J40" i="5" s="1"/>
  <c r="F2" i="5"/>
  <c r="J2" i="5" s="1"/>
  <c r="U2" i="5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2" i="3"/>
  <c r="B3" i="3"/>
  <c r="Y41" i="3" s="1"/>
  <c r="F3" i="2"/>
  <c r="F1" i="2"/>
  <c r="B16" i="2"/>
  <c r="A15" i="2"/>
  <c r="B15" i="2" s="1"/>
  <c r="I2" i="3"/>
  <c r="J2" i="3" s="1"/>
  <c r="Q2" i="3" s="1"/>
  <c r="J3" i="1" l="1"/>
  <c r="L3" i="1"/>
  <c r="K3" i="1"/>
  <c r="U38" i="5"/>
  <c r="U13" i="5"/>
  <c r="U37" i="5"/>
  <c r="U26" i="5"/>
  <c r="U25" i="5"/>
  <c r="U14" i="5"/>
  <c r="U36" i="5"/>
  <c r="U24" i="5"/>
  <c r="U12" i="5"/>
  <c r="U34" i="5"/>
  <c r="U22" i="5"/>
  <c r="U10" i="5"/>
  <c r="U33" i="5"/>
  <c r="U21" i="5"/>
  <c r="U9" i="5"/>
  <c r="U32" i="5"/>
  <c r="U20" i="5"/>
  <c r="U8" i="5"/>
  <c r="U31" i="5"/>
  <c r="U19" i="5"/>
  <c r="U7" i="5"/>
  <c r="U30" i="5"/>
  <c r="U18" i="5"/>
  <c r="U6" i="5"/>
  <c r="U35" i="5"/>
  <c r="U29" i="5"/>
  <c r="U17" i="5"/>
  <c r="U5" i="5"/>
  <c r="U11" i="5"/>
  <c r="U40" i="5"/>
  <c r="U28" i="5"/>
  <c r="U16" i="5"/>
  <c r="U4" i="5"/>
  <c r="U23" i="5"/>
  <c r="U39" i="5"/>
  <c r="U27" i="5"/>
  <c r="U15" i="5"/>
  <c r="U3" i="5"/>
  <c r="F32" i="4"/>
  <c r="F30" i="4"/>
  <c r="F28" i="4"/>
  <c r="F27" i="4"/>
  <c r="F20" i="4"/>
  <c r="F34" i="4"/>
  <c r="F18" i="4"/>
  <c r="F16" i="4"/>
  <c r="F15" i="4"/>
  <c r="F14" i="4"/>
  <c r="F36" i="4"/>
  <c r="F13" i="4"/>
  <c r="F35" i="4"/>
  <c r="F3" i="4"/>
  <c r="F26" i="4"/>
  <c r="F11" i="4"/>
  <c r="F40" i="4"/>
  <c r="F25" i="4"/>
  <c r="F10" i="4"/>
  <c r="F39" i="4"/>
  <c r="F24" i="4"/>
  <c r="F8" i="4"/>
  <c r="F12" i="4"/>
  <c r="F38" i="4"/>
  <c r="F23" i="4"/>
  <c r="F6" i="4"/>
  <c r="F37" i="4"/>
  <c r="F22" i="4"/>
  <c r="F4" i="4"/>
  <c r="F33" i="4"/>
  <c r="F21" i="4"/>
  <c r="F9" i="4"/>
  <c r="F31" i="4"/>
  <c r="F19" i="4"/>
  <c r="F7" i="4"/>
  <c r="F29" i="4"/>
  <c r="F17" i="4"/>
  <c r="F5" i="4"/>
  <c r="AA42" i="3"/>
  <c r="AA41" i="3"/>
  <c r="AB42" i="3"/>
  <c r="AB41" i="3"/>
  <c r="Z42" i="3"/>
  <c r="Z41" i="3"/>
  <c r="X42" i="3"/>
  <c r="X41" i="3"/>
  <c r="Y42" i="3"/>
  <c r="X2" i="3"/>
  <c r="P2" i="3"/>
  <c r="W2" i="3" s="1"/>
  <c r="I26" i="3"/>
  <c r="P26" i="3" s="1"/>
  <c r="I14" i="3"/>
  <c r="P14" i="3" s="1"/>
  <c r="I25" i="3"/>
  <c r="P25" i="3" s="1"/>
  <c r="I36" i="3"/>
  <c r="I13" i="3"/>
  <c r="I38" i="3"/>
  <c r="I37" i="3"/>
  <c r="I9" i="3"/>
  <c r="I35" i="3"/>
  <c r="I11" i="3"/>
  <c r="P11" i="3" s="1"/>
  <c r="I34" i="3"/>
  <c r="I10" i="3"/>
  <c r="I21" i="3"/>
  <c r="P21" i="3" s="1"/>
  <c r="I32" i="3"/>
  <c r="P32" i="3" s="1"/>
  <c r="I20" i="3"/>
  <c r="P20" i="3" s="1"/>
  <c r="I8" i="3"/>
  <c r="I24" i="3"/>
  <c r="I12" i="3"/>
  <c r="I23" i="3"/>
  <c r="I22" i="3"/>
  <c r="I33" i="3"/>
  <c r="I31" i="3"/>
  <c r="I19" i="3"/>
  <c r="I7" i="3"/>
  <c r="I30" i="3"/>
  <c r="P30" i="3" s="1"/>
  <c r="I18" i="3"/>
  <c r="I6" i="3"/>
  <c r="P6" i="3" s="1"/>
  <c r="I29" i="3"/>
  <c r="I17" i="3"/>
  <c r="I5" i="3"/>
  <c r="I40" i="3"/>
  <c r="I28" i="3"/>
  <c r="I16" i="3"/>
  <c r="I4" i="3"/>
  <c r="I39" i="3"/>
  <c r="P39" i="3" s="1"/>
  <c r="I27" i="3"/>
  <c r="I15" i="3"/>
  <c r="P15" i="3" s="1"/>
  <c r="I3" i="3"/>
  <c r="K2" i="3"/>
  <c r="E7" i="3"/>
  <c r="E38" i="3"/>
  <c r="E37" i="3"/>
  <c r="E11" i="3"/>
  <c r="E36" i="3"/>
  <c r="E35" i="3"/>
  <c r="E39" i="3"/>
  <c r="E13" i="3"/>
  <c r="E12" i="3"/>
  <c r="E25" i="3"/>
  <c r="E24" i="3"/>
  <c r="E3" i="3"/>
  <c r="E27" i="3"/>
  <c r="E23" i="3"/>
  <c r="E14" i="3"/>
  <c r="E26" i="3"/>
  <c r="E30" i="3"/>
  <c r="E15" i="3"/>
  <c r="E34" i="3"/>
  <c r="E22" i="3"/>
  <c r="E10" i="3"/>
  <c r="E9" i="3"/>
  <c r="E32" i="3"/>
  <c r="E20" i="3"/>
  <c r="E8" i="3"/>
  <c r="E33" i="3"/>
  <c r="E21" i="3"/>
  <c r="E31" i="3"/>
  <c r="E19" i="3"/>
  <c r="E2" i="3"/>
  <c r="E29" i="3"/>
  <c r="E17" i="3"/>
  <c r="E5" i="3"/>
  <c r="E18" i="3"/>
  <c r="E6" i="3"/>
  <c r="E40" i="3"/>
  <c r="E28" i="3"/>
  <c r="E16" i="3"/>
  <c r="E4" i="3"/>
  <c r="C16" i="2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A14" i="2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A4" i="1"/>
  <c r="M3" i="1" l="1"/>
  <c r="N3" i="1" s="1"/>
  <c r="O3" i="1" s="1"/>
  <c r="P3" i="1" s="1"/>
  <c r="Q3" i="1" s="1"/>
  <c r="W25" i="3"/>
  <c r="W14" i="3"/>
  <c r="W15" i="3"/>
  <c r="W30" i="3"/>
  <c r="W21" i="3"/>
  <c r="W26" i="3"/>
  <c r="W6" i="3"/>
  <c r="W20" i="3"/>
  <c r="W32" i="3"/>
  <c r="W39" i="3"/>
  <c r="W11" i="3"/>
  <c r="L2" i="3"/>
  <c r="R2" i="3"/>
  <c r="Y2" i="3" s="1"/>
  <c r="J40" i="3"/>
  <c r="P40" i="3"/>
  <c r="J4" i="3"/>
  <c r="K4" i="3" s="1"/>
  <c r="P4" i="3"/>
  <c r="J31" i="3"/>
  <c r="K31" i="3" s="1"/>
  <c r="P31" i="3"/>
  <c r="J16" i="3"/>
  <c r="K16" i="3" s="1"/>
  <c r="P16" i="3"/>
  <c r="J33" i="3"/>
  <c r="K33" i="3" s="1"/>
  <c r="P33" i="3"/>
  <c r="J35" i="3"/>
  <c r="P35" i="3"/>
  <c r="J29" i="3"/>
  <c r="K29" i="3" s="1"/>
  <c r="P29" i="3"/>
  <c r="J8" i="3"/>
  <c r="K8" i="3" s="1"/>
  <c r="P8" i="3"/>
  <c r="J36" i="3"/>
  <c r="K36" i="3" s="1"/>
  <c r="P36" i="3"/>
  <c r="J3" i="3"/>
  <c r="K3" i="3" s="1"/>
  <c r="P3" i="3"/>
  <c r="J18" i="3"/>
  <c r="K18" i="3" s="1"/>
  <c r="P18" i="3"/>
  <c r="J27" i="3"/>
  <c r="K27" i="3" s="1"/>
  <c r="P27" i="3"/>
  <c r="J7" i="3"/>
  <c r="K7" i="3" s="1"/>
  <c r="P7" i="3"/>
  <c r="J10" i="3"/>
  <c r="K10" i="3" s="1"/>
  <c r="P10" i="3"/>
  <c r="J19" i="3"/>
  <c r="K19" i="3" s="1"/>
  <c r="P19" i="3"/>
  <c r="J34" i="3"/>
  <c r="K34" i="3" s="1"/>
  <c r="P34" i="3"/>
  <c r="J23" i="3"/>
  <c r="K23" i="3" s="1"/>
  <c r="P23" i="3"/>
  <c r="J37" i="3"/>
  <c r="K37" i="3" s="1"/>
  <c r="P37" i="3"/>
  <c r="J5" i="3"/>
  <c r="K5" i="3" s="1"/>
  <c r="P5" i="3"/>
  <c r="J12" i="3"/>
  <c r="K12" i="3" s="1"/>
  <c r="P12" i="3"/>
  <c r="J38" i="3"/>
  <c r="K38" i="3" s="1"/>
  <c r="P38" i="3"/>
  <c r="J28" i="3"/>
  <c r="K28" i="3" s="1"/>
  <c r="P28" i="3"/>
  <c r="J22" i="3"/>
  <c r="K22" i="3" s="1"/>
  <c r="P22" i="3"/>
  <c r="J9" i="3"/>
  <c r="K9" i="3" s="1"/>
  <c r="P9" i="3"/>
  <c r="J17" i="3"/>
  <c r="K17" i="3" s="1"/>
  <c r="P17" i="3"/>
  <c r="J24" i="3"/>
  <c r="K24" i="3" s="1"/>
  <c r="P24" i="3"/>
  <c r="J13" i="3"/>
  <c r="K13" i="3" s="1"/>
  <c r="P13" i="3"/>
  <c r="J25" i="3"/>
  <c r="K25" i="3" s="1"/>
  <c r="J15" i="3"/>
  <c r="K15" i="3" s="1"/>
  <c r="J30" i="3"/>
  <c r="K30" i="3" s="1"/>
  <c r="J21" i="3"/>
  <c r="K21" i="3" s="1"/>
  <c r="J26" i="3"/>
  <c r="K26" i="3" s="1"/>
  <c r="J11" i="3"/>
  <c r="K11" i="3" s="1"/>
  <c r="J20" i="3"/>
  <c r="K20" i="3" s="1"/>
  <c r="J32" i="3"/>
  <c r="K32" i="3" s="1"/>
  <c r="J6" i="3"/>
  <c r="K6" i="3" s="1"/>
  <c r="J14" i="3"/>
  <c r="K14" i="3" s="1"/>
  <c r="J39" i="3"/>
  <c r="K39" i="3" s="1"/>
  <c r="A13" i="2"/>
  <c r="B14" i="2"/>
  <c r="B4" i="1"/>
  <c r="C4" i="1" s="1"/>
  <c r="A5" i="1"/>
  <c r="R3" i="1" l="1"/>
  <c r="D4" i="1"/>
  <c r="E4" i="1" s="1"/>
  <c r="L4" i="1"/>
  <c r="K4" i="1"/>
  <c r="J4" i="1"/>
  <c r="S3" i="1"/>
  <c r="T3" i="1" s="1"/>
  <c r="W7" i="3"/>
  <c r="W40" i="3"/>
  <c r="W9" i="3"/>
  <c r="W37" i="3"/>
  <c r="W27" i="3"/>
  <c r="W35" i="3"/>
  <c r="W12" i="3"/>
  <c r="W5" i="3"/>
  <c r="W29" i="3"/>
  <c r="W22" i="3"/>
  <c r="W23" i="3"/>
  <c r="W33" i="3"/>
  <c r="W28" i="3"/>
  <c r="W34" i="3"/>
  <c r="W16" i="3"/>
  <c r="W24" i="3"/>
  <c r="W10" i="3"/>
  <c r="W8" i="3"/>
  <c r="W4" i="3"/>
  <c r="W17" i="3"/>
  <c r="W18" i="3"/>
  <c r="W13" i="3"/>
  <c r="W38" i="3"/>
  <c r="W19" i="3"/>
  <c r="W36" i="3"/>
  <c r="W31" i="3"/>
  <c r="W3" i="3"/>
  <c r="Q40" i="3"/>
  <c r="X40" i="3" s="1"/>
  <c r="K40" i="3"/>
  <c r="Q35" i="3"/>
  <c r="X35" i="3" s="1"/>
  <c r="K35" i="3"/>
  <c r="M2" i="3"/>
  <c r="S2" i="3"/>
  <c r="Z2" i="3" s="1"/>
  <c r="Q13" i="3"/>
  <c r="X13" i="3" s="1"/>
  <c r="Q19" i="3"/>
  <c r="X19" i="3" s="1"/>
  <c r="Q36" i="3"/>
  <c r="X36" i="3" s="1"/>
  <c r="Q14" i="3"/>
  <c r="Q6" i="3"/>
  <c r="Q24" i="3"/>
  <c r="X24" i="3" s="1"/>
  <c r="Q12" i="3"/>
  <c r="X12" i="3" s="1"/>
  <c r="Q10" i="3"/>
  <c r="X10" i="3" s="1"/>
  <c r="Q4" i="3"/>
  <c r="X4" i="3" s="1"/>
  <c r="Q32" i="3"/>
  <c r="Q20" i="3"/>
  <c r="Q17" i="3"/>
  <c r="X17" i="3" s="1"/>
  <c r="Q5" i="3"/>
  <c r="X5" i="3" s="1"/>
  <c r="Q7" i="3"/>
  <c r="X7" i="3" s="1"/>
  <c r="Q29" i="3"/>
  <c r="X29" i="3" s="1"/>
  <c r="Q11" i="3"/>
  <c r="Q26" i="3"/>
  <c r="Q9" i="3"/>
  <c r="X9" i="3" s="1"/>
  <c r="Q37" i="3"/>
  <c r="X37" i="3" s="1"/>
  <c r="Q27" i="3"/>
  <c r="X27" i="3" s="1"/>
  <c r="Q21" i="3"/>
  <c r="Q30" i="3"/>
  <c r="Q22" i="3"/>
  <c r="X22" i="3" s="1"/>
  <c r="Q18" i="3"/>
  <c r="X18" i="3" s="1"/>
  <c r="Q25" i="3"/>
  <c r="Q28" i="3"/>
  <c r="X28" i="3" s="1"/>
  <c r="Q34" i="3"/>
  <c r="X34" i="3" s="1"/>
  <c r="Q3" i="3"/>
  <c r="X3" i="3" s="1"/>
  <c r="Q16" i="3"/>
  <c r="X16" i="3" s="1"/>
  <c r="Q39" i="3"/>
  <c r="Q38" i="3"/>
  <c r="X38" i="3" s="1"/>
  <c r="Q31" i="3"/>
  <c r="X31" i="3" s="1"/>
  <c r="Q8" i="3"/>
  <c r="X8" i="3" s="1"/>
  <c r="Q23" i="3"/>
  <c r="X23" i="3" s="1"/>
  <c r="Q33" i="3"/>
  <c r="X33" i="3" s="1"/>
  <c r="Q15" i="3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13" i="2"/>
  <c r="A12" i="2"/>
  <c r="B5" i="1"/>
  <c r="C5" i="1" s="1"/>
  <c r="A6" i="1"/>
  <c r="D5" i="1" l="1"/>
  <c r="E5" i="1" s="1"/>
  <c r="L5" i="1"/>
  <c r="J5" i="1"/>
  <c r="K5" i="1"/>
  <c r="M4" i="1"/>
  <c r="N4" i="1" s="1"/>
  <c r="O4" i="1" s="1"/>
  <c r="P4" i="1" s="1"/>
  <c r="Q4" i="1" s="1"/>
  <c r="X25" i="3"/>
  <c r="X15" i="3"/>
  <c r="X26" i="3"/>
  <c r="X6" i="3"/>
  <c r="X14" i="3"/>
  <c r="X21" i="3"/>
  <c r="X11" i="3"/>
  <c r="X20" i="3"/>
  <c r="X30" i="3"/>
  <c r="X32" i="3"/>
  <c r="X39" i="3"/>
  <c r="U2" i="3"/>
  <c r="AB2" i="3" s="1"/>
  <c r="T2" i="3"/>
  <c r="L4" i="3"/>
  <c r="R4" i="3"/>
  <c r="L28" i="3"/>
  <c r="R28" i="3"/>
  <c r="Y28" i="3" s="1"/>
  <c r="L40" i="3"/>
  <c r="R40" i="3"/>
  <c r="L37" i="3"/>
  <c r="R37" i="3"/>
  <c r="L5" i="3"/>
  <c r="R5" i="3"/>
  <c r="L12" i="3"/>
  <c r="R12" i="3"/>
  <c r="L13" i="3"/>
  <c r="R13" i="3"/>
  <c r="Y13" i="3" s="1"/>
  <c r="L15" i="3"/>
  <c r="R15" i="3"/>
  <c r="Y15" i="3" s="1"/>
  <c r="L39" i="3"/>
  <c r="R39" i="3"/>
  <c r="Y39" i="3" s="1"/>
  <c r="L36" i="3"/>
  <c r="R36" i="3"/>
  <c r="Y36" i="3" s="1"/>
  <c r="L21" i="3"/>
  <c r="R21" i="3"/>
  <c r="Y21" i="3" s="1"/>
  <c r="L29" i="3"/>
  <c r="R29" i="3"/>
  <c r="Y29" i="3" s="1"/>
  <c r="L31" i="3"/>
  <c r="R31" i="3"/>
  <c r="L27" i="3"/>
  <c r="R27" i="3"/>
  <c r="L10" i="3"/>
  <c r="R10" i="3"/>
  <c r="L38" i="3"/>
  <c r="R38" i="3"/>
  <c r="L9" i="3"/>
  <c r="R9" i="3"/>
  <c r="Y9" i="3" s="1"/>
  <c r="L24" i="3"/>
  <c r="R24" i="3"/>
  <c r="L16" i="3"/>
  <c r="R16" i="3"/>
  <c r="Y16" i="3" s="1"/>
  <c r="L22" i="3"/>
  <c r="R22" i="3"/>
  <c r="Y22" i="3" s="1"/>
  <c r="L26" i="3"/>
  <c r="R26" i="3"/>
  <c r="Y26" i="3" s="1"/>
  <c r="L6" i="3"/>
  <c r="R6" i="3"/>
  <c r="Y6" i="3" s="1"/>
  <c r="L3" i="3"/>
  <c r="R3" i="3"/>
  <c r="L30" i="3"/>
  <c r="R30" i="3"/>
  <c r="Y30" i="3" s="1"/>
  <c r="L11" i="3"/>
  <c r="R11" i="3"/>
  <c r="Y11" i="3" s="1"/>
  <c r="L32" i="3"/>
  <c r="R32" i="3"/>
  <c r="Y32" i="3" s="1"/>
  <c r="L14" i="3"/>
  <c r="R14" i="3"/>
  <c r="Y14" i="3" s="1"/>
  <c r="L7" i="3"/>
  <c r="R7" i="3"/>
  <c r="Y7" i="3" s="1"/>
  <c r="L19" i="3"/>
  <c r="R19" i="3"/>
  <c r="Y19" i="3" s="1"/>
  <c r="L35" i="3"/>
  <c r="R35" i="3"/>
  <c r="Y35" i="3" s="1"/>
  <c r="L25" i="3"/>
  <c r="R25" i="3"/>
  <c r="Y25" i="3" s="1"/>
  <c r="L18" i="3"/>
  <c r="R18" i="3"/>
  <c r="Y18" i="3" s="1"/>
  <c r="L17" i="3"/>
  <c r="R17" i="3"/>
  <c r="L33" i="3"/>
  <c r="R33" i="3"/>
  <c r="Y33" i="3" s="1"/>
  <c r="L20" i="3"/>
  <c r="R20" i="3"/>
  <c r="Y20" i="3" s="1"/>
  <c r="L23" i="3"/>
  <c r="R23" i="3"/>
  <c r="Y23" i="3" s="1"/>
  <c r="L8" i="3"/>
  <c r="R8" i="3"/>
  <c r="Y8" i="3" s="1"/>
  <c r="L34" i="3"/>
  <c r="R34" i="3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B12" i="2"/>
  <c r="A11" i="2"/>
  <c r="A7" i="1"/>
  <c r="B6" i="1"/>
  <c r="C6" i="1" s="1"/>
  <c r="M5" i="1" l="1"/>
  <c r="N5" i="1" s="1"/>
  <c r="O5" i="1" s="1"/>
  <c r="P5" i="1" s="1"/>
  <c r="Q5" i="1" s="1"/>
  <c r="R4" i="1"/>
  <c r="D6" i="1"/>
  <c r="E6" i="1" s="1"/>
  <c r="K6" i="1"/>
  <c r="L6" i="1"/>
  <c r="J6" i="1"/>
  <c r="S4" i="1"/>
  <c r="T4" i="1" s="1"/>
  <c r="Y31" i="3"/>
  <c r="Y4" i="3"/>
  <c r="Y24" i="3"/>
  <c r="Y12" i="3"/>
  <c r="Y3" i="3"/>
  <c r="Y5" i="3"/>
  <c r="Y38" i="3"/>
  <c r="Y37" i="3"/>
  <c r="Y17" i="3"/>
  <c r="Y10" i="3"/>
  <c r="Y40" i="3"/>
  <c r="Y34" i="3"/>
  <c r="Y27" i="3"/>
  <c r="AA2" i="3"/>
  <c r="AC2" i="3" s="1"/>
  <c r="AD2" i="3"/>
  <c r="AE2" i="3" s="1"/>
  <c r="M30" i="3"/>
  <c r="S30" i="3"/>
  <c r="M20" i="3"/>
  <c r="S20" i="3"/>
  <c r="M3" i="3"/>
  <c r="S3" i="3"/>
  <c r="Z3" i="3" s="1"/>
  <c r="M6" i="3"/>
  <c r="S6" i="3"/>
  <c r="Z6" i="3" s="1"/>
  <c r="M36" i="3"/>
  <c r="S36" i="3"/>
  <c r="Z36" i="3" s="1"/>
  <c r="M37" i="3"/>
  <c r="S37" i="3"/>
  <c r="Z37" i="3" s="1"/>
  <c r="M12" i="3"/>
  <c r="S12" i="3"/>
  <c r="Z12" i="3" s="1"/>
  <c r="M21" i="3"/>
  <c r="S21" i="3"/>
  <c r="M35" i="3"/>
  <c r="S35" i="3"/>
  <c r="Z35" i="3" s="1"/>
  <c r="M29" i="3"/>
  <c r="S29" i="3"/>
  <c r="M19" i="3"/>
  <c r="S19" i="3"/>
  <c r="M7" i="3"/>
  <c r="S7" i="3"/>
  <c r="Z7" i="3" s="1"/>
  <c r="M40" i="3"/>
  <c r="S40" i="3"/>
  <c r="Z40" i="3" s="1"/>
  <c r="M5" i="3"/>
  <c r="S5" i="3"/>
  <c r="Z5" i="3" s="1"/>
  <c r="M33" i="3"/>
  <c r="S33" i="3"/>
  <c r="Z33" i="3" s="1"/>
  <c r="M38" i="3"/>
  <c r="S38" i="3"/>
  <c r="Z38" i="3" s="1"/>
  <c r="M39" i="3"/>
  <c r="S39" i="3"/>
  <c r="M23" i="3"/>
  <c r="S23" i="3"/>
  <c r="Z23" i="3" s="1"/>
  <c r="M24" i="3"/>
  <c r="S24" i="3"/>
  <c r="Z24" i="3" s="1"/>
  <c r="M9" i="3"/>
  <c r="S9" i="3"/>
  <c r="Z9" i="3" s="1"/>
  <c r="M17" i="3"/>
  <c r="S17" i="3"/>
  <c r="Z17" i="3" s="1"/>
  <c r="M34" i="3"/>
  <c r="S34" i="3"/>
  <c r="Z34" i="3" s="1"/>
  <c r="M18" i="3"/>
  <c r="S18" i="3"/>
  <c r="M32" i="3"/>
  <c r="S32" i="3"/>
  <c r="Z32" i="3" s="1"/>
  <c r="M22" i="3"/>
  <c r="S22" i="3"/>
  <c r="Z22" i="3" s="1"/>
  <c r="M27" i="3"/>
  <c r="S27" i="3"/>
  <c r="Z27" i="3" s="1"/>
  <c r="M15" i="3"/>
  <c r="S15" i="3"/>
  <c r="Z15" i="3" s="1"/>
  <c r="M28" i="3"/>
  <c r="S28" i="3"/>
  <c r="M26" i="3"/>
  <c r="S26" i="3"/>
  <c r="M14" i="3"/>
  <c r="S14" i="3"/>
  <c r="M10" i="3"/>
  <c r="S10" i="3"/>
  <c r="Z10" i="3" s="1"/>
  <c r="M8" i="3"/>
  <c r="S8" i="3"/>
  <c r="Z8" i="3" s="1"/>
  <c r="M25" i="3"/>
  <c r="S25" i="3"/>
  <c r="Z25" i="3" s="1"/>
  <c r="M11" i="3"/>
  <c r="S11" i="3"/>
  <c r="M16" i="3"/>
  <c r="S16" i="3"/>
  <c r="Z16" i="3" s="1"/>
  <c r="M31" i="3"/>
  <c r="S31" i="3"/>
  <c r="Z31" i="3" s="1"/>
  <c r="M13" i="3"/>
  <c r="S13" i="3"/>
  <c r="Z13" i="3" s="1"/>
  <c r="M4" i="3"/>
  <c r="S4" i="3"/>
  <c r="Z4" i="3" s="1"/>
  <c r="AY13" i="2"/>
  <c r="AZ13" i="2" s="1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11" i="2"/>
  <c r="A10" i="2"/>
  <c r="A8" i="1"/>
  <c r="B7" i="1"/>
  <c r="C7" i="1" s="1"/>
  <c r="R5" i="1" l="1"/>
  <c r="S5" i="1"/>
  <c r="T5" i="1" s="1"/>
  <c r="M6" i="1"/>
  <c r="N6" i="1" s="1"/>
  <c r="O6" i="1" s="1"/>
  <c r="P6" i="1" s="1"/>
  <c r="Q6" i="1" s="1"/>
  <c r="D7" i="1"/>
  <c r="E7" i="1" s="1"/>
  <c r="L7" i="1"/>
  <c r="K7" i="1"/>
  <c r="J7" i="1"/>
  <c r="Z20" i="3"/>
  <c r="Z21" i="3"/>
  <c r="Z30" i="3"/>
  <c r="Z14" i="3"/>
  <c r="Z18" i="3"/>
  <c r="Z26" i="3"/>
  <c r="Z39" i="3"/>
  <c r="Z19" i="3"/>
  <c r="Z11" i="3"/>
  <c r="Z28" i="3"/>
  <c r="Z29" i="3"/>
  <c r="U15" i="3"/>
  <c r="AB15" i="3" s="1"/>
  <c r="T15" i="3"/>
  <c r="U33" i="3"/>
  <c r="AB33" i="3" s="1"/>
  <c r="T33" i="3"/>
  <c r="AA33" i="3" s="1"/>
  <c r="U3" i="3"/>
  <c r="AB3" i="3" s="1"/>
  <c r="T3" i="3"/>
  <c r="AA3" i="3" s="1"/>
  <c r="U4" i="3"/>
  <c r="AB4" i="3" s="1"/>
  <c r="T4" i="3"/>
  <c r="AA4" i="3" s="1"/>
  <c r="U27" i="3"/>
  <c r="AB27" i="3" s="1"/>
  <c r="T27" i="3"/>
  <c r="AA27" i="3" s="1"/>
  <c r="U5" i="3"/>
  <c r="AB5" i="3" s="1"/>
  <c r="T5" i="3"/>
  <c r="AA5" i="3" s="1"/>
  <c r="U20" i="3"/>
  <c r="AB20" i="3" s="1"/>
  <c r="T20" i="3"/>
  <c r="AA20" i="3" s="1"/>
  <c r="U13" i="3"/>
  <c r="AB13" i="3" s="1"/>
  <c r="T13" i="3"/>
  <c r="AA13" i="3" s="1"/>
  <c r="U10" i="3"/>
  <c r="AB10" i="3" s="1"/>
  <c r="T10" i="3"/>
  <c r="AA10" i="3" s="1"/>
  <c r="U22" i="3"/>
  <c r="AB22" i="3" s="1"/>
  <c r="T22" i="3"/>
  <c r="U24" i="3"/>
  <c r="AB24" i="3" s="1"/>
  <c r="T24" i="3"/>
  <c r="AA24" i="3" s="1"/>
  <c r="U40" i="3"/>
  <c r="AB40" i="3" s="1"/>
  <c r="T40" i="3"/>
  <c r="AA40" i="3" s="1"/>
  <c r="U12" i="3"/>
  <c r="AB12" i="3" s="1"/>
  <c r="T12" i="3"/>
  <c r="U30" i="3"/>
  <c r="AB30" i="3" s="1"/>
  <c r="T30" i="3"/>
  <c r="AA30" i="3" s="1"/>
  <c r="U31" i="3"/>
  <c r="AB31" i="3" s="1"/>
  <c r="T31" i="3"/>
  <c r="AA31" i="3" s="1"/>
  <c r="U14" i="3"/>
  <c r="AB14" i="3" s="1"/>
  <c r="T14" i="3"/>
  <c r="AA14" i="3" s="1"/>
  <c r="U32" i="3"/>
  <c r="AB32" i="3" s="1"/>
  <c r="T32" i="3"/>
  <c r="AA32" i="3" s="1"/>
  <c r="U23" i="3"/>
  <c r="AB23" i="3" s="1"/>
  <c r="T23" i="3"/>
  <c r="AA23" i="3" s="1"/>
  <c r="U7" i="3"/>
  <c r="AB7" i="3" s="1"/>
  <c r="T7" i="3"/>
  <c r="U37" i="3"/>
  <c r="AB37" i="3" s="1"/>
  <c r="T37" i="3"/>
  <c r="U11" i="3"/>
  <c r="AB11" i="3" s="1"/>
  <c r="T11" i="3"/>
  <c r="AA11" i="3" s="1"/>
  <c r="U28" i="3"/>
  <c r="AB28" i="3" s="1"/>
  <c r="T28" i="3"/>
  <c r="AA28" i="3" s="1"/>
  <c r="U34" i="3"/>
  <c r="AB34" i="3" s="1"/>
  <c r="T34" i="3"/>
  <c r="U38" i="3"/>
  <c r="AB38" i="3" s="1"/>
  <c r="T38" i="3"/>
  <c r="U29" i="3"/>
  <c r="AB29" i="3" s="1"/>
  <c r="T29" i="3"/>
  <c r="U6" i="3"/>
  <c r="AB6" i="3" s="1"/>
  <c r="T6" i="3"/>
  <c r="AA6" i="3" s="1"/>
  <c r="U25" i="3"/>
  <c r="AB25" i="3" s="1"/>
  <c r="T25" i="3"/>
  <c r="U17" i="3"/>
  <c r="AB17" i="3" s="1"/>
  <c r="T17" i="3"/>
  <c r="U35" i="3"/>
  <c r="AB35" i="3" s="1"/>
  <c r="T35" i="3"/>
  <c r="AA35" i="3" s="1"/>
  <c r="U8" i="3"/>
  <c r="AB8" i="3" s="1"/>
  <c r="T8" i="3"/>
  <c r="U9" i="3"/>
  <c r="AB9" i="3" s="1"/>
  <c r="T9" i="3"/>
  <c r="U21" i="3"/>
  <c r="AB21" i="3" s="1"/>
  <c r="T21" i="3"/>
  <c r="AA21" i="3" s="1"/>
  <c r="U16" i="3"/>
  <c r="AB16" i="3" s="1"/>
  <c r="T16" i="3"/>
  <c r="AA16" i="3" s="1"/>
  <c r="U26" i="3"/>
  <c r="AB26" i="3" s="1"/>
  <c r="T26" i="3"/>
  <c r="AA26" i="3" s="1"/>
  <c r="U18" i="3"/>
  <c r="AB18" i="3" s="1"/>
  <c r="T18" i="3"/>
  <c r="AA18" i="3" s="1"/>
  <c r="U39" i="3"/>
  <c r="AB39" i="3" s="1"/>
  <c r="T39" i="3"/>
  <c r="AA39" i="3" s="1"/>
  <c r="U19" i="3"/>
  <c r="AB19" i="3" s="1"/>
  <c r="T19" i="3"/>
  <c r="AA19" i="3" s="1"/>
  <c r="U36" i="3"/>
  <c r="AB36" i="3" s="1"/>
  <c r="T36" i="3"/>
  <c r="AA36" i="3" s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B10" i="2"/>
  <c r="A9" i="2"/>
  <c r="A9" i="1"/>
  <c r="B8" i="1"/>
  <c r="C8" i="1" s="1"/>
  <c r="R6" i="1" l="1"/>
  <c r="S6" i="1"/>
  <c r="T6" i="1" s="1"/>
  <c r="M7" i="1"/>
  <c r="N7" i="1" s="1"/>
  <c r="O7" i="1" s="1"/>
  <c r="P7" i="1" s="1"/>
  <c r="Q7" i="1" s="1"/>
  <c r="D8" i="1"/>
  <c r="E8" i="1" s="1"/>
  <c r="K8" i="1"/>
  <c r="L8" i="1"/>
  <c r="J8" i="1"/>
  <c r="AC4" i="3"/>
  <c r="AC24" i="3"/>
  <c r="AC6" i="3"/>
  <c r="AC13" i="3"/>
  <c r="AC35" i="3"/>
  <c r="AC32" i="3"/>
  <c r="AC27" i="3"/>
  <c r="AC16" i="3"/>
  <c r="AC31" i="3"/>
  <c r="AC10" i="3"/>
  <c r="AC3" i="3"/>
  <c r="AC40" i="3"/>
  <c r="AC18" i="3"/>
  <c r="AC36" i="3"/>
  <c r="AC33" i="3"/>
  <c r="AC14" i="3"/>
  <c r="AD29" i="3"/>
  <c r="AE29" i="3" s="1"/>
  <c r="AC23" i="3"/>
  <c r="AC5" i="3"/>
  <c r="AC28" i="3"/>
  <c r="AC20" i="3"/>
  <c r="AC11" i="3"/>
  <c r="AC39" i="3"/>
  <c r="AC30" i="3"/>
  <c r="AC21" i="3"/>
  <c r="AC19" i="3"/>
  <c r="AC26" i="3"/>
  <c r="AD30" i="3"/>
  <c r="AE30" i="3" s="1"/>
  <c r="AD13" i="3"/>
  <c r="AE13" i="3" s="1"/>
  <c r="AD35" i="3"/>
  <c r="AE35" i="3" s="1"/>
  <c r="AD18" i="3"/>
  <c r="AE18" i="3" s="1"/>
  <c r="AD10" i="3"/>
  <c r="AE10" i="3" s="1"/>
  <c r="AD3" i="3"/>
  <c r="AE3" i="3" s="1"/>
  <c r="AD40" i="3"/>
  <c r="AE40" i="3" s="1"/>
  <c r="AA34" i="3"/>
  <c r="AC34" i="3" s="1"/>
  <c r="AD34" i="3"/>
  <c r="AE34" i="3" s="1"/>
  <c r="AD16" i="3"/>
  <c r="AE16" i="3" s="1"/>
  <c r="AD27" i="3"/>
  <c r="AE27" i="3" s="1"/>
  <c r="AD26" i="3"/>
  <c r="AE26" i="3" s="1"/>
  <c r="AD32" i="3"/>
  <c r="AE32" i="3" s="1"/>
  <c r="AA17" i="3"/>
  <c r="AC17" i="3" s="1"/>
  <c r="AD17" i="3"/>
  <c r="AE17" i="3" s="1"/>
  <c r="AD24" i="3"/>
  <c r="AE24" i="3" s="1"/>
  <c r="AA25" i="3"/>
  <c r="AC25" i="3" s="1"/>
  <c r="AD25" i="3"/>
  <c r="AE25" i="3" s="1"/>
  <c r="AD28" i="3"/>
  <c r="AE28" i="3" s="1"/>
  <c r="AD5" i="3"/>
  <c r="AE5" i="3" s="1"/>
  <c r="AD11" i="3"/>
  <c r="AE11" i="3" s="1"/>
  <c r="AD33" i="3"/>
  <c r="AE33" i="3" s="1"/>
  <c r="AD36" i="3"/>
  <c r="AE36" i="3" s="1"/>
  <c r="AD23" i="3"/>
  <c r="AE23" i="3" s="1"/>
  <c r="AA37" i="3"/>
  <c r="AC37" i="3" s="1"/>
  <c r="AD37" i="3"/>
  <c r="AE37" i="3" s="1"/>
  <c r="AA9" i="3"/>
  <c r="AC9" i="3" s="1"/>
  <c r="AD9" i="3"/>
  <c r="AE9" i="3" s="1"/>
  <c r="AD7" i="3"/>
  <c r="AE7" i="3" s="1"/>
  <c r="AA15" i="3"/>
  <c r="AC15" i="3" s="1"/>
  <c r="AD15" i="3"/>
  <c r="AE15" i="3" s="1"/>
  <c r="AD4" i="3"/>
  <c r="AE4" i="3" s="1"/>
  <c r="AD6" i="3"/>
  <c r="AE6" i="3" s="1"/>
  <c r="AD21" i="3"/>
  <c r="AE21" i="3" s="1"/>
  <c r="AD19" i="3"/>
  <c r="AE19" i="3" s="1"/>
  <c r="AA8" i="3"/>
  <c r="AC8" i="3" s="1"/>
  <c r="AD8" i="3"/>
  <c r="AE8" i="3" s="1"/>
  <c r="AD31" i="3"/>
  <c r="AE31" i="3" s="1"/>
  <c r="AD14" i="3"/>
  <c r="AE14" i="3" s="1"/>
  <c r="AD12" i="3"/>
  <c r="AE12" i="3" s="1"/>
  <c r="AA38" i="3"/>
  <c r="AC38" i="3" s="1"/>
  <c r="AD38" i="3"/>
  <c r="AE38" i="3" s="1"/>
  <c r="AD39" i="3"/>
  <c r="AE39" i="3" s="1"/>
  <c r="AD22" i="3"/>
  <c r="AE22" i="3" s="1"/>
  <c r="AD20" i="3"/>
  <c r="AE20" i="3" s="1"/>
  <c r="AA7" i="3"/>
  <c r="AC7" i="3" s="1"/>
  <c r="AA22" i="3"/>
  <c r="AC22" i="3" s="1"/>
  <c r="AA29" i="3"/>
  <c r="AC29" i="3" s="1"/>
  <c r="AA12" i="3"/>
  <c r="AC12" i="3" s="1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A10" i="1"/>
  <c r="B9" i="1"/>
  <c r="C9" i="1" s="1"/>
  <c r="R7" i="1" l="1"/>
  <c r="M8" i="1"/>
  <c r="N8" i="1" s="1"/>
  <c r="O8" i="1" s="1"/>
  <c r="P8" i="1" s="1"/>
  <c r="Q8" i="1" s="1"/>
  <c r="D9" i="1"/>
  <c r="E9" i="1" s="1"/>
  <c r="K9" i="1"/>
  <c r="J9" i="1"/>
  <c r="L9" i="1"/>
  <c r="S7" i="1"/>
  <c r="T7" i="1" s="1"/>
  <c r="A11" i="1"/>
  <c r="B10" i="1"/>
  <c r="C10" i="1" s="1"/>
  <c r="S8" i="1" l="1"/>
  <c r="T8" i="1" s="1"/>
  <c r="R8" i="1"/>
  <c r="D10" i="1"/>
  <c r="E10" i="1" s="1"/>
  <c r="K10" i="1"/>
  <c r="J10" i="1"/>
  <c r="L10" i="1"/>
  <c r="M9" i="1"/>
  <c r="N9" i="1" s="1"/>
  <c r="O9" i="1" s="1"/>
  <c r="P9" i="1" s="1"/>
  <c r="Q9" i="1" s="1"/>
  <c r="A12" i="1"/>
  <c r="B11" i="1"/>
  <c r="C11" i="1" s="1"/>
  <c r="R9" i="1" l="1"/>
  <c r="D11" i="1"/>
  <c r="E11" i="1" s="1"/>
  <c r="K11" i="1"/>
  <c r="L11" i="1"/>
  <c r="J11" i="1"/>
  <c r="M10" i="1"/>
  <c r="N10" i="1" s="1"/>
  <c r="O10" i="1" s="1"/>
  <c r="P10" i="1" s="1"/>
  <c r="Q10" i="1" s="1"/>
  <c r="S9" i="1"/>
  <c r="T9" i="1" s="1"/>
  <c r="A13" i="1"/>
  <c r="B12" i="1"/>
  <c r="C12" i="1" s="1"/>
  <c r="R10" i="1" l="1"/>
  <c r="M11" i="1"/>
  <c r="N11" i="1" s="1"/>
  <c r="O11" i="1" s="1"/>
  <c r="P11" i="1" s="1"/>
  <c r="Q11" i="1" s="1"/>
  <c r="D12" i="1"/>
  <c r="E12" i="1" s="1"/>
  <c r="J12" i="1"/>
  <c r="K12" i="1"/>
  <c r="L12" i="1"/>
  <c r="S10" i="1"/>
  <c r="T10" i="1" s="1"/>
  <c r="A14" i="1"/>
  <c r="B13" i="1"/>
  <c r="C13" i="1" s="1"/>
  <c r="S11" i="1" l="1"/>
  <c r="T11" i="1" s="1"/>
  <c r="R11" i="1"/>
  <c r="D13" i="1"/>
  <c r="E13" i="1" s="1"/>
  <c r="J13" i="1"/>
  <c r="L13" i="1"/>
  <c r="K13" i="1"/>
  <c r="M12" i="1"/>
  <c r="N12" i="1" s="1"/>
  <c r="O12" i="1" s="1"/>
  <c r="P12" i="1" s="1"/>
  <c r="Q12" i="1" s="1"/>
  <c r="A15" i="1"/>
  <c r="B14" i="1"/>
  <c r="C14" i="1" s="1"/>
  <c r="D14" i="1" l="1"/>
  <c r="E14" i="1" s="1"/>
  <c r="J14" i="1"/>
  <c r="K14" i="1"/>
  <c r="L14" i="1"/>
  <c r="S12" i="1"/>
  <c r="T12" i="1" s="1"/>
  <c r="R12" i="1"/>
  <c r="M13" i="1"/>
  <c r="N13" i="1" s="1"/>
  <c r="O13" i="1" s="1"/>
  <c r="P13" i="1" s="1"/>
  <c r="Q13" i="1" s="1"/>
  <c r="A16" i="1"/>
  <c r="B15" i="1"/>
  <c r="C15" i="1" s="1"/>
  <c r="M14" i="1" l="1"/>
  <c r="N14" i="1" s="1"/>
  <c r="O14" i="1" s="1"/>
  <c r="P14" i="1" s="1"/>
  <c r="Q14" i="1" s="1"/>
  <c r="D15" i="1"/>
  <c r="E15" i="1" s="1"/>
  <c r="L15" i="1"/>
  <c r="J15" i="1"/>
  <c r="K15" i="1"/>
  <c r="S13" i="1"/>
  <c r="T13" i="1" s="1"/>
  <c r="R13" i="1"/>
  <c r="A17" i="1"/>
  <c r="B16" i="1"/>
  <c r="C16" i="1" s="1"/>
  <c r="D16" i="1" l="1"/>
  <c r="E16" i="1" s="1"/>
  <c r="L16" i="1"/>
  <c r="J16" i="1"/>
  <c r="K16" i="1"/>
  <c r="S14" i="1"/>
  <c r="T14" i="1" s="1"/>
  <c r="R14" i="1"/>
  <c r="M15" i="1"/>
  <c r="N15" i="1" s="1"/>
  <c r="O15" i="1" s="1"/>
  <c r="P15" i="1" s="1"/>
  <c r="Q15" i="1" s="1"/>
  <c r="A18" i="1"/>
  <c r="B17" i="1"/>
  <c r="C17" i="1" s="1"/>
  <c r="D17" i="1" l="1"/>
  <c r="E17" i="1" s="1"/>
  <c r="L17" i="1"/>
  <c r="J17" i="1"/>
  <c r="K17" i="1"/>
  <c r="S15" i="1"/>
  <c r="T15" i="1" s="1"/>
  <c r="R15" i="1"/>
  <c r="M16" i="1"/>
  <c r="N16" i="1" s="1"/>
  <c r="O16" i="1" s="1"/>
  <c r="P16" i="1" s="1"/>
  <c r="Q16" i="1" s="1"/>
  <c r="A19" i="1"/>
  <c r="B18" i="1"/>
  <c r="C18" i="1" s="1"/>
  <c r="S16" i="1" l="1"/>
  <c r="T16" i="1" s="1"/>
  <c r="M17" i="1"/>
  <c r="N17" i="1" s="1"/>
  <c r="O17" i="1" s="1"/>
  <c r="P17" i="1" s="1"/>
  <c r="Q17" i="1" s="1"/>
  <c r="D18" i="1"/>
  <c r="E18" i="1" s="1"/>
  <c r="K18" i="1"/>
  <c r="L18" i="1"/>
  <c r="J18" i="1"/>
  <c r="R16" i="1"/>
  <c r="A20" i="1"/>
  <c r="B19" i="1"/>
  <c r="C19" i="1" s="1"/>
  <c r="S17" i="1" l="1"/>
  <c r="T17" i="1" s="1"/>
  <c r="R17" i="1"/>
  <c r="M18" i="1"/>
  <c r="N18" i="1" s="1"/>
  <c r="O18" i="1" s="1"/>
  <c r="P18" i="1" s="1"/>
  <c r="Q18" i="1" s="1"/>
  <c r="D19" i="1"/>
  <c r="E19" i="1" s="1"/>
  <c r="K19" i="1"/>
  <c r="L19" i="1"/>
  <c r="J19" i="1"/>
  <c r="A21" i="1"/>
  <c r="B20" i="1"/>
  <c r="C20" i="1" s="1"/>
  <c r="D20" i="1" l="1"/>
  <c r="E20" i="1" s="1"/>
  <c r="K20" i="1"/>
  <c r="L20" i="1"/>
  <c r="J20" i="1"/>
  <c r="M19" i="1"/>
  <c r="N19" i="1" s="1"/>
  <c r="O19" i="1" s="1"/>
  <c r="P19" i="1" s="1"/>
  <c r="Q19" i="1" s="1"/>
  <c r="R18" i="1"/>
  <c r="S18" i="1"/>
  <c r="T18" i="1" s="1"/>
  <c r="A22" i="1"/>
  <c r="B21" i="1"/>
  <c r="C21" i="1" s="1"/>
  <c r="S19" i="1" l="1"/>
  <c r="T19" i="1" s="1"/>
  <c r="R19" i="1"/>
  <c r="D21" i="1"/>
  <c r="E21" i="1" s="1"/>
  <c r="K21" i="1"/>
  <c r="L21" i="1"/>
  <c r="J21" i="1"/>
  <c r="M20" i="1"/>
  <c r="N20" i="1" s="1"/>
  <c r="O20" i="1" s="1"/>
  <c r="P20" i="1" s="1"/>
  <c r="Q20" i="1" s="1"/>
  <c r="A23" i="1"/>
  <c r="B22" i="1"/>
  <c r="C22" i="1" s="1"/>
  <c r="R20" i="1" l="1"/>
  <c r="M21" i="1"/>
  <c r="N21" i="1" s="1"/>
  <c r="O21" i="1" s="1"/>
  <c r="P21" i="1" s="1"/>
  <c r="Q21" i="1" s="1"/>
  <c r="D22" i="1"/>
  <c r="E22" i="1" s="1"/>
  <c r="J22" i="1"/>
  <c r="K22" i="1"/>
  <c r="L22" i="1"/>
  <c r="S20" i="1"/>
  <c r="T20" i="1" s="1"/>
  <c r="A24" i="1"/>
  <c r="B23" i="1"/>
  <c r="C23" i="1" s="1"/>
  <c r="D23" i="1" l="1"/>
  <c r="E23" i="1" s="1"/>
  <c r="K23" i="1"/>
  <c r="L23" i="1"/>
  <c r="J23" i="1"/>
  <c r="S21" i="1"/>
  <c r="T21" i="1" s="1"/>
  <c r="M22" i="1"/>
  <c r="N22" i="1" s="1"/>
  <c r="O22" i="1" s="1"/>
  <c r="P22" i="1" s="1"/>
  <c r="Q22" i="1" s="1"/>
  <c r="R21" i="1"/>
  <c r="A25" i="1"/>
  <c r="B24" i="1"/>
  <c r="C24" i="1" s="1"/>
  <c r="R22" i="1" l="1"/>
  <c r="M23" i="1"/>
  <c r="N23" i="1" s="1"/>
  <c r="O23" i="1" s="1"/>
  <c r="P23" i="1" s="1"/>
  <c r="Q23" i="1" s="1"/>
  <c r="D24" i="1"/>
  <c r="E24" i="1" s="1"/>
  <c r="J24" i="1"/>
  <c r="L24" i="1"/>
  <c r="K24" i="1"/>
  <c r="S22" i="1"/>
  <c r="T22" i="1" s="1"/>
  <c r="A26" i="1"/>
  <c r="B25" i="1"/>
  <c r="C25" i="1" s="1"/>
  <c r="M24" i="1" l="1"/>
  <c r="N24" i="1" s="1"/>
  <c r="O24" i="1" s="1"/>
  <c r="P24" i="1" s="1"/>
  <c r="Q24" i="1" s="1"/>
  <c r="R23" i="1"/>
  <c r="D25" i="1"/>
  <c r="E25" i="1" s="1"/>
  <c r="L25" i="1"/>
  <c r="J25" i="1"/>
  <c r="K25" i="1"/>
  <c r="S23" i="1"/>
  <c r="T23" i="1" s="1"/>
  <c r="A27" i="1"/>
  <c r="B26" i="1"/>
  <c r="C26" i="1" s="1"/>
  <c r="D26" i="1" l="1"/>
  <c r="E26" i="1" s="1"/>
  <c r="J26" i="1"/>
  <c r="K26" i="1"/>
  <c r="L26" i="1"/>
  <c r="M25" i="1"/>
  <c r="N25" i="1" s="1"/>
  <c r="O25" i="1" s="1"/>
  <c r="P25" i="1" s="1"/>
  <c r="Q25" i="1" s="1"/>
  <c r="R24" i="1"/>
  <c r="S24" i="1"/>
  <c r="T24" i="1" s="1"/>
  <c r="A28" i="1"/>
  <c r="B27" i="1"/>
  <c r="C27" i="1" s="1"/>
  <c r="D27" i="1" l="1"/>
  <c r="E27" i="1" s="1"/>
  <c r="L27" i="1"/>
  <c r="J27" i="1"/>
  <c r="K27" i="1"/>
  <c r="S25" i="1"/>
  <c r="T25" i="1" s="1"/>
  <c r="R25" i="1"/>
  <c r="M26" i="1"/>
  <c r="N26" i="1" s="1"/>
  <c r="O26" i="1" s="1"/>
  <c r="P26" i="1" s="1"/>
  <c r="Q26" i="1" s="1"/>
  <c r="A29" i="1"/>
  <c r="B28" i="1"/>
  <c r="C28" i="1" s="1"/>
  <c r="D28" i="1" l="1"/>
  <c r="E28" i="1" s="1"/>
  <c r="K28" i="1"/>
  <c r="J28" i="1"/>
  <c r="L28" i="1"/>
  <c r="S26" i="1"/>
  <c r="T26" i="1" s="1"/>
  <c r="R26" i="1"/>
  <c r="M27" i="1"/>
  <c r="N27" i="1" s="1"/>
  <c r="O27" i="1" s="1"/>
  <c r="P27" i="1" s="1"/>
  <c r="Q27" i="1" s="1"/>
  <c r="A30" i="1"/>
  <c r="B29" i="1"/>
  <c r="C29" i="1" s="1"/>
  <c r="D29" i="1" l="1"/>
  <c r="E29" i="1" s="1"/>
  <c r="L29" i="1"/>
  <c r="J29" i="1"/>
  <c r="K29" i="1"/>
  <c r="S27" i="1"/>
  <c r="T27" i="1" s="1"/>
  <c r="R27" i="1"/>
  <c r="M28" i="1"/>
  <c r="N28" i="1" s="1"/>
  <c r="O28" i="1" s="1"/>
  <c r="P28" i="1" s="1"/>
  <c r="Q28" i="1" s="1"/>
  <c r="A31" i="1"/>
  <c r="B30" i="1"/>
  <c r="C30" i="1" s="1"/>
  <c r="D30" i="1" l="1"/>
  <c r="E30" i="1" s="1"/>
  <c r="K30" i="1"/>
  <c r="L30" i="1"/>
  <c r="J30" i="1"/>
  <c r="R28" i="1"/>
  <c r="S28" i="1"/>
  <c r="T28" i="1" s="1"/>
  <c r="M29" i="1"/>
  <c r="N29" i="1" s="1"/>
  <c r="O29" i="1" s="1"/>
  <c r="P29" i="1" s="1"/>
  <c r="Q29" i="1" s="1"/>
  <c r="A32" i="1"/>
  <c r="B31" i="1"/>
  <c r="C31" i="1" s="1"/>
  <c r="D31" i="1" l="1"/>
  <c r="E31" i="1" s="1"/>
  <c r="K31" i="1"/>
  <c r="L31" i="1"/>
  <c r="J31" i="1"/>
  <c r="S29" i="1"/>
  <c r="T29" i="1" s="1"/>
  <c r="R29" i="1"/>
  <c r="M30" i="1"/>
  <c r="N30" i="1" s="1"/>
  <c r="O30" i="1" s="1"/>
  <c r="P30" i="1" s="1"/>
  <c r="Q30" i="1" s="1"/>
  <c r="A33" i="1"/>
  <c r="B32" i="1"/>
  <c r="C32" i="1" s="1"/>
  <c r="S30" i="1" l="1"/>
  <c r="T30" i="1" s="1"/>
  <c r="M31" i="1"/>
  <c r="N31" i="1" s="1"/>
  <c r="O31" i="1" s="1"/>
  <c r="P31" i="1" s="1"/>
  <c r="Q31" i="1" s="1"/>
  <c r="D32" i="1"/>
  <c r="E32" i="1" s="1"/>
  <c r="K32" i="1"/>
  <c r="L32" i="1"/>
  <c r="J32" i="1"/>
  <c r="R30" i="1"/>
  <c r="A34" i="1"/>
  <c r="B33" i="1"/>
  <c r="C33" i="1" s="1"/>
  <c r="S31" i="1" l="1"/>
  <c r="T31" i="1" s="1"/>
  <c r="D33" i="1"/>
  <c r="E33" i="1" s="1"/>
  <c r="K33" i="1"/>
  <c r="J33" i="1"/>
  <c r="L33" i="1"/>
  <c r="M32" i="1"/>
  <c r="N32" i="1" s="1"/>
  <c r="O32" i="1" s="1"/>
  <c r="P32" i="1" s="1"/>
  <c r="Q32" i="1" s="1"/>
  <c r="R31" i="1"/>
  <c r="A35" i="1"/>
  <c r="B34" i="1"/>
  <c r="C34" i="1" s="1"/>
  <c r="D34" i="1" l="1"/>
  <c r="E34" i="1" s="1"/>
  <c r="J34" i="1"/>
  <c r="L34" i="1"/>
  <c r="K34" i="1"/>
  <c r="R32" i="1"/>
  <c r="S32" i="1"/>
  <c r="T32" i="1" s="1"/>
  <c r="M33" i="1"/>
  <c r="N33" i="1" s="1"/>
  <c r="O33" i="1" s="1"/>
  <c r="P33" i="1" s="1"/>
  <c r="Q33" i="1" s="1"/>
  <c r="A36" i="1"/>
  <c r="B35" i="1"/>
  <c r="C35" i="1" s="1"/>
  <c r="R33" i="1" l="1"/>
  <c r="M34" i="1"/>
  <c r="N34" i="1" s="1"/>
  <c r="O34" i="1" s="1"/>
  <c r="P34" i="1" s="1"/>
  <c r="Q34" i="1" s="1"/>
  <c r="D35" i="1"/>
  <c r="E35" i="1" s="1"/>
  <c r="K35" i="1"/>
  <c r="L35" i="1"/>
  <c r="J35" i="1"/>
  <c r="S33" i="1"/>
  <c r="T33" i="1" s="1"/>
  <c r="A37" i="1"/>
  <c r="B36" i="1"/>
  <c r="C36" i="1" s="1"/>
  <c r="D36" i="1" l="1"/>
  <c r="E36" i="1" s="1"/>
  <c r="J36" i="1"/>
  <c r="K36" i="1"/>
  <c r="L36" i="1"/>
  <c r="M35" i="1"/>
  <c r="N35" i="1" s="1"/>
  <c r="O35" i="1" s="1"/>
  <c r="P35" i="1" s="1"/>
  <c r="Q35" i="1" s="1"/>
  <c r="S34" i="1"/>
  <c r="T34" i="1" s="1"/>
  <c r="R34" i="1"/>
  <c r="A38" i="1"/>
  <c r="B37" i="1"/>
  <c r="C37" i="1" s="1"/>
  <c r="D37" i="1" l="1"/>
  <c r="E37" i="1" s="1"/>
  <c r="J37" i="1"/>
  <c r="L37" i="1"/>
  <c r="K37" i="1"/>
  <c r="S35" i="1"/>
  <c r="T35" i="1" s="1"/>
  <c r="R35" i="1"/>
  <c r="M36" i="1"/>
  <c r="N36" i="1" s="1"/>
  <c r="O36" i="1" s="1"/>
  <c r="P36" i="1" s="1"/>
  <c r="Q36" i="1" s="1"/>
  <c r="A39" i="1"/>
  <c r="B38" i="1"/>
  <c r="C38" i="1" s="1"/>
  <c r="D38" i="1" l="1"/>
  <c r="E38" i="1" s="1"/>
  <c r="K38" i="1"/>
  <c r="L38" i="1"/>
  <c r="J38" i="1"/>
  <c r="R36" i="1"/>
  <c r="S36" i="1"/>
  <c r="T36" i="1" s="1"/>
  <c r="M37" i="1"/>
  <c r="N37" i="1" s="1"/>
  <c r="O37" i="1" s="1"/>
  <c r="P37" i="1" s="1"/>
  <c r="Q37" i="1" s="1"/>
  <c r="A40" i="1"/>
  <c r="B39" i="1"/>
  <c r="C39" i="1" s="1"/>
  <c r="D39" i="1" l="1"/>
  <c r="E39" i="1" s="1"/>
  <c r="L39" i="1"/>
  <c r="J39" i="1"/>
  <c r="K39" i="1"/>
  <c r="S37" i="1"/>
  <c r="T37" i="1" s="1"/>
  <c r="R37" i="1"/>
  <c r="M38" i="1"/>
  <c r="N38" i="1" s="1"/>
  <c r="O38" i="1" s="1"/>
  <c r="P38" i="1" s="1"/>
  <c r="Q38" i="1" s="1"/>
  <c r="A41" i="1"/>
  <c r="B41" i="1" s="1"/>
  <c r="C41" i="1" s="1"/>
  <c r="B40" i="1"/>
  <c r="C40" i="1" s="1"/>
  <c r="D40" i="1" l="1"/>
  <c r="E40" i="1" s="1"/>
  <c r="L40" i="1"/>
  <c r="J40" i="1"/>
  <c r="K40" i="1"/>
  <c r="S38" i="1"/>
  <c r="T38" i="1" s="1"/>
  <c r="D41" i="1"/>
  <c r="E41" i="1" s="1"/>
  <c r="J41" i="1"/>
  <c r="K41" i="1"/>
  <c r="L41" i="1"/>
  <c r="R38" i="1"/>
  <c r="M39" i="1"/>
  <c r="N39" i="1" s="1"/>
  <c r="O39" i="1" s="1"/>
  <c r="P39" i="1" s="1"/>
  <c r="Q39" i="1" s="1"/>
  <c r="R39" i="1" l="1"/>
  <c r="M41" i="1"/>
  <c r="N41" i="1" s="1"/>
  <c r="O41" i="1" s="1"/>
  <c r="P41" i="1" s="1"/>
  <c r="Q41" i="1" s="1"/>
  <c r="M40" i="1"/>
  <c r="N40" i="1" s="1"/>
  <c r="O40" i="1" s="1"/>
  <c r="P40" i="1" s="1"/>
  <c r="Q40" i="1" s="1"/>
  <c r="S39" i="1"/>
  <c r="T39" i="1" s="1"/>
  <c r="S40" i="1" l="1"/>
  <c r="T40" i="1" s="1"/>
  <c r="R40" i="1"/>
  <c r="S41" i="1"/>
  <c r="T41" i="1" s="1"/>
  <c r="R41" i="1"/>
</calcChain>
</file>

<file path=xl/sharedStrings.xml><?xml version="1.0" encoding="utf-8"?>
<sst xmlns="http://schemas.openxmlformats.org/spreadsheetml/2006/main" count="160" uniqueCount="128">
  <si>
    <t>Wire Gauge</t>
  </si>
  <si>
    <t>source: here</t>
  </si>
  <si>
    <t>R=pL/A</t>
  </si>
  <si>
    <t>p=restivity</t>
  </si>
  <si>
    <t>A=Area</t>
  </si>
  <si>
    <t>L=Length</t>
  </si>
  <si>
    <t>Source: here</t>
  </si>
  <si>
    <t>Radius [Inches]</t>
  </si>
  <si>
    <t>area pi*r^2 [inches^2]</t>
  </si>
  <si>
    <t>p=10.371ohms circular mil/ft @20c</t>
  </si>
  <si>
    <t>source here</t>
  </si>
  <si>
    <t>area circlular mil</t>
  </si>
  <si>
    <t>circular mil = pi()*(1/2*1000inch)^2</t>
  </si>
  <si>
    <t>1 [circular mil] = pi(1/2*1000)^2 [inch^2]</t>
  </si>
  <si>
    <t>[inch^2/circle mil]</t>
  </si>
  <si>
    <t>1 [circular mil] = 7.854*10^(-7) [inch^2]</t>
  </si>
  <si>
    <t>[circle mil/ inch^2]</t>
  </si>
  <si>
    <t>material properties</t>
  </si>
  <si>
    <t>R=Resistance</t>
  </si>
  <si>
    <t>number of layers</t>
  </si>
  <si>
    <t>number of turns</t>
  </si>
  <si>
    <t>Row index</t>
  </si>
  <si>
    <t>length of solenoid</t>
  </si>
  <si>
    <t>in diameters</t>
  </si>
  <si>
    <t>height of solenoid</t>
  </si>
  <si>
    <t>No of turns</t>
  </si>
  <si>
    <t>solenoid length [inches]</t>
  </si>
  <si>
    <t>solenoid height [inches]</t>
  </si>
  <si>
    <t>R0</t>
  </si>
  <si>
    <t>R1</t>
  </si>
  <si>
    <t>R2</t>
  </si>
  <si>
    <t>R3</t>
  </si>
  <si>
    <t>[inches]</t>
  </si>
  <si>
    <t>no of turns per layer</t>
  </si>
  <si>
    <t>R5</t>
  </si>
  <si>
    <t>R4</t>
  </si>
  <si>
    <t>R0+1r</t>
  </si>
  <si>
    <t>R1+2r</t>
  </si>
  <si>
    <t>R2+2r</t>
  </si>
  <si>
    <t>R3+2r</t>
  </si>
  <si>
    <t>R4+2r</t>
  </si>
  <si>
    <t>radius to first wire</t>
  </si>
  <si>
    <t>radius to second wire</t>
  </si>
  <si>
    <t>radius to third wire</t>
  </si>
  <si>
    <t>radius to fourth wire</t>
  </si>
  <si>
    <t>radius to fifth wire</t>
  </si>
  <si>
    <t>perimeter 1</t>
  </si>
  <si>
    <t>perimeter 2</t>
  </si>
  <si>
    <t>perimeter 3</t>
  </si>
  <si>
    <t>perimeter 4</t>
  </si>
  <si>
    <t>perimeter 5</t>
  </si>
  <si>
    <t>perimeter 6</t>
  </si>
  <si>
    <t>[feet]</t>
  </si>
  <si>
    <t>resistivity</t>
  </si>
  <si>
    <t>ohm cmil/ft</t>
  </si>
  <si>
    <t>ohm inch^2 /ft</t>
  </si>
  <si>
    <t>no of layers</t>
  </si>
  <si>
    <t>Leff 1</t>
  </si>
  <si>
    <t>Leff 2</t>
  </si>
  <si>
    <t>Leff 3</t>
  </si>
  <si>
    <t>Leff 4</t>
  </si>
  <si>
    <t>Leff 5</t>
  </si>
  <si>
    <t>Leff 6</t>
  </si>
  <si>
    <t>combined length [inches]</t>
  </si>
  <si>
    <t>summed length [inches]</t>
  </si>
  <si>
    <t>Resistance</t>
  </si>
  <si>
    <t>Resistance [ohm]</t>
  </si>
  <si>
    <t>Assuming current below amps:</t>
  </si>
  <si>
    <t>[A]</t>
  </si>
  <si>
    <t>Power watts</t>
  </si>
  <si>
    <t>Time heating [s]</t>
  </si>
  <si>
    <t>This is one time maximum per solenoid Duty cycle wil be used here</t>
  </si>
  <si>
    <t>Energy [J]</t>
  </si>
  <si>
    <t>Need to determine how to calculate heat out of wires to determine cycle time</t>
  </si>
  <si>
    <t>Q=mc∆t</t>
  </si>
  <si>
    <t>Q=thermal energy</t>
  </si>
  <si>
    <t>m=mass</t>
  </si>
  <si>
    <t>c=specific heat</t>
  </si>
  <si>
    <t>∆t=heat change</t>
  </si>
  <si>
    <t>c of copper</t>
  </si>
  <si>
    <t>J/g c</t>
  </si>
  <si>
    <t>density of copper</t>
  </si>
  <si>
    <t>lb/in^3</t>
  </si>
  <si>
    <t>volume [in^3]</t>
  </si>
  <si>
    <t>mass [lb]</t>
  </si>
  <si>
    <t>mass [kg]</t>
  </si>
  <si>
    <t>∆t [celsius]</t>
  </si>
  <si>
    <t>ambient</t>
  </si>
  <si>
    <t>rating</t>
  </si>
  <si>
    <t>diff</t>
  </si>
  <si>
    <t>[c]</t>
  </si>
  <si>
    <t>desired jump</t>
  </si>
  <si>
    <t>Max awg</t>
  </si>
  <si>
    <t>awg</t>
  </si>
  <si>
    <t>desired awg</t>
  </si>
  <si>
    <t>standard</t>
  </si>
  <si>
    <t xml:space="preserve">  </t>
  </si>
  <si>
    <t>Diameter [inches] =0.005*92^((36-awg)/39)</t>
  </si>
  <si>
    <t>AWG-&gt; Inch radius Conversion</t>
  </si>
  <si>
    <t>Restivity-&gt; Resistance</t>
  </si>
  <si>
    <t>Restivity Value</t>
  </si>
  <si>
    <t>Circular mil to [inch^2]</t>
  </si>
  <si>
    <t>Wire Intrinsic</t>
  </si>
  <si>
    <t>Wire Gauge [AWG]</t>
  </si>
  <si>
    <t>Diameter Awg [Inches]</t>
  </si>
  <si>
    <t>area pi*r^2 [Inches^2]</t>
  </si>
  <si>
    <t>Parameters</t>
  </si>
  <si>
    <t>No. of Layers</t>
  </si>
  <si>
    <t>No. of Turns</t>
  </si>
  <si>
    <t>Value</t>
  </si>
  <si>
    <t>rectangular profile</t>
  </si>
  <si>
    <t>air cooled</t>
  </si>
  <si>
    <t>[unitless]</t>
  </si>
  <si>
    <t>Assumptions</t>
  </si>
  <si>
    <t>no leakage</t>
  </si>
  <si>
    <t>overall length [profile half Inches]</t>
  </si>
  <si>
    <t>overall height [profile half inches]</t>
  </si>
  <si>
    <t>initial radius</t>
  </si>
  <si>
    <t>[inch]</t>
  </si>
  <si>
    <t>Overall Dimensions</t>
  </si>
  <si>
    <t>Radius [Inches] to wire size at layer [x]</t>
  </si>
  <si>
    <t>length by summed circumference</t>
  </si>
  <si>
    <t>Wire Length [inches]</t>
  </si>
  <si>
    <t>length by summed circumference2</t>
  </si>
  <si>
    <t>8.14536E-06</t>
  </si>
  <si>
    <t>`</t>
  </si>
  <si>
    <t>resistance[ohm]=resitivity [Ohm inch^2/ft] * L/A</t>
  </si>
  <si>
    <t>Time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</si>
</sst>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10" applyNumberFormat="0" applyAlignment="0" applyProtection="0"/>
  </cellStyleXfs>
  <cellXfs count="36">
    <xf numFmtId="0" fontId="0" fillId="0" borderId="0" xfId="0"/>
    <xf numFmtId="0" fontId="0" fillId="0" borderId="0" xfId="0" quotePrefix="1"/>
    <xf numFmtId="0" fontId="2" fillId="0" borderId="0" xfId="2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1"/>
    <xf numFmtId="0" fontId="1" fillId="2" borderId="5" xfId="1" applyBorder="1" applyAlignment="1"/>
    <xf numFmtId="0" fontId="1" fillId="2" borderId="6" xfId="1" applyBorder="1" applyAlignment="1"/>
    <xf numFmtId="0" fontId="1" fillId="2" borderId="7" xfId="1" applyBorder="1" applyAlignment="1"/>
    <xf numFmtId="0" fontId="1" fillId="2" borderId="8" xfId="1" applyBorder="1"/>
    <xf numFmtId="0" fontId="1" fillId="2" borderId="9" xfId="1" applyBorder="1"/>
    <xf numFmtId="0" fontId="2" fillId="0" borderId="2" xfId="2" applyBorder="1"/>
    <xf numFmtId="0" fontId="2" fillId="0" borderId="4" xfId="2" applyBorder="1"/>
    <xf numFmtId="0" fontId="1" fillId="2" borderId="1" xfId="1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14" xfId="0" applyBorder="1"/>
    <xf numFmtId="0" fontId="0" fillId="0" borderId="0" xfId="0" applyBorder="1"/>
    <xf numFmtId="0" fontId="0" fillId="0" borderId="0" xfId="0" quotePrefix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3" borderId="10" xfId="3" applyAlignment="1">
      <alignment horizontal="center"/>
    </xf>
    <xf numFmtId="0" fontId="3" fillId="3" borderId="19" xfId="3" applyBorder="1" applyAlignment="1">
      <alignment horizontal="center"/>
    </xf>
    <xf numFmtId="0" fontId="3" fillId="3" borderId="0" xfId="3" applyBorder="1" applyAlignment="1">
      <alignment horizontal="center"/>
    </xf>
    <xf numFmtId="0" fontId="3" fillId="3" borderId="19" xfId="3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3" fillId="3" borderId="23" xfId="3" applyBorder="1" applyAlignment="1">
      <alignment horizontal="center"/>
    </xf>
    <xf numFmtId="0" fontId="3" fillId="3" borderId="23" xfId="3" applyBorder="1"/>
  </cellXfs>
  <cellStyles count="4">
    <cellStyle name="Calculation" xfId="3" builtinId="22"/>
    <cellStyle name="Check Cell" xfId="1" builtinId="23"/>
    <cellStyle name="Hyperlink" xfId="2" builtinId="8"/>
    <cellStyle name="Normal" xfId="0" builtinId="0"/>
  </cellStyles>
  <dxfs count="4">
    <dxf>
      <numFmt numFmtId="0" formatCode="General"/>
    </dxf>
    <dxf>
      <border outline="0">
        <top style="thin">
          <color rgb="FF7F7F7F"/>
        </top>
      </border>
    </dxf>
    <dxf>
      <border outline="0">
        <top style="thin">
          <color rgb="FF7F7F7F"/>
        </top>
      </border>
    </dxf>
    <dxf>
      <border outline="0">
        <top style="thin">
          <color rgb="FF7F7F7F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C1050B-E352-4C00-9443-1FBBD9E81449}" name="Table3" displayName="Table3" ref="A2:E41" totalsRowShown="0">
  <autoFilter ref="A2:E41" xr:uid="{3EC1050B-E352-4C00-9443-1FBBD9E81449}"/>
  <tableColumns count="5">
    <tableColumn id="1" xr3:uid="{EDB46010-2E07-4A95-B296-C2FE3C8DC72B}" name="Wire Gauge [AWG]">
      <calculatedColumnFormula>A2+1</calculatedColumnFormula>
    </tableColumn>
    <tableColumn id="2" xr3:uid="{8CBFD72A-9AF5-417A-972E-34B4B608C06B}" name="Diameter Awg [Inches]">
      <calculatedColumnFormula>ROUND(0.005*92^((36-A3)/39),4)</calculatedColumnFormula>
    </tableColumn>
    <tableColumn id="3" xr3:uid="{47EFF4A9-CB85-425E-8651-87E9D2995A9E}" name="Radius [Inches]">
      <calculatedColumnFormula>B3/2</calculatedColumnFormula>
    </tableColumn>
    <tableColumn id="4" xr3:uid="{EFADFC4F-F5EA-4AE2-A061-3F687A2AB101}" name="area pi*r^2 [Inches^2]">
      <calculatedColumnFormula>PI()*C3^2</calculatedColumnFormula>
    </tableColumn>
    <tableColumn id="5" xr3:uid="{89525FD7-6FEC-48BF-9A43-F680DC15DABA}" name="area circlular mil">
      <calculatedColumnFormula>D3*Sources!$A$20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A00B54-5F76-4446-9958-5C8062E84C3D}" name="Table4" displayName="Table4" ref="J2:K41" totalsRowShown="0" tableBorderDxfId="3">
  <autoFilter ref="J2:K41" xr:uid="{86A00B54-5F76-4446-9958-5C8062E84C3D}"/>
  <tableColumns count="2">
    <tableColumn id="1" xr3:uid="{AC461333-A39B-4CAA-8040-5A623FAC401B}" name="overall length [profile half Inches]">
      <calculatedColumnFormula>C3*2*($G$3/$G$2)</calculatedColumnFormula>
    </tableColumn>
    <tableColumn id="2" xr3:uid="{40292F96-FF9E-4B07-BE79-D380973A30B5}" name="overall height [profile half inches]">
      <calculatedColumnFormula>C3*2*($G$2)+$G$6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3FBDCC-EB98-4850-98F8-DF0FE0DD37F7}" name="Table5" displayName="Table5" ref="L2:Q41" totalsRowShown="0" tableBorderDxfId="2">
  <autoFilter ref="L2:Q41" xr:uid="{963FBDCC-EB98-4850-98F8-DF0FE0DD37F7}"/>
  <tableColumns count="6">
    <tableColumn id="1" xr3:uid="{E262A9FF-B1AA-41FB-B571-6262C3ACB8AC}" name="R0">
      <calculatedColumnFormula>$G$6+Table3[[#This Row],[Radius '[Inches']]]</calculatedColumnFormula>
    </tableColumn>
    <tableColumn id="2" xr3:uid="{E6F1FF9C-AE73-4909-A8E3-E163043B77D9}" name="R1">
      <calculatedColumnFormula>IF($G$2&gt;=2,L3+2*Table3[[#This Row],[Radius '[Inches']]],0)</calculatedColumnFormula>
    </tableColumn>
    <tableColumn id="3" xr3:uid="{BD518BBF-0A1B-4E96-A813-A80C96B926F3}" name="R2">
      <calculatedColumnFormula>IF($G$2&gt;=3,M3+2*Table3[[#This Row],[Radius '[Inches']]],0)</calculatedColumnFormula>
    </tableColumn>
    <tableColumn id="4" xr3:uid="{91DF513A-550C-46F4-9D3A-BC80C8487C39}" name="R3">
      <calculatedColumnFormula>IF($G$2&gt;=4,N3+2*Table3[[#This Row],[Radius '[Inches']]],0)</calculatedColumnFormula>
    </tableColumn>
    <tableColumn id="5" xr3:uid="{6D307DB3-79B4-4E1A-A194-E2EA9ED070FE}" name="R4">
      <calculatedColumnFormula>IF($G$2&gt;=5,O3+2*Table3[[#This Row],[Radius '[Inches']]],0)</calculatedColumnFormula>
    </tableColumn>
    <tableColumn id="6" xr3:uid="{616E28A4-A4B8-4C54-A0E2-9AD474B546C8}" name="R5">
      <calculatedColumnFormula>IF($G$2&gt;=6,P3+2*Table3[[#This Row],[Radius '[Inches']]],0)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311FEE-69DF-4D10-9CBA-5C06CAE9B0F4}" name="Table6" displayName="Table6" ref="R2:S41" totalsRowShown="0">
  <autoFilter ref="R2:S41" xr:uid="{05311FEE-69DF-4D10-9CBA-5C06CAE9B0F4}"/>
  <tableColumns count="2">
    <tableColumn id="1" xr3:uid="{663F7A01-5C7D-4076-93EC-92559736ACE2}" name="length by summed circumference">
      <calculatedColumnFormula>2*PI()*($G$3/$G$2)*SUM(L3:Q3)</calculatedColumnFormula>
    </tableColumn>
    <tableColumn id="2" xr3:uid="{92A1C5CB-D0BE-41E9-B1CD-1F97731FF67A}" name="length by summed circumference2">
      <calculatedColumnFormula>2*PI()*($G$3/$G$2)*SUM(L3:Q3)/12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832C7B-CD42-4371-A3A0-35A8736A7C21}" name="Table7" displayName="Table7" ref="T2:T41" totalsRowShown="0" tableBorderDxfId="1">
  <autoFilter ref="T2:T41" xr:uid="{62832C7B-CD42-4371-A3A0-35A8736A7C21}"/>
  <tableColumns count="1">
    <tableColumn id="1" xr3:uid="{D1A93594-2C9A-4694-95A5-99EF4B24EBF4}" name="8.14536E-06" dataDxfId="0">
      <calculatedColumnFormula>Table7[[#Headers],[8.14536E-06]]*Table6[[#This Row],[length by summed circumference2]]/Table3[[#This Row],[area pi*r^2 '[Inches^2']]]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vertunits.com/from/circular+mil/to/square+inch" TargetMode="External"/><Relationship Id="rId2" Type="http://schemas.openxmlformats.org/officeDocument/2006/relationships/hyperlink" Target="https://mwswire.com/wp-content/uploads/2016/10/Copper-Magnet-Wire-Data.pdf" TargetMode="External"/><Relationship Id="rId1" Type="http://schemas.openxmlformats.org/officeDocument/2006/relationships/hyperlink" Target="https://hep.physics.illinois.edu/home/serrede/p436/lecture_notes/american_wire_gauge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gchem.cm.utexas.edu/data/section2.php?target=heat-capacities.php" TargetMode="External"/><Relationship Id="rId1" Type="http://schemas.openxmlformats.org/officeDocument/2006/relationships/hyperlink" Target="http://www.etantdonnes.com/MACHINE/TABLES/metalDensity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I1" workbookViewId="0">
      <selection activeCell="U1" sqref="U1"/>
    </sheetView>
  </sheetViews>
  <sheetFormatPr defaultRowHeight="15" x14ac:dyDescent="0.25"/>
  <cols>
    <col min="1" max="1" width="20.7109375" bestFit="1" customWidth="1"/>
    <col min="2" max="2" width="23.85546875" bestFit="1" customWidth="1"/>
    <col min="3" max="3" width="16.85546875" bestFit="1" customWidth="1"/>
    <col min="4" max="4" width="22.85546875" bestFit="1" customWidth="1"/>
    <col min="5" max="5" width="18" bestFit="1" customWidth="1"/>
    <col min="6" max="6" width="12.42578125" bestFit="1" customWidth="1"/>
    <col min="7" max="7" width="11.7109375" bestFit="1" customWidth="1"/>
    <col min="8" max="8" width="11.7109375" customWidth="1"/>
    <col min="9" max="9" width="17.7109375" bestFit="1" customWidth="1"/>
    <col min="10" max="11" width="33.28515625" customWidth="1"/>
    <col min="12" max="17" width="8" bestFit="1" customWidth="1"/>
    <col min="18" max="18" width="32.7109375" customWidth="1"/>
    <col min="19" max="19" width="33.7109375" customWidth="1"/>
    <col min="20" max="20" width="44.85546875" bestFit="1" customWidth="1"/>
  </cols>
  <sheetData>
    <row r="1" spans="1:22" ht="16.5" thickTop="1" thickBot="1" x14ac:dyDescent="0.3">
      <c r="A1" s="24" t="s">
        <v>102</v>
      </c>
      <c r="B1" s="24"/>
      <c r="C1" s="24"/>
      <c r="D1" s="24"/>
      <c r="E1" s="24"/>
      <c r="F1" s="27" t="s">
        <v>106</v>
      </c>
      <c r="G1" s="26" t="s">
        <v>109</v>
      </c>
      <c r="H1" s="26"/>
      <c r="I1" s="7" t="s">
        <v>113</v>
      </c>
      <c r="J1" s="34" t="s">
        <v>119</v>
      </c>
      <c r="K1" s="34"/>
      <c r="L1" s="34" t="s">
        <v>120</v>
      </c>
      <c r="M1" s="34"/>
      <c r="N1" s="34"/>
      <c r="O1" s="34"/>
      <c r="P1" s="34"/>
      <c r="Q1" s="34"/>
      <c r="R1" s="25" t="s">
        <v>122</v>
      </c>
      <c r="S1" s="26"/>
      <c r="T1" s="35" t="s">
        <v>126</v>
      </c>
      <c r="V1" t="s">
        <v>127</v>
      </c>
    </row>
    <row r="2" spans="1:22" ht="15.75" thickTop="1" x14ac:dyDescent="0.25">
      <c r="A2" s="17" t="s">
        <v>103</v>
      </c>
      <c r="B2" s="18" t="s">
        <v>104</v>
      </c>
      <c r="C2" s="19" t="s">
        <v>7</v>
      </c>
      <c r="D2" s="19" t="s">
        <v>105</v>
      </c>
      <c r="E2" s="20" t="s">
        <v>11</v>
      </c>
      <c r="F2" s="28" t="s">
        <v>107</v>
      </c>
      <c r="G2" s="29">
        <v>5</v>
      </c>
      <c r="H2" s="30" t="s">
        <v>112</v>
      </c>
      <c r="I2" t="s">
        <v>110</v>
      </c>
      <c r="J2" t="s">
        <v>115</v>
      </c>
      <c r="K2" t="s">
        <v>116</v>
      </c>
      <c r="L2" t="s">
        <v>28</v>
      </c>
      <c r="M2" t="s">
        <v>29</v>
      </c>
      <c r="N2" t="s">
        <v>30</v>
      </c>
      <c r="O2" t="s">
        <v>31</v>
      </c>
      <c r="P2" t="s">
        <v>35</v>
      </c>
      <c r="Q2" t="s">
        <v>34</v>
      </c>
      <c r="R2" t="s">
        <v>121</v>
      </c>
      <c r="S2" t="s">
        <v>123</v>
      </c>
      <c r="T2" t="s">
        <v>124</v>
      </c>
    </row>
    <row r="3" spans="1:22" x14ac:dyDescent="0.25">
      <c r="A3" s="17">
        <f>6</f>
        <v>6</v>
      </c>
      <c r="B3" s="18">
        <f t="shared" ref="B3:B41" si="0">ROUND(0.005*92^((36-A3)/39),4)</f>
        <v>0.16200000000000001</v>
      </c>
      <c r="C3" s="18">
        <f>B3/2</f>
        <v>8.1000000000000003E-2</v>
      </c>
      <c r="D3" s="18">
        <f>PI()*C3^2</f>
        <v>2.0611989400202632E-2</v>
      </c>
      <c r="E3" s="20">
        <f>D3*Sources!$A$20</f>
        <v>26244</v>
      </c>
      <c r="F3" s="17" t="s">
        <v>108</v>
      </c>
      <c r="G3" s="18">
        <v>200</v>
      </c>
      <c r="H3" s="20" t="s">
        <v>112</v>
      </c>
      <c r="I3" t="s">
        <v>111</v>
      </c>
      <c r="J3">
        <f>C3*2*($G$3/$G$2)</f>
        <v>6.48</v>
      </c>
      <c r="K3">
        <f>C3*2*($G$2)+$G$6</f>
        <v>1.31</v>
      </c>
      <c r="L3">
        <f>$G$6+Table3[[#This Row],[Radius '[Inches']]]</f>
        <v>0.58099999999999996</v>
      </c>
      <c r="M3">
        <f>IF($G$2&gt;=2,L3+2*Table3[[#This Row],[Radius '[Inches']]],0)</f>
        <v>0.74299999999999999</v>
      </c>
      <c r="N3">
        <f>IF($G$2&gt;=3,M3+2*Table3[[#This Row],[Radius '[Inches']]],0)</f>
        <v>0.90500000000000003</v>
      </c>
      <c r="O3">
        <f>IF($G$2&gt;=4,N3+2*Table3[[#This Row],[Radius '[Inches']]],0)</f>
        <v>1.0669999999999999</v>
      </c>
      <c r="P3">
        <f>IF($G$2&gt;=5,O3+2*Table3[[#This Row],[Radius '[Inches']]],0)</f>
        <v>1.2289999999999999</v>
      </c>
      <c r="Q3">
        <f>IF($G$2&gt;=6,P3+2*Table3[[#This Row],[Radius '[Inches']]],0)</f>
        <v>0</v>
      </c>
      <c r="R3">
        <f>2*PI()*($G$3/$G$2)*SUM(L3:Q3)</f>
        <v>1137.2565405995051</v>
      </c>
      <c r="S3">
        <f>2*PI()*($G$3/$G$2)*SUM(L3:Q3)/12</f>
        <v>94.771378383292088</v>
      </c>
      <c r="T3">
        <f>Table7[[#Headers],[8.14536E-06]]*Table6[[#This Row],[length by summed circumference2]]/Table3[[#This Row],[area pi*r^2 '[Inches^2']]]</f>
        <v>3.7451358024691357E-2</v>
      </c>
    </row>
    <row r="4" spans="1:22" x14ac:dyDescent="0.25">
      <c r="A4" s="17">
        <f>A3+1</f>
        <v>7</v>
      </c>
      <c r="B4" s="18">
        <f t="shared" si="0"/>
        <v>0.14430000000000001</v>
      </c>
      <c r="C4" s="18">
        <f>B4/2</f>
        <v>7.2150000000000006E-2</v>
      </c>
      <c r="D4" s="18">
        <f t="shared" ref="D4:D41" si="1">PI()*C4^2</f>
        <v>1.6353945403361735E-2</v>
      </c>
      <c r="E4" s="20">
        <f>D4*Sources!$A$20</f>
        <v>20822.490000000002</v>
      </c>
      <c r="F4" s="17" t="s">
        <v>87</v>
      </c>
      <c r="G4" s="18">
        <v>25</v>
      </c>
      <c r="H4" s="20" t="s">
        <v>90</v>
      </c>
      <c r="I4" t="s">
        <v>114</v>
      </c>
      <c r="J4">
        <f t="shared" ref="J4:J42" si="2">C4*2*($G$3/$G$2)</f>
        <v>5.7720000000000002</v>
      </c>
      <c r="K4">
        <f t="shared" ref="K4:K41" si="3">C4*2*($G$2)+$G$6</f>
        <v>1.2215</v>
      </c>
      <c r="L4">
        <f>$G$6+Table3[[#This Row],[Radius '[Inches']]]</f>
        <v>0.57215000000000005</v>
      </c>
      <c r="M4">
        <f>IF($G$2&gt;=2,L4+2*Table3[[#This Row],[Radius '[Inches']]],0)</f>
        <v>0.71645000000000003</v>
      </c>
      <c r="N4">
        <f>IF($G$2&gt;=3,M4+2*Table3[[#This Row],[Radius '[Inches']]],0)</f>
        <v>0.86075000000000002</v>
      </c>
      <c r="O4">
        <f>IF($G$2&gt;=4,N4+2*Table3[[#This Row],[Radius '[Inches']]],0)</f>
        <v>1.00505</v>
      </c>
      <c r="P4">
        <f>IF($G$2&gt;=5,O4+2*Table3[[#This Row],[Radius '[Inches']]],0)</f>
        <v>1.1493500000000001</v>
      </c>
      <c r="Q4">
        <f>IF($G$2&gt;=6,P4+2*Table3[[#This Row],[Radius '[Inches']]],0)</f>
        <v>0</v>
      </c>
      <c r="R4">
        <f t="shared" ref="R4:R41" si="4">2*PI()*($G$3/$G$2)*SUM(L4:Q4)</f>
        <v>1081.6503506309657</v>
      </c>
      <c r="S4">
        <f t="shared" ref="S4:S41" si="5">2*PI()*($G$3/$G$2)*SUM(L4:Q4)/12</f>
        <v>90.137529219247142</v>
      </c>
      <c r="T4">
        <f>Table7[[#Headers],[8.14536E-06]]*Table6[[#This Row],[length by summed circumference2]]/Table3[[#This Row],[area pi*r^2 '[Inches^2']]]</f>
        <v>4.4894525870825243E-2</v>
      </c>
    </row>
    <row r="5" spans="1:22" ht="15.75" thickBot="1" x14ac:dyDescent="0.3">
      <c r="A5" s="17">
        <f t="shared" ref="A5:A41" si="6">A4+1</f>
        <v>8</v>
      </c>
      <c r="B5" s="18">
        <f t="shared" si="0"/>
        <v>0.1285</v>
      </c>
      <c r="C5" s="18">
        <f>B5/2</f>
        <v>6.4250000000000002E-2</v>
      </c>
      <c r="D5" s="18">
        <f t="shared" si="1"/>
        <v>1.2968690823559515E-2</v>
      </c>
      <c r="E5" s="20">
        <f>D5*Sources!$A$20</f>
        <v>16512.25</v>
      </c>
      <c r="F5" s="21" t="s">
        <v>88</v>
      </c>
      <c r="G5" s="22">
        <v>155</v>
      </c>
      <c r="H5" s="23" t="s">
        <v>90</v>
      </c>
      <c r="J5">
        <f t="shared" si="2"/>
        <v>5.1400000000000006</v>
      </c>
      <c r="K5">
        <f t="shared" si="3"/>
        <v>1.1425000000000001</v>
      </c>
      <c r="L5">
        <f>$G$6+Table3[[#This Row],[Radius '[Inches']]]</f>
        <v>0.56425000000000003</v>
      </c>
      <c r="M5">
        <f>IF($G$2&gt;=2,L5+2*Table3[[#This Row],[Radius '[Inches']]],0)</f>
        <v>0.69274999999999998</v>
      </c>
      <c r="N5">
        <f>IF($G$2&gt;=3,M5+2*Table3[[#This Row],[Radius '[Inches']]],0)</f>
        <v>0.82125000000000004</v>
      </c>
      <c r="O5">
        <f>IF($G$2&gt;=4,N5+2*Table3[[#This Row],[Radius '[Inches']]],0)</f>
        <v>0.94975000000000009</v>
      </c>
      <c r="P5">
        <f>IF($G$2&gt;=5,O5+2*Table3[[#This Row],[Radius '[Inches']]],0)</f>
        <v>1.0782500000000002</v>
      </c>
      <c r="Q5">
        <f>IF($G$2&gt;=6,P5+2*Table3[[#This Row],[Radius '[Inches']]],0)</f>
        <v>0</v>
      </c>
      <c r="R5">
        <f t="shared" si="4"/>
        <v>1032.0131867042473</v>
      </c>
      <c r="S5">
        <f t="shared" si="5"/>
        <v>86.001098892020607</v>
      </c>
      <c r="T5">
        <f>Table7[[#Headers],[8.14536E-06]]*Table6[[#This Row],[length by summed circumference2]]/Table3[[#This Row],[area pi*r^2 '[Inches^2']]]</f>
        <v>5.4015468515798894E-2</v>
      </c>
    </row>
    <row r="6" spans="1:22" ht="15.75" customHeight="1" thickBot="1" x14ac:dyDescent="0.3">
      <c r="A6" s="17">
        <f t="shared" si="6"/>
        <v>9</v>
      </c>
      <c r="B6" s="18">
        <f t="shared" si="0"/>
        <v>0.1144</v>
      </c>
      <c r="C6" s="18">
        <f>B6/2</f>
        <v>5.7200000000000001E-2</v>
      </c>
      <c r="D6" s="18">
        <f t="shared" si="1"/>
        <v>1.027878850772123E-2</v>
      </c>
      <c r="E6" s="20">
        <f>D6*Sources!$A$20</f>
        <v>13087.360000000002</v>
      </c>
      <c r="F6" s="31" t="s">
        <v>117</v>
      </c>
      <c r="G6" s="32">
        <v>0.5</v>
      </c>
      <c r="H6" s="33" t="s">
        <v>118</v>
      </c>
      <c r="J6">
        <f t="shared" si="2"/>
        <v>4.5760000000000005</v>
      </c>
      <c r="K6">
        <f t="shared" si="3"/>
        <v>1.0720000000000001</v>
      </c>
      <c r="L6">
        <f>$G$6+Table3[[#This Row],[Radius '[Inches']]]</f>
        <v>0.55720000000000003</v>
      </c>
      <c r="M6">
        <f>IF($G$2&gt;=2,L6+2*Table3[[#This Row],[Radius '[Inches']]],0)</f>
        <v>0.67159999999999997</v>
      </c>
      <c r="N6">
        <f>IF($G$2&gt;=3,M6+2*Table3[[#This Row],[Radius '[Inches']]],0)</f>
        <v>0.78600000000000003</v>
      </c>
      <c r="O6">
        <f>IF($G$2&gt;=4,N6+2*Table3[[#This Row],[Radius '[Inches']]],0)</f>
        <v>0.90040000000000009</v>
      </c>
      <c r="P6">
        <f>IF($G$2&gt;=5,O6+2*Table3[[#This Row],[Radius '[Inches']]],0)</f>
        <v>1.0148000000000001</v>
      </c>
      <c r="Q6">
        <f>IF($G$2&gt;=6,P6+2*Table3[[#This Row],[Radius '[Inches']]],0)</f>
        <v>0</v>
      </c>
      <c r="R6">
        <f t="shared" si="4"/>
        <v>987.71673028863108</v>
      </c>
      <c r="S6">
        <f t="shared" si="5"/>
        <v>82.30972752405259</v>
      </c>
      <c r="T6">
        <f>Table7[[#Headers],[8.14536E-06]]*Table6[[#This Row],[length by summed circumference2]]/Table3[[#This Row],[area pi*r^2 '[Inches^2']]]</f>
        <v>6.522581544329796E-2</v>
      </c>
    </row>
    <row r="7" spans="1:22" x14ac:dyDescent="0.25">
      <c r="A7" s="17">
        <f t="shared" si="6"/>
        <v>10</v>
      </c>
      <c r="B7" s="18">
        <f t="shared" si="0"/>
        <v>0.1019</v>
      </c>
      <c r="C7" s="18">
        <f>B7/2</f>
        <v>5.0950000000000002E-2</v>
      </c>
      <c r="D7" s="18">
        <f t="shared" si="1"/>
        <v>8.1552682234353798E-3</v>
      </c>
      <c r="E7" s="20">
        <f>D7*Sources!$A$20</f>
        <v>10383.610000000002</v>
      </c>
      <c r="J7">
        <f t="shared" si="2"/>
        <v>4.0760000000000005</v>
      </c>
      <c r="K7">
        <f t="shared" si="3"/>
        <v>1.0095000000000001</v>
      </c>
      <c r="L7">
        <f>$G$6+Table3[[#This Row],[Radius '[Inches']]]</f>
        <v>0.55095000000000005</v>
      </c>
      <c r="M7">
        <f>IF($G$2&gt;=2,L7+2*Table3[[#This Row],[Radius '[Inches']]],0)</f>
        <v>0.65285000000000004</v>
      </c>
      <c r="N7">
        <f>IF($G$2&gt;=3,M7+2*Table3[[#This Row],[Radius '[Inches']]],0)</f>
        <v>0.75475000000000003</v>
      </c>
      <c r="O7">
        <f>IF($G$2&gt;=4,N7+2*Table3[[#This Row],[Radius '[Inches']]],0)</f>
        <v>0.85665000000000002</v>
      </c>
      <c r="P7">
        <f>IF($G$2&gt;=5,O7+2*Table3[[#This Row],[Radius '[Inches']]],0)</f>
        <v>0.95855000000000001</v>
      </c>
      <c r="Q7">
        <f>IF($G$2&gt;=6,P7+2*Table3[[#This Row],[Radius '[Inches']]],0)</f>
        <v>0</v>
      </c>
      <c r="R7">
        <f t="shared" si="4"/>
        <v>948.44682211875875</v>
      </c>
      <c r="S7">
        <f t="shared" si="5"/>
        <v>79.037235176563229</v>
      </c>
      <c r="T7">
        <f>Table7[[#Headers],[8.14536E-06]]*Table6[[#This Row],[length by summed circumference2]]/Table3[[#This Row],[area pi*r^2 '[Inches^2']]]</f>
        <v>7.8941209078538202E-2</v>
      </c>
    </row>
    <row r="8" spans="1:22" x14ac:dyDescent="0.25">
      <c r="A8" s="17">
        <f t="shared" si="6"/>
        <v>11</v>
      </c>
      <c r="B8" s="18">
        <f t="shared" si="0"/>
        <v>9.0700000000000003E-2</v>
      </c>
      <c r="C8" s="18">
        <f>B8/2</f>
        <v>4.5350000000000001E-2</v>
      </c>
      <c r="D8" s="18">
        <f t="shared" si="1"/>
        <v>6.4610701372074756E-3</v>
      </c>
      <c r="E8" s="20">
        <f>D8*Sources!$A$20</f>
        <v>8226.4900000000016</v>
      </c>
      <c r="J8">
        <f t="shared" si="2"/>
        <v>3.6280000000000001</v>
      </c>
      <c r="K8">
        <f t="shared" si="3"/>
        <v>0.95350000000000001</v>
      </c>
      <c r="L8">
        <f>$G$6+Table3[[#This Row],[Radius '[Inches']]]</f>
        <v>0.54535</v>
      </c>
      <c r="M8">
        <f>IF($G$2&gt;=2,L8+2*Table3[[#This Row],[Radius '[Inches']]],0)</f>
        <v>0.63605</v>
      </c>
      <c r="N8">
        <f>IF($G$2&gt;=3,M8+2*Table3[[#This Row],[Radius '[Inches']]],0)</f>
        <v>0.72675000000000001</v>
      </c>
      <c r="O8">
        <f>IF($G$2&gt;=4,N8+2*Table3[[#This Row],[Radius '[Inches']]],0)</f>
        <v>0.81745000000000001</v>
      </c>
      <c r="P8">
        <f>IF($G$2&gt;=5,O8+2*Table3[[#This Row],[Radius '[Inches']]],0)</f>
        <v>0.90815000000000001</v>
      </c>
      <c r="Q8">
        <f>IF($G$2&gt;=6,P8+2*Table3[[#This Row],[Radius '[Inches']]],0)</f>
        <v>0</v>
      </c>
      <c r="R8">
        <f t="shared" si="4"/>
        <v>913.26098439855286</v>
      </c>
      <c r="S8">
        <f t="shared" si="5"/>
        <v>76.105082033212739</v>
      </c>
      <c r="T8">
        <f>Table7[[#Headers],[8.14536E-06]]*Table6[[#This Row],[length by summed circumference2]]/Table3[[#This Row],[area pi*r^2 '[Inches^2']]]</f>
        <v>9.5944368011144476E-2</v>
      </c>
    </row>
    <row r="9" spans="1:22" x14ac:dyDescent="0.25">
      <c r="A9" s="17">
        <f t="shared" si="6"/>
        <v>12</v>
      </c>
      <c r="B9" s="18">
        <f t="shared" si="0"/>
        <v>8.0799999999999997E-2</v>
      </c>
      <c r="C9" s="18">
        <f>B9/2</f>
        <v>4.0399999999999998E-2</v>
      </c>
      <c r="D9" s="18">
        <f t="shared" si="1"/>
        <v>5.1275818654831166E-3</v>
      </c>
      <c r="E9" s="20">
        <f>D9*Sources!$A$20</f>
        <v>6528.64</v>
      </c>
      <c r="J9">
        <f t="shared" si="2"/>
        <v>3.2319999999999998</v>
      </c>
      <c r="K9">
        <f t="shared" si="3"/>
        <v>0.90399999999999991</v>
      </c>
      <c r="L9">
        <f>$G$6+Table3[[#This Row],[Radius '[Inches']]]</f>
        <v>0.54039999999999999</v>
      </c>
      <c r="M9">
        <f>IF($G$2&gt;=2,L9+2*Table3[[#This Row],[Radius '[Inches']]],0)</f>
        <v>0.62119999999999997</v>
      </c>
      <c r="N9">
        <f>IF($G$2&gt;=3,M9+2*Table3[[#This Row],[Radius '[Inches']]],0)</f>
        <v>0.70199999999999996</v>
      </c>
      <c r="O9">
        <f>IF($G$2&gt;=4,N9+2*Table3[[#This Row],[Radius '[Inches']]],0)</f>
        <v>0.78279999999999994</v>
      </c>
      <c r="P9">
        <f>IF($G$2&gt;=5,O9+2*Table3[[#This Row],[Radius '[Inches']]],0)</f>
        <v>0.86359999999999992</v>
      </c>
      <c r="Q9">
        <f>IF($G$2&gt;=6,P9+2*Table3[[#This Row],[Radius '[Inches']]],0)</f>
        <v>0</v>
      </c>
      <c r="R9">
        <f t="shared" si="4"/>
        <v>882.15921712801389</v>
      </c>
      <c r="S9">
        <f t="shared" si="5"/>
        <v>73.513268094001162</v>
      </c>
      <c r="T9">
        <f>Table7[[#Headers],[8.14536E-06]]*Table6[[#This Row],[length by summed circumference2]]/Table3[[#This Row],[area pi*r^2 '[Inches^2']]]</f>
        <v>0.11677863934908343</v>
      </c>
    </row>
    <row r="10" spans="1:22" x14ac:dyDescent="0.25">
      <c r="A10" s="17">
        <f t="shared" si="6"/>
        <v>13</v>
      </c>
      <c r="B10" s="18">
        <f t="shared" si="0"/>
        <v>7.1999999999999995E-2</v>
      </c>
      <c r="C10" s="18">
        <f>B10/2</f>
        <v>3.5999999999999997E-2</v>
      </c>
      <c r="D10" s="18">
        <f t="shared" si="1"/>
        <v>4.0715040790523715E-3</v>
      </c>
      <c r="E10" s="20">
        <f>D10*Sources!$A$20</f>
        <v>5184</v>
      </c>
      <c r="J10">
        <f t="shared" si="2"/>
        <v>2.88</v>
      </c>
      <c r="K10">
        <f t="shared" si="3"/>
        <v>0.86</v>
      </c>
      <c r="L10">
        <f>$G$6+Table3[[#This Row],[Radius '[Inches']]]</f>
        <v>0.53600000000000003</v>
      </c>
      <c r="M10">
        <f>IF($G$2&gt;=2,L10+2*Table3[[#This Row],[Radius '[Inches']]],0)</f>
        <v>0.60799999999999998</v>
      </c>
      <c r="N10">
        <f>IF($G$2&gt;=3,M10+2*Table3[[#This Row],[Radius '[Inches']]],0)</f>
        <v>0.67999999999999994</v>
      </c>
      <c r="O10">
        <f>IF($G$2&gt;=4,N10+2*Table3[[#This Row],[Radius '[Inches']]],0)</f>
        <v>0.75199999999999989</v>
      </c>
      <c r="P10">
        <f>IF($G$2&gt;=5,O10+2*Table3[[#This Row],[Radius '[Inches']]],0)</f>
        <v>0.82399999999999984</v>
      </c>
      <c r="Q10">
        <f>IF($G$2&gt;=6,P10+2*Table3[[#This Row],[Radius '[Inches']]],0)</f>
        <v>0</v>
      </c>
      <c r="R10">
        <f t="shared" si="4"/>
        <v>854.51320177642367</v>
      </c>
      <c r="S10">
        <f t="shared" si="5"/>
        <v>71.209433481368634</v>
      </c>
      <c r="T10">
        <f>Table7[[#Headers],[8.14536E-06]]*Table6[[#This Row],[length by summed circumference2]]/Table3[[#This Row],[area pi*r^2 '[Inches^2']]]</f>
        <v>0.14246</v>
      </c>
    </row>
    <row r="11" spans="1:22" x14ac:dyDescent="0.25">
      <c r="A11" s="17">
        <f t="shared" si="6"/>
        <v>14</v>
      </c>
      <c r="B11" s="18">
        <f t="shared" si="0"/>
        <v>6.4100000000000004E-2</v>
      </c>
      <c r="C11" s="18">
        <f>B11/2</f>
        <v>3.2050000000000002E-2</v>
      </c>
      <c r="D11" s="18">
        <f t="shared" si="1"/>
        <v>3.2270518277490701E-3</v>
      </c>
      <c r="E11" s="20">
        <f>D11*Sources!$A$20</f>
        <v>4108.8100000000013</v>
      </c>
      <c r="J11">
        <f t="shared" si="2"/>
        <v>2.5640000000000001</v>
      </c>
      <c r="K11">
        <f t="shared" si="3"/>
        <v>0.82050000000000001</v>
      </c>
      <c r="L11">
        <f>$G$6+Table3[[#This Row],[Radius '[Inches']]]</f>
        <v>0.53205000000000002</v>
      </c>
      <c r="M11">
        <f>IF($G$2&gt;=2,L11+2*Table3[[#This Row],[Radius '[Inches']]],0)</f>
        <v>0.59615000000000007</v>
      </c>
      <c r="N11">
        <f>IF($G$2&gt;=3,M11+2*Table3[[#This Row],[Radius '[Inches']]],0)</f>
        <v>0.66025000000000011</v>
      </c>
      <c r="O11">
        <f>IF($G$2&gt;=4,N11+2*Table3[[#This Row],[Radius '[Inches']]],0)</f>
        <v>0.72435000000000016</v>
      </c>
      <c r="P11">
        <f>IF($G$2&gt;=5,O11+2*Table3[[#This Row],[Radius '[Inches']]],0)</f>
        <v>0.78845000000000021</v>
      </c>
      <c r="Q11">
        <f>IF($G$2&gt;=6,P11+2*Table3[[#This Row],[Radius '[Inches']]],0)</f>
        <v>0</v>
      </c>
      <c r="R11">
        <f t="shared" si="4"/>
        <v>829.69461981306449</v>
      </c>
      <c r="S11">
        <f t="shared" si="5"/>
        <v>69.141218317755374</v>
      </c>
      <c r="T11">
        <f>Table7[[#Headers],[8.14536E-06]]*Table6[[#This Row],[length by summed circumference2]]/Table3[[#This Row],[area pi*r^2 '[Inches^2']]]</f>
        <v>0.17451845960265869</v>
      </c>
    </row>
    <row r="12" spans="1:22" x14ac:dyDescent="0.25">
      <c r="A12" s="17">
        <f t="shared" si="6"/>
        <v>15</v>
      </c>
      <c r="B12" s="18">
        <f t="shared" si="0"/>
        <v>5.7099999999999998E-2</v>
      </c>
      <c r="C12" s="18">
        <f>B12/2</f>
        <v>2.8549999999999999E-2</v>
      </c>
      <c r="D12" s="18">
        <f t="shared" si="1"/>
        <v>2.560720025922674E-3</v>
      </c>
      <c r="E12" s="20">
        <f>D12*Sources!$A$20</f>
        <v>3260.4099999999994</v>
      </c>
      <c r="J12">
        <f t="shared" si="2"/>
        <v>2.2839999999999998</v>
      </c>
      <c r="K12">
        <f t="shared" si="3"/>
        <v>0.78549999999999998</v>
      </c>
      <c r="L12">
        <f>$G$6+Table3[[#This Row],[Radius '[Inches']]]</f>
        <v>0.52854999999999996</v>
      </c>
      <c r="M12">
        <f>IF($G$2&gt;=2,L12+2*Table3[[#This Row],[Radius '[Inches']]],0)</f>
        <v>0.58565</v>
      </c>
      <c r="N12">
        <f>IF($G$2&gt;=3,M12+2*Table3[[#This Row],[Radius '[Inches']]],0)</f>
        <v>0.64275000000000004</v>
      </c>
      <c r="O12">
        <f>IF($G$2&gt;=4,N12+2*Table3[[#This Row],[Radius '[Inches']]],0)</f>
        <v>0.69985000000000008</v>
      </c>
      <c r="P12">
        <f>IF($G$2&gt;=5,O12+2*Table3[[#This Row],[Radius '[Inches']]],0)</f>
        <v>0.75695000000000012</v>
      </c>
      <c r="Q12">
        <f>IF($G$2&gt;=6,P12+2*Table3[[#This Row],[Radius '[Inches']]],0)</f>
        <v>0</v>
      </c>
      <c r="R12">
        <f t="shared" si="4"/>
        <v>807.70347123793579</v>
      </c>
      <c r="S12">
        <f t="shared" si="5"/>
        <v>67.308622603161311</v>
      </c>
      <c r="T12">
        <f>Table7[[#Headers],[8.14536E-06]]*Table6[[#This Row],[length by summed circumference2]]/Table3[[#This Row],[area pi*r^2 '[Inches^2']]]</f>
        <v>0.21410109526102547</v>
      </c>
    </row>
    <row r="13" spans="1:22" x14ac:dyDescent="0.25">
      <c r="A13" s="17">
        <f t="shared" si="6"/>
        <v>16</v>
      </c>
      <c r="B13" s="18">
        <f t="shared" si="0"/>
        <v>5.0799999999999998E-2</v>
      </c>
      <c r="C13" s="18">
        <f>B13/2</f>
        <v>2.5399999999999999E-2</v>
      </c>
      <c r="D13" s="18">
        <f t="shared" si="1"/>
        <v>2.0268299163899908E-3</v>
      </c>
      <c r="E13" s="20">
        <f>D13*Sources!$A$20</f>
        <v>2580.64</v>
      </c>
      <c r="J13">
        <f t="shared" si="2"/>
        <v>2.032</v>
      </c>
      <c r="K13">
        <f t="shared" si="3"/>
        <v>0.754</v>
      </c>
      <c r="L13">
        <f>$G$6+Table3[[#This Row],[Radius '[Inches']]]</f>
        <v>0.52539999999999998</v>
      </c>
      <c r="M13">
        <f>IF($G$2&gt;=2,L13+2*Table3[[#This Row],[Radius '[Inches']]],0)</f>
        <v>0.57619999999999993</v>
      </c>
      <c r="N13">
        <f>IF($G$2&gt;=3,M13+2*Table3[[#This Row],[Radius '[Inches']]],0)</f>
        <v>0.62699999999999989</v>
      </c>
      <c r="O13">
        <f>IF($G$2&gt;=4,N13+2*Table3[[#This Row],[Radius '[Inches']]],0)</f>
        <v>0.67779999999999985</v>
      </c>
      <c r="P13">
        <f>IF($G$2&gt;=5,O13+2*Table3[[#This Row],[Radius '[Inches']]],0)</f>
        <v>0.7285999999999998</v>
      </c>
      <c r="Q13">
        <f>IF($G$2&gt;=6,P13+2*Table3[[#This Row],[Radius '[Inches']]],0)</f>
        <v>0</v>
      </c>
      <c r="R13">
        <f t="shared" si="4"/>
        <v>787.91143752031996</v>
      </c>
      <c r="S13">
        <f t="shared" si="5"/>
        <v>65.659286460026664</v>
      </c>
      <c r="T13">
        <f>Table7[[#Headers],[8.14536E-06]]*Table6[[#This Row],[length by summed circumference2]]/Table3[[#This Row],[area pi*r^2 '[Inches^2']]]</f>
        <v>0.26386946493892988</v>
      </c>
    </row>
    <row r="14" spans="1:22" x14ac:dyDescent="0.25">
      <c r="A14" s="17">
        <f t="shared" si="6"/>
        <v>17</v>
      </c>
      <c r="B14" s="18">
        <f t="shared" si="0"/>
        <v>4.53E-2</v>
      </c>
      <c r="C14" s="18">
        <f>B14/2</f>
        <v>2.265E-2</v>
      </c>
      <c r="D14" s="18">
        <f t="shared" si="1"/>
        <v>1.6117077171262696E-3</v>
      </c>
      <c r="E14" s="20">
        <f>D14*Sources!$A$20</f>
        <v>2052.09</v>
      </c>
      <c r="J14">
        <f t="shared" si="2"/>
        <v>1.8120000000000001</v>
      </c>
      <c r="K14">
        <f t="shared" si="3"/>
        <v>0.72650000000000003</v>
      </c>
      <c r="L14">
        <f>$G$6+Table3[[#This Row],[Radius '[Inches']]]</f>
        <v>0.52264999999999995</v>
      </c>
      <c r="M14">
        <f>IF($G$2&gt;=2,L14+2*Table3[[#This Row],[Radius '[Inches']]],0)</f>
        <v>0.56794999999999995</v>
      </c>
      <c r="N14">
        <f>IF($G$2&gt;=3,M14+2*Table3[[#This Row],[Radius '[Inches']]],0)</f>
        <v>0.61324999999999996</v>
      </c>
      <c r="O14">
        <f>IF($G$2&gt;=4,N14+2*Table3[[#This Row],[Radius '[Inches']]],0)</f>
        <v>0.65854999999999997</v>
      </c>
      <c r="P14">
        <f>IF($G$2&gt;=5,O14+2*Table3[[#This Row],[Radius '[Inches']]],0)</f>
        <v>0.70384999999999998</v>
      </c>
      <c r="Q14">
        <f>IF($G$2&gt;=6,P14+2*Table3[[#This Row],[Radius '[Inches']]],0)</f>
        <v>0</v>
      </c>
      <c r="R14">
        <f t="shared" si="4"/>
        <v>770.63267792557622</v>
      </c>
      <c r="S14">
        <f t="shared" si="5"/>
        <v>64.219389827131351</v>
      </c>
      <c r="T14">
        <f>Table7[[#Headers],[8.14536E-06]]*Table6[[#This Row],[length by summed circumference2]]/Table3[[#This Row],[area pi*r^2 '[Inches^2']]]</f>
        <v>0.32455639664926977</v>
      </c>
    </row>
    <row r="15" spans="1:22" x14ac:dyDescent="0.25">
      <c r="A15" s="17">
        <f t="shared" si="6"/>
        <v>18</v>
      </c>
      <c r="B15" s="18">
        <f t="shared" si="0"/>
        <v>4.0300000000000002E-2</v>
      </c>
      <c r="C15" s="18">
        <f>B15/2</f>
        <v>2.0150000000000001E-2</v>
      </c>
      <c r="D15" s="18">
        <f t="shared" si="1"/>
        <v>1.2755573031921618E-3</v>
      </c>
      <c r="E15" s="20">
        <f>D15*Sources!$A$20</f>
        <v>1624.09</v>
      </c>
      <c r="J15">
        <f t="shared" si="2"/>
        <v>1.6120000000000001</v>
      </c>
      <c r="K15">
        <f t="shared" si="3"/>
        <v>0.70150000000000001</v>
      </c>
      <c r="L15">
        <f>$G$6+Table3[[#This Row],[Radius '[Inches']]]</f>
        <v>0.52015</v>
      </c>
      <c r="M15">
        <f>IF($G$2&gt;=2,L15+2*Table3[[#This Row],[Radius '[Inches']]],0)</f>
        <v>0.56045</v>
      </c>
      <c r="N15">
        <f>IF($G$2&gt;=3,M15+2*Table3[[#This Row],[Radius '[Inches']]],0)</f>
        <v>0.60075000000000001</v>
      </c>
      <c r="O15">
        <f>IF($G$2&gt;=4,N15+2*Table3[[#This Row],[Radius '[Inches']]],0)</f>
        <v>0.64105000000000001</v>
      </c>
      <c r="P15">
        <f>IF($G$2&gt;=5,O15+2*Table3[[#This Row],[Radius '[Inches']]],0)</f>
        <v>0.68135000000000001</v>
      </c>
      <c r="Q15">
        <f>IF($G$2&gt;=6,P15+2*Table3[[#This Row],[Radius '[Inches']]],0)</f>
        <v>0</v>
      </c>
      <c r="R15">
        <f t="shared" si="4"/>
        <v>754.92471465762731</v>
      </c>
      <c r="S15">
        <f t="shared" si="5"/>
        <v>62.910392888135611</v>
      </c>
      <c r="T15">
        <f>Table7[[#Headers],[8.14536E-06]]*Table6[[#This Row],[length by summed circumference2]]/Table3[[#This Row],[area pi*r^2 '[Inches^2']]]</f>
        <v>0.40172855937786706</v>
      </c>
    </row>
    <row r="16" spans="1:22" x14ac:dyDescent="0.25">
      <c r="A16" s="17">
        <f t="shared" si="6"/>
        <v>19</v>
      </c>
      <c r="B16" s="18">
        <f t="shared" si="0"/>
        <v>3.5900000000000001E-2</v>
      </c>
      <c r="C16" s="18">
        <f>B16/2</f>
        <v>1.7950000000000001E-2</v>
      </c>
      <c r="D16" s="18">
        <f t="shared" si="1"/>
        <v>1.0122290069682653E-3</v>
      </c>
      <c r="E16" s="20">
        <f>D16*Sources!$A$20</f>
        <v>1288.81</v>
      </c>
      <c r="J16">
        <f t="shared" si="2"/>
        <v>1.4359999999999999</v>
      </c>
      <c r="K16">
        <f t="shared" si="3"/>
        <v>0.67949999999999999</v>
      </c>
      <c r="L16">
        <f>$G$6+Table3[[#This Row],[Radius '[Inches']]]</f>
        <v>0.51795000000000002</v>
      </c>
      <c r="M16">
        <f>IF($G$2&gt;=2,L16+2*Table3[[#This Row],[Radius '[Inches']]],0)</f>
        <v>0.55385000000000006</v>
      </c>
      <c r="N16">
        <f>IF($G$2&gt;=3,M16+2*Table3[[#This Row],[Radius '[Inches']]],0)</f>
        <v>0.58975000000000011</v>
      </c>
      <c r="O16">
        <f>IF($G$2&gt;=4,N16+2*Table3[[#This Row],[Radius '[Inches']]],0)</f>
        <v>0.62565000000000015</v>
      </c>
      <c r="P16">
        <f>IF($G$2&gt;=5,O16+2*Table3[[#This Row],[Radius '[Inches']]],0)</f>
        <v>0.66155000000000019</v>
      </c>
      <c r="Q16">
        <f>IF($G$2&gt;=6,P16+2*Table3[[#This Row],[Radius '[Inches']]],0)</f>
        <v>0</v>
      </c>
      <c r="R16">
        <f t="shared" si="4"/>
        <v>741.10170698183231</v>
      </c>
      <c r="S16">
        <f t="shared" si="5"/>
        <v>61.758475581819361</v>
      </c>
      <c r="T16">
        <f>Table7[[#Headers],[8.14536E-06]]*Table6[[#This Row],[length by summed circumference2]]/Table3[[#This Row],[area pi*r^2 '[Inches^2']]]</f>
        <v>0.4969675964649562</v>
      </c>
    </row>
    <row r="17" spans="1:20" x14ac:dyDescent="0.25">
      <c r="A17" s="17">
        <f t="shared" si="6"/>
        <v>20</v>
      </c>
      <c r="B17" s="18">
        <f t="shared" si="0"/>
        <v>3.2000000000000001E-2</v>
      </c>
      <c r="C17" s="18">
        <f>B17/2</f>
        <v>1.6E-2</v>
      </c>
      <c r="D17" s="18">
        <f t="shared" si="1"/>
        <v>8.0424771931898698E-4</v>
      </c>
      <c r="E17" s="20">
        <f>D17*Sources!$A$20</f>
        <v>1024</v>
      </c>
      <c r="J17">
        <f t="shared" si="2"/>
        <v>1.28</v>
      </c>
      <c r="K17">
        <f t="shared" si="3"/>
        <v>0.66</v>
      </c>
      <c r="L17">
        <f>$G$6+Table3[[#This Row],[Radius '[Inches']]]</f>
        <v>0.51600000000000001</v>
      </c>
      <c r="M17">
        <f>IF($G$2&gt;=2,L17+2*Table3[[#This Row],[Radius '[Inches']]],0)</f>
        <v>0.54800000000000004</v>
      </c>
      <c r="N17">
        <f>IF($G$2&gt;=3,M17+2*Table3[[#This Row],[Radius '[Inches']]],0)</f>
        <v>0.58000000000000007</v>
      </c>
      <c r="O17">
        <f>IF($G$2&gt;=4,N17+2*Table3[[#This Row],[Radius '[Inches']]],0)</f>
        <v>0.6120000000000001</v>
      </c>
      <c r="P17">
        <f>IF($G$2&gt;=5,O17+2*Table3[[#This Row],[Radius '[Inches']]],0)</f>
        <v>0.64400000000000013</v>
      </c>
      <c r="Q17">
        <f>IF($G$2&gt;=6,P17+2*Table3[[#This Row],[Radius '[Inches']]],0)</f>
        <v>0</v>
      </c>
      <c r="R17">
        <f t="shared" si="4"/>
        <v>728.84949563283215</v>
      </c>
      <c r="S17">
        <f t="shared" si="5"/>
        <v>60.737457969402676</v>
      </c>
      <c r="T17">
        <f>Table7[[#Headers],[8.14536E-06]]*Table6[[#This Row],[length by summed circumference2]]/Table3[[#This Row],[area pi*r^2 '[Inches^2']]]</f>
        <v>0.61514437500000019</v>
      </c>
    </row>
    <row r="18" spans="1:20" x14ac:dyDescent="0.25">
      <c r="A18" s="17">
        <f t="shared" si="6"/>
        <v>21</v>
      </c>
      <c r="B18" s="18">
        <f t="shared" si="0"/>
        <v>2.8500000000000001E-2</v>
      </c>
      <c r="C18" s="18">
        <f>B18/2</f>
        <v>1.4250000000000001E-2</v>
      </c>
      <c r="D18" s="18">
        <f t="shared" si="1"/>
        <v>6.3793965821957739E-4</v>
      </c>
      <c r="E18" s="20">
        <f>D18*Sources!$A$20</f>
        <v>812.25</v>
      </c>
      <c r="J18">
        <f t="shared" si="2"/>
        <v>1.1400000000000001</v>
      </c>
      <c r="K18">
        <f t="shared" si="3"/>
        <v>0.64250000000000007</v>
      </c>
      <c r="L18">
        <f>$G$6+Table3[[#This Row],[Radius '[Inches']]]</f>
        <v>0.51424999999999998</v>
      </c>
      <c r="M18">
        <f>IF($G$2&gt;=2,L18+2*Table3[[#This Row],[Radius '[Inches']]],0)</f>
        <v>0.54274999999999995</v>
      </c>
      <c r="N18">
        <f>IF($G$2&gt;=3,M18+2*Table3[[#This Row],[Radius '[Inches']]],0)</f>
        <v>0.57124999999999992</v>
      </c>
      <c r="O18">
        <f>IF($G$2&gt;=4,N18+2*Table3[[#This Row],[Radius '[Inches']]],0)</f>
        <v>0.59974999999999989</v>
      </c>
      <c r="P18">
        <f>IF($G$2&gt;=5,O18+2*Table3[[#This Row],[Radius '[Inches']]],0)</f>
        <v>0.62824999999999986</v>
      </c>
      <c r="Q18">
        <f>IF($G$2&gt;=6,P18+2*Table3[[#This Row],[Radius '[Inches']]],0)</f>
        <v>0</v>
      </c>
      <c r="R18">
        <f t="shared" si="4"/>
        <v>717.85392134526762</v>
      </c>
      <c r="S18">
        <f t="shared" si="5"/>
        <v>59.821160112105638</v>
      </c>
      <c r="T18">
        <f>Table7[[#Headers],[8.14536E-06]]*Table6[[#This Row],[length by summed circumference2]]/Table3[[#This Row],[area pi*r^2 '[Inches^2']]]</f>
        <v>0.76381030470914124</v>
      </c>
    </row>
    <row r="19" spans="1:20" x14ac:dyDescent="0.25">
      <c r="A19" s="17">
        <f t="shared" si="6"/>
        <v>22</v>
      </c>
      <c r="B19" s="18">
        <f t="shared" si="0"/>
        <v>2.53E-2</v>
      </c>
      <c r="C19" s="18">
        <f>B19/2</f>
        <v>1.265E-2</v>
      </c>
      <c r="D19" s="18">
        <f t="shared" si="1"/>
        <v>5.0272551040907263E-4</v>
      </c>
      <c r="E19" s="20">
        <f>D19*Sources!$A$20</f>
        <v>640.08999999999992</v>
      </c>
      <c r="J19">
        <f t="shared" si="2"/>
        <v>1.012</v>
      </c>
      <c r="K19">
        <f t="shared" si="3"/>
        <v>0.62650000000000006</v>
      </c>
      <c r="L19">
        <f>$G$6+Table3[[#This Row],[Radius '[Inches']]]</f>
        <v>0.51265000000000005</v>
      </c>
      <c r="M19">
        <f>IF($G$2&gt;=2,L19+2*Table3[[#This Row],[Radius '[Inches']]],0)</f>
        <v>0.53795000000000004</v>
      </c>
      <c r="N19">
        <f>IF($G$2&gt;=3,M19+2*Table3[[#This Row],[Radius '[Inches']]],0)</f>
        <v>0.56325000000000003</v>
      </c>
      <c r="O19">
        <f>IF($G$2&gt;=4,N19+2*Table3[[#This Row],[Radius '[Inches']]],0)</f>
        <v>0.58855000000000002</v>
      </c>
      <c r="P19">
        <f>IF($G$2&gt;=5,O19+2*Table3[[#This Row],[Radius '[Inches']]],0)</f>
        <v>0.61385000000000001</v>
      </c>
      <c r="Q19">
        <f>IF($G$2&gt;=6,P19+2*Table3[[#This Row],[Radius '[Inches']]],0)</f>
        <v>0</v>
      </c>
      <c r="R19">
        <f t="shared" si="4"/>
        <v>707.80082485378045</v>
      </c>
      <c r="S19">
        <f t="shared" si="5"/>
        <v>58.983402071148369</v>
      </c>
      <c r="T19">
        <f>Table7[[#Headers],[8.14536E-06]]*Table6[[#This Row],[length by summed circumference2]]/Table3[[#This Row],[area pi*r^2 '[Inches^2']]]</f>
        <v>0.95567269602712135</v>
      </c>
    </row>
    <row r="20" spans="1:20" x14ac:dyDescent="0.25">
      <c r="A20" s="17">
        <f t="shared" si="6"/>
        <v>23</v>
      </c>
      <c r="B20" s="18">
        <f t="shared" si="0"/>
        <v>2.2599999999999999E-2</v>
      </c>
      <c r="C20" s="18">
        <f>B20/2</f>
        <v>1.1299999999999999E-2</v>
      </c>
      <c r="D20" s="18">
        <f t="shared" si="1"/>
        <v>4.0114996593688067E-4</v>
      </c>
      <c r="E20" s="20">
        <f>D20*Sources!$A$20</f>
        <v>510.76</v>
      </c>
      <c r="J20">
        <f t="shared" si="2"/>
        <v>0.90399999999999991</v>
      </c>
      <c r="K20">
        <f t="shared" si="3"/>
        <v>0.61299999999999999</v>
      </c>
      <c r="L20">
        <f>$G$6+Table3[[#This Row],[Radius '[Inches']]]</f>
        <v>0.51129999999999998</v>
      </c>
      <c r="M20">
        <f>IF($G$2&gt;=2,L20+2*Table3[[#This Row],[Radius '[Inches']]],0)</f>
        <v>0.53389999999999993</v>
      </c>
      <c r="N20">
        <f>IF($G$2&gt;=3,M20+2*Table3[[#This Row],[Radius '[Inches']]],0)</f>
        <v>0.55649999999999988</v>
      </c>
      <c r="O20">
        <f>IF($G$2&gt;=4,N20+2*Table3[[#This Row],[Radius '[Inches']]],0)</f>
        <v>0.57909999999999984</v>
      </c>
      <c r="P20">
        <f>IF($G$2&gt;=5,O20+2*Table3[[#This Row],[Radius '[Inches']]],0)</f>
        <v>0.60169999999999979</v>
      </c>
      <c r="Q20">
        <f>IF($G$2&gt;=6,P20+2*Table3[[#This Row],[Radius '[Inches']]],0)</f>
        <v>0</v>
      </c>
      <c r="R20">
        <f t="shared" si="4"/>
        <v>699.31852468908778</v>
      </c>
      <c r="S20">
        <f t="shared" si="5"/>
        <v>58.276543724090651</v>
      </c>
      <c r="T20">
        <f>Table7[[#Headers],[8.14536E-06]]*Table6[[#This Row],[length by summed circumference2]]/Table3[[#This Row],[area pi*r^2 '[Inches^2']]]</f>
        <v>1.1833066645782755</v>
      </c>
    </row>
    <row r="21" spans="1:20" x14ac:dyDescent="0.25">
      <c r="A21" s="17">
        <f t="shared" si="6"/>
        <v>24</v>
      </c>
      <c r="B21" s="18">
        <f t="shared" si="0"/>
        <v>2.01E-2</v>
      </c>
      <c r="C21" s="18">
        <f>B21/2</f>
        <v>1.005E-2</v>
      </c>
      <c r="D21" s="18">
        <f t="shared" si="1"/>
        <v>3.173087119942031E-4</v>
      </c>
      <c r="E21" s="20">
        <f>D21*Sources!$A$20</f>
        <v>404.01000000000005</v>
      </c>
      <c r="J21">
        <f t="shared" si="2"/>
        <v>0.80400000000000005</v>
      </c>
      <c r="K21">
        <f t="shared" si="3"/>
        <v>0.60050000000000003</v>
      </c>
      <c r="L21">
        <f>$G$6+Table3[[#This Row],[Radius '[Inches']]]</f>
        <v>0.51005</v>
      </c>
      <c r="M21">
        <f>IF($G$2&gt;=2,L21+2*Table3[[#This Row],[Radius '[Inches']]],0)</f>
        <v>0.53015000000000001</v>
      </c>
      <c r="N21">
        <f>IF($G$2&gt;=3,M21+2*Table3[[#This Row],[Radius '[Inches']]],0)</f>
        <v>0.55025000000000002</v>
      </c>
      <c r="O21">
        <f>IF($G$2&gt;=4,N21+2*Table3[[#This Row],[Radius '[Inches']]],0)</f>
        <v>0.57035000000000002</v>
      </c>
      <c r="P21">
        <f>IF($G$2&gt;=5,O21+2*Table3[[#This Row],[Radius '[Inches']]],0)</f>
        <v>0.59045000000000003</v>
      </c>
      <c r="Q21">
        <f>IF($G$2&gt;=6,P21+2*Table3[[#This Row],[Radius '[Inches']]],0)</f>
        <v>0</v>
      </c>
      <c r="R21">
        <f t="shared" si="4"/>
        <v>691.4645430551135</v>
      </c>
      <c r="S21">
        <f t="shared" si="5"/>
        <v>57.622045254592791</v>
      </c>
      <c r="T21">
        <f>Table7[[#Headers],[8.14536E-06]]*Table6[[#This Row],[length by summed circumference2]]/Table3[[#This Row],[area pi*r^2 '[Inches^2']]]</f>
        <v>1.4791661394519939</v>
      </c>
    </row>
    <row r="22" spans="1:20" x14ac:dyDescent="0.25">
      <c r="A22" s="17">
        <f t="shared" si="6"/>
        <v>25</v>
      </c>
      <c r="B22" s="18">
        <f t="shared" si="0"/>
        <v>1.7899999999999999E-2</v>
      </c>
      <c r="C22" s="18">
        <f>B22/2</f>
        <v>8.9499999999999996E-3</v>
      </c>
      <c r="D22" s="18">
        <f t="shared" si="1"/>
        <v>2.5164942553417637E-4</v>
      </c>
      <c r="E22" s="20">
        <f>D22*Sources!$A$20</f>
        <v>320.40999999999997</v>
      </c>
      <c r="J22">
        <f t="shared" si="2"/>
        <v>0.71599999999999997</v>
      </c>
      <c r="K22">
        <f t="shared" si="3"/>
        <v>0.58950000000000002</v>
      </c>
      <c r="L22">
        <f>$G$6+Table3[[#This Row],[Radius '[Inches']]]</f>
        <v>0.50895000000000001</v>
      </c>
      <c r="M22">
        <f>IF($G$2&gt;=2,L22+2*Table3[[#This Row],[Radius '[Inches']]],0)</f>
        <v>0.52685000000000004</v>
      </c>
      <c r="N22">
        <f>IF($G$2&gt;=3,M22+2*Table3[[#This Row],[Radius '[Inches']]],0)</f>
        <v>0.54475000000000007</v>
      </c>
      <c r="O22">
        <f>IF($G$2&gt;=4,N22+2*Table3[[#This Row],[Radius '[Inches']]],0)</f>
        <v>0.56265000000000009</v>
      </c>
      <c r="P22">
        <f>IF($G$2&gt;=5,O22+2*Table3[[#This Row],[Radius '[Inches']]],0)</f>
        <v>0.58055000000000012</v>
      </c>
      <c r="Q22">
        <f>IF($G$2&gt;=6,P22+2*Table3[[#This Row],[Radius '[Inches']]],0)</f>
        <v>0</v>
      </c>
      <c r="R22">
        <f t="shared" si="4"/>
        <v>684.553039217216</v>
      </c>
      <c r="S22">
        <f t="shared" si="5"/>
        <v>57.046086601434666</v>
      </c>
      <c r="T22">
        <f>Table7[[#Headers],[8.14536E-06]]*Table6[[#This Row],[length by summed circumference2]]/Table3[[#This Row],[area pi*r^2 '[Inches^2']]]</f>
        <v>1.8464612465278867</v>
      </c>
    </row>
    <row r="23" spans="1:20" x14ac:dyDescent="0.25">
      <c r="A23" s="17">
        <f t="shared" si="6"/>
        <v>26</v>
      </c>
      <c r="B23" s="18">
        <f t="shared" si="0"/>
        <v>1.5900000000000001E-2</v>
      </c>
      <c r="C23" s="18">
        <f>B23/2</f>
        <v>7.9500000000000005E-3</v>
      </c>
      <c r="D23" s="18">
        <f t="shared" si="1"/>
        <v>1.9855650968850892E-4</v>
      </c>
      <c r="E23" s="20">
        <f>D23*Sources!$A$20</f>
        <v>252.81000000000003</v>
      </c>
      <c r="J23">
        <f t="shared" si="2"/>
        <v>0.63600000000000001</v>
      </c>
      <c r="K23">
        <f t="shared" si="3"/>
        <v>0.57950000000000002</v>
      </c>
      <c r="L23">
        <f>$G$6+Table3[[#This Row],[Radius '[Inches']]]</f>
        <v>0.50795000000000001</v>
      </c>
      <c r="M23">
        <f>IF($G$2&gt;=2,L23+2*Table3[[#This Row],[Radius '[Inches']]],0)</f>
        <v>0.52385000000000004</v>
      </c>
      <c r="N23">
        <f>IF($G$2&gt;=3,M23+2*Table3[[#This Row],[Radius '[Inches']]],0)</f>
        <v>0.53975000000000006</v>
      </c>
      <c r="O23">
        <f>IF($G$2&gt;=4,N23+2*Table3[[#This Row],[Radius '[Inches']]],0)</f>
        <v>0.55565000000000009</v>
      </c>
      <c r="P23">
        <f>IF($G$2&gt;=5,O23+2*Table3[[#This Row],[Radius '[Inches']]],0)</f>
        <v>0.57155000000000011</v>
      </c>
      <c r="Q23">
        <f>IF($G$2&gt;=6,P23+2*Table3[[#This Row],[Radius '[Inches']]],0)</f>
        <v>0</v>
      </c>
      <c r="R23">
        <f t="shared" si="4"/>
        <v>678.26985391003643</v>
      </c>
      <c r="S23">
        <f t="shared" si="5"/>
        <v>56.522487825836372</v>
      </c>
      <c r="T23">
        <f>Table7[[#Headers],[8.14536E-06]]*Table6[[#This Row],[length by summed circumference2]]/Table3[[#This Row],[area pi*r^2 '[Inches^2']]]</f>
        <v>2.3187152723389111</v>
      </c>
    </row>
    <row r="24" spans="1:20" x14ac:dyDescent="0.25">
      <c r="A24" s="17">
        <f t="shared" si="6"/>
        <v>27</v>
      </c>
      <c r="B24" s="18">
        <f t="shared" si="0"/>
        <v>1.4200000000000001E-2</v>
      </c>
      <c r="C24" s="18">
        <f>B24/2</f>
        <v>7.1000000000000004E-3</v>
      </c>
      <c r="D24" s="18">
        <f t="shared" si="1"/>
        <v>1.583676856674615E-4</v>
      </c>
      <c r="E24" s="20">
        <f>D24*Sources!$A$20</f>
        <v>201.64000000000004</v>
      </c>
      <c r="J24">
        <f t="shared" si="2"/>
        <v>0.56800000000000006</v>
      </c>
      <c r="K24">
        <f t="shared" si="3"/>
        <v>0.57099999999999995</v>
      </c>
      <c r="L24">
        <f>$G$6+Table3[[#This Row],[Radius '[Inches']]]</f>
        <v>0.5071</v>
      </c>
      <c r="M24">
        <f>IF($G$2&gt;=2,L24+2*Table3[[#This Row],[Radius '[Inches']]],0)</f>
        <v>0.52129999999999999</v>
      </c>
      <c r="N24">
        <f>IF($G$2&gt;=3,M24+2*Table3[[#This Row],[Radius '[Inches']]],0)</f>
        <v>0.53549999999999998</v>
      </c>
      <c r="O24">
        <f>IF($G$2&gt;=4,N24+2*Table3[[#This Row],[Radius '[Inches']]],0)</f>
        <v>0.54969999999999997</v>
      </c>
      <c r="P24">
        <f>IF($G$2&gt;=5,O24+2*Table3[[#This Row],[Radius '[Inches']]],0)</f>
        <v>0.56389999999999996</v>
      </c>
      <c r="Q24">
        <f>IF($G$2&gt;=6,P24+2*Table3[[#This Row],[Radius '[Inches']]],0)</f>
        <v>0</v>
      </c>
      <c r="R24">
        <f t="shared" si="4"/>
        <v>672.92914639893365</v>
      </c>
      <c r="S24">
        <f t="shared" si="5"/>
        <v>56.077428866577804</v>
      </c>
      <c r="T24">
        <f>Table7[[#Headers],[8.14536E-06]]*Table6[[#This Row],[length by summed circumference2]]/Table3[[#This Row],[area pi*r^2 '[Inches^2']]]</f>
        <v>2.8842427296171391</v>
      </c>
    </row>
    <row r="25" spans="1:20" x14ac:dyDescent="0.25">
      <c r="A25" s="17">
        <f t="shared" si="6"/>
        <v>28</v>
      </c>
      <c r="B25" s="18">
        <f t="shared" si="0"/>
        <v>1.26E-2</v>
      </c>
      <c r="C25" s="18">
        <f>B25/2</f>
        <v>6.3E-3</v>
      </c>
      <c r="D25" s="18">
        <f t="shared" si="1"/>
        <v>1.2468981242097889E-4</v>
      </c>
      <c r="E25" s="20">
        <f>D25*Sources!$A$20</f>
        <v>158.76</v>
      </c>
      <c r="J25">
        <f t="shared" si="2"/>
        <v>0.504</v>
      </c>
      <c r="K25">
        <f t="shared" si="3"/>
        <v>0.56299999999999994</v>
      </c>
      <c r="L25">
        <f>$G$6+Table3[[#This Row],[Radius '[Inches']]]</f>
        <v>0.50629999999999997</v>
      </c>
      <c r="M25">
        <f>IF($G$2&gt;=2,L25+2*Table3[[#This Row],[Radius '[Inches']]],0)</f>
        <v>0.51889999999999992</v>
      </c>
      <c r="N25">
        <f>IF($G$2&gt;=3,M25+2*Table3[[#This Row],[Radius '[Inches']]],0)</f>
        <v>0.53149999999999986</v>
      </c>
      <c r="O25">
        <f>IF($G$2&gt;=4,N25+2*Table3[[#This Row],[Radius '[Inches']]],0)</f>
        <v>0.54409999999999981</v>
      </c>
      <c r="P25">
        <f>IF($G$2&gt;=5,O25+2*Table3[[#This Row],[Radius '[Inches']]],0)</f>
        <v>0.55669999999999975</v>
      </c>
      <c r="Q25">
        <f>IF($G$2&gt;=6,P25+2*Table3[[#This Row],[Radius '[Inches']]],0)</f>
        <v>0</v>
      </c>
      <c r="R25">
        <f t="shared" si="4"/>
        <v>667.90259815318984</v>
      </c>
      <c r="S25">
        <f t="shared" si="5"/>
        <v>55.658549846099156</v>
      </c>
      <c r="T25">
        <f>Table7[[#Headers],[8.14536E-06]]*Table6[[#This Row],[length by summed circumference2]]/Table3[[#This Row],[area pi*r^2 '[Inches^2']]]</f>
        <v>3.6358938775510197</v>
      </c>
    </row>
    <row r="26" spans="1:20" x14ac:dyDescent="0.25">
      <c r="A26" s="17">
        <f t="shared" si="6"/>
        <v>29</v>
      </c>
      <c r="B26" s="18">
        <f t="shared" si="0"/>
        <v>1.1299999999999999E-2</v>
      </c>
      <c r="C26" s="18">
        <f>B26/2</f>
        <v>5.6499999999999996E-3</v>
      </c>
      <c r="D26" s="18">
        <f t="shared" si="1"/>
        <v>1.0028749148422017E-4</v>
      </c>
      <c r="E26" s="20">
        <f>D26*Sources!$A$20</f>
        <v>127.69</v>
      </c>
      <c r="J26">
        <f t="shared" si="2"/>
        <v>0.45199999999999996</v>
      </c>
      <c r="K26">
        <f t="shared" si="3"/>
        <v>0.55649999999999999</v>
      </c>
      <c r="L26">
        <f>$G$6+Table3[[#This Row],[Radius '[Inches']]]</f>
        <v>0.50565000000000004</v>
      </c>
      <c r="M26">
        <f>IF($G$2&gt;=2,L26+2*Table3[[#This Row],[Radius '[Inches']]],0)</f>
        <v>0.51695000000000002</v>
      </c>
      <c r="N26">
        <f>IF($G$2&gt;=3,M26+2*Table3[[#This Row],[Radius '[Inches']]],0)</f>
        <v>0.52825</v>
      </c>
      <c r="O26">
        <f>IF($G$2&gt;=4,N26+2*Table3[[#This Row],[Radius '[Inches']]],0)</f>
        <v>0.53954999999999997</v>
      </c>
      <c r="P26">
        <f>IF($G$2&gt;=5,O26+2*Table3[[#This Row],[Radius '[Inches']]],0)</f>
        <v>0.55084999999999995</v>
      </c>
      <c r="Q26">
        <f>IF($G$2&gt;=6,P26+2*Table3[[#This Row],[Radius '[Inches']]],0)</f>
        <v>0</v>
      </c>
      <c r="R26">
        <f t="shared" si="4"/>
        <v>663.81852770352327</v>
      </c>
      <c r="S26">
        <f t="shared" si="5"/>
        <v>55.31821064196027</v>
      </c>
      <c r="T26">
        <f>Table7[[#Headers],[8.14536E-06]]*Table6[[#This Row],[length by summed circumference2]]/Table3[[#This Row],[area pi*r^2 '[Inches^2']]]</f>
        <v>4.4929505521184119</v>
      </c>
    </row>
    <row r="27" spans="1:20" x14ac:dyDescent="0.25">
      <c r="A27" s="17">
        <f t="shared" si="6"/>
        <v>30</v>
      </c>
      <c r="B27" s="18">
        <f t="shared" si="0"/>
        <v>0.01</v>
      </c>
      <c r="C27" s="18">
        <f>B27/2</f>
        <v>5.0000000000000001E-3</v>
      </c>
      <c r="D27" s="18">
        <f t="shared" si="1"/>
        <v>7.8539816339744827E-5</v>
      </c>
      <c r="E27" s="20">
        <f>D27*Sources!$A$20</f>
        <v>100</v>
      </c>
      <c r="J27">
        <f t="shared" si="2"/>
        <v>0.4</v>
      </c>
      <c r="K27">
        <f t="shared" si="3"/>
        <v>0.55000000000000004</v>
      </c>
      <c r="L27">
        <f>$G$6+Table3[[#This Row],[Radius '[Inches']]]</f>
        <v>0.505</v>
      </c>
      <c r="M27">
        <f>IF($G$2&gt;=2,L27+2*Table3[[#This Row],[Radius '[Inches']]],0)</f>
        <v>0.51500000000000001</v>
      </c>
      <c r="N27">
        <f>IF($G$2&gt;=3,M27+2*Table3[[#This Row],[Radius '[Inches']]],0)</f>
        <v>0.52500000000000002</v>
      </c>
      <c r="O27">
        <f>IF($G$2&gt;=4,N27+2*Table3[[#This Row],[Radius '[Inches']]],0)</f>
        <v>0.53500000000000003</v>
      </c>
      <c r="P27">
        <f>IF($G$2&gt;=5,O27+2*Table3[[#This Row],[Radius '[Inches']]],0)</f>
        <v>0.54500000000000004</v>
      </c>
      <c r="Q27">
        <f>IF($G$2&gt;=6,P27+2*Table3[[#This Row],[Radius '[Inches']]],0)</f>
        <v>0</v>
      </c>
      <c r="R27">
        <f t="shared" si="4"/>
        <v>659.73445725385659</v>
      </c>
      <c r="S27">
        <f t="shared" si="5"/>
        <v>54.977871437821385</v>
      </c>
      <c r="T27">
        <f>Table7[[#Headers],[8.14536E-06]]*Table6[[#This Row],[length by summed circumference2]]/Table3[[#This Row],[area pi*r^2 '[Inches^2']]]</f>
        <v>5.7017520000000008</v>
      </c>
    </row>
    <row r="28" spans="1:20" x14ac:dyDescent="0.25">
      <c r="A28" s="17">
        <f t="shared" si="6"/>
        <v>31</v>
      </c>
      <c r="B28" s="18">
        <f t="shared" si="0"/>
        <v>8.8999999999999999E-3</v>
      </c>
      <c r="C28" s="18">
        <f>B28/2</f>
        <v>4.45E-3</v>
      </c>
      <c r="D28" s="18">
        <f t="shared" si="1"/>
        <v>6.2211388522711878E-5</v>
      </c>
      <c r="E28" s="20">
        <f>D28*Sources!$A$20</f>
        <v>79.209999999999994</v>
      </c>
      <c r="J28">
        <f t="shared" si="2"/>
        <v>0.35599999999999998</v>
      </c>
      <c r="K28">
        <f t="shared" si="3"/>
        <v>0.54449999999999998</v>
      </c>
      <c r="L28">
        <f>$G$6+Table3[[#This Row],[Radius '[Inches']]]</f>
        <v>0.50444999999999995</v>
      </c>
      <c r="M28">
        <f>IF($G$2&gt;=2,L28+2*Table3[[#This Row],[Radius '[Inches']]],0)</f>
        <v>0.51334999999999997</v>
      </c>
      <c r="N28">
        <f>IF($G$2&gt;=3,M28+2*Table3[[#This Row],[Radius '[Inches']]],0)</f>
        <v>0.52224999999999999</v>
      </c>
      <c r="O28">
        <f>IF($G$2&gt;=4,N28+2*Table3[[#This Row],[Radius '[Inches']]],0)</f>
        <v>0.53115000000000001</v>
      </c>
      <c r="P28">
        <f>IF($G$2&gt;=5,O28+2*Table3[[#This Row],[Radius '[Inches']]],0)</f>
        <v>0.54005000000000003</v>
      </c>
      <c r="Q28">
        <f>IF($G$2&gt;=6,P28+2*Table3[[#This Row],[Radius '[Inches']]],0)</f>
        <v>0</v>
      </c>
      <c r="R28">
        <f t="shared" si="4"/>
        <v>656.27870533490784</v>
      </c>
      <c r="S28">
        <f t="shared" si="5"/>
        <v>54.689892111242322</v>
      </c>
      <c r="T28">
        <f>Table7[[#Headers],[8.14536E-06]]*Table6[[#This Row],[length by summed circumference2]]/Table3[[#This Row],[area pi*r^2 '[Inches^2']]]</f>
        <v>7.1605677060977166</v>
      </c>
    </row>
    <row r="29" spans="1:20" x14ac:dyDescent="0.25">
      <c r="A29" s="17">
        <f t="shared" si="6"/>
        <v>32</v>
      </c>
      <c r="B29" s="18">
        <f t="shared" si="0"/>
        <v>8.0000000000000002E-3</v>
      </c>
      <c r="C29" s="18">
        <f>B29/2</f>
        <v>4.0000000000000001E-3</v>
      </c>
      <c r="D29" s="18">
        <f t="shared" si="1"/>
        <v>5.0265482457436686E-5</v>
      </c>
      <c r="E29" s="20">
        <f>D29*Sources!$A$20</f>
        <v>64</v>
      </c>
      <c r="J29">
        <f t="shared" si="2"/>
        <v>0.32</v>
      </c>
      <c r="K29">
        <f t="shared" si="3"/>
        <v>0.54</v>
      </c>
      <c r="L29">
        <f>$G$6+Table3[[#This Row],[Radius '[Inches']]]</f>
        <v>0.504</v>
      </c>
      <c r="M29">
        <f>IF($G$2&gt;=2,L29+2*Table3[[#This Row],[Radius '[Inches']]],0)</f>
        <v>0.51200000000000001</v>
      </c>
      <c r="N29">
        <f>IF($G$2&gt;=3,M29+2*Table3[[#This Row],[Radius '[Inches']]],0)</f>
        <v>0.52</v>
      </c>
      <c r="O29">
        <f>IF($G$2&gt;=4,N29+2*Table3[[#This Row],[Radius '[Inches']]],0)</f>
        <v>0.52800000000000002</v>
      </c>
      <c r="P29">
        <f>IF($G$2&gt;=5,O29+2*Table3[[#This Row],[Radius '[Inches']]],0)</f>
        <v>0.53600000000000003</v>
      </c>
      <c r="Q29">
        <f>IF($G$2&gt;=6,P29+2*Table3[[#This Row],[Radius '[Inches']]],0)</f>
        <v>0</v>
      </c>
      <c r="R29">
        <f t="shared" si="4"/>
        <v>653.45127194667702</v>
      </c>
      <c r="S29">
        <f t="shared" si="5"/>
        <v>54.454272662223083</v>
      </c>
      <c r="T29">
        <f>Table7[[#Headers],[8.14536E-06]]*Table6[[#This Row],[length by summed circumference2]]/Table3[[#This Row],[area pi*r^2 '[Inches^2']]]</f>
        <v>8.8241400000000016</v>
      </c>
    </row>
    <row r="30" spans="1:20" x14ac:dyDescent="0.25">
      <c r="A30" s="17">
        <f t="shared" si="6"/>
        <v>33</v>
      </c>
      <c r="B30" s="18">
        <f t="shared" si="0"/>
        <v>7.1000000000000004E-3</v>
      </c>
      <c r="C30" s="18">
        <f>B30/2</f>
        <v>3.5500000000000002E-3</v>
      </c>
      <c r="D30" s="18">
        <f t="shared" si="1"/>
        <v>3.9591921416865375E-5</v>
      </c>
      <c r="E30" s="20">
        <f>D30*Sources!$A$20</f>
        <v>50.410000000000011</v>
      </c>
      <c r="J30">
        <f t="shared" si="2"/>
        <v>0.28400000000000003</v>
      </c>
      <c r="K30">
        <f t="shared" si="3"/>
        <v>0.53549999999999998</v>
      </c>
      <c r="L30">
        <f>$G$6+Table3[[#This Row],[Radius '[Inches']]]</f>
        <v>0.50355000000000005</v>
      </c>
      <c r="M30">
        <f>IF($G$2&gt;=2,L30+2*Table3[[#This Row],[Radius '[Inches']]],0)</f>
        <v>0.51065000000000005</v>
      </c>
      <c r="N30">
        <f>IF($G$2&gt;=3,M30+2*Table3[[#This Row],[Radius '[Inches']]],0)</f>
        <v>0.51775000000000004</v>
      </c>
      <c r="O30">
        <f>IF($G$2&gt;=4,N30+2*Table3[[#This Row],[Radius '[Inches']]],0)</f>
        <v>0.52485000000000004</v>
      </c>
      <c r="P30">
        <f>IF($G$2&gt;=5,O30+2*Table3[[#This Row],[Radius '[Inches']]],0)</f>
        <v>0.53195000000000003</v>
      </c>
      <c r="Q30">
        <f>IF($G$2&gt;=6,P30+2*Table3[[#This Row],[Radius '[Inches']]],0)</f>
        <v>0</v>
      </c>
      <c r="R30">
        <f t="shared" si="4"/>
        <v>650.62383855844621</v>
      </c>
      <c r="S30">
        <f t="shared" si="5"/>
        <v>54.218653213203851</v>
      </c>
      <c r="T30">
        <f>Table7[[#Headers],[8.14536E-06]]*Table6[[#This Row],[length by summed circumference2]]/Table3[[#This Row],[area pi*r^2 '[Inches^2']]]</f>
        <v>11.154559650862923</v>
      </c>
    </row>
    <row r="31" spans="1:20" x14ac:dyDescent="0.25">
      <c r="A31" s="17">
        <f t="shared" si="6"/>
        <v>34</v>
      </c>
      <c r="B31" s="18">
        <f t="shared" si="0"/>
        <v>6.3E-3</v>
      </c>
      <c r="C31" s="18">
        <f>B31/2</f>
        <v>3.15E-3</v>
      </c>
      <c r="D31" s="18">
        <f t="shared" si="1"/>
        <v>3.1172453105244723E-5</v>
      </c>
      <c r="E31" s="20">
        <f>D31*Sources!$A$20</f>
        <v>39.69</v>
      </c>
      <c r="J31">
        <f t="shared" si="2"/>
        <v>0.252</v>
      </c>
      <c r="K31">
        <f t="shared" si="3"/>
        <v>0.53149999999999997</v>
      </c>
      <c r="L31">
        <f>$G$6+Table3[[#This Row],[Radius '[Inches']]]</f>
        <v>0.50314999999999999</v>
      </c>
      <c r="M31">
        <f>IF($G$2&gt;=2,L31+2*Table3[[#This Row],[Radius '[Inches']]],0)</f>
        <v>0.50944999999999996</v>
      </c>
      <c r="N31">
        <f>IF($G$2&gt;=3,M31+2*Table3[[#This Row],[Radius '[Inches']]],0)</f>
        <v>0.51574999999999993</v>
      </c>
      <c r="O31">
        <f>IF($G$2&gt;=4,N31+2*Table3[[#This Row],[Radius '[Inches']]],0)</f>
        <v>0.5220499999999999</v>
      </c>
      <c r="P31">
        <f>IF($G$2&gt;=5,O31+2*Table3[[#This Row],[Radius '[Inches']]],0)</f>
        <v>0.52834999999999988</v>
      </c>
      <c r="Q31">
        <f>IF($G$2&gt;=6,P31+2*Table3[[#This Row],[Radius '[Inches']]],0)</f>
        <v>0</v>
      </c>
      <c r="R31">
        <f t="shared" si="4"/>
        <v>648.11056443557413</v>
      </c>
      <c r="S31">
        <f t="shared" si="5"/>
        <v>54.009213702964509</v>
      </c>
      <c r="T31">
        <f>Table7[[#Headers],[8.14536E-06]]*Table6[[#This Row],[length by summed circumference2]]/Table3[[#This Row],[area pi*r^2 '[Inches^2']]]</f>
        <v>14.11260408163265</v>
      </c>
    </row>
    <row r="32" spans="1:20" x14ac:dyDescent="0.25">
      <c r="A32" s="17">
        <f t="shared" si="6"/>
        <v>35</v>
      </c>
      <c r="B32" s="18">
        <f t="shared" si="0"/>
        <v>5.5999999999999999E-3</v>
      </c>
      <c r="C32" s="18">
        <f>B32/2</f>
        <v>2.8E-3</v>
      </c>
      <c r="D32" s="18">
        <f t="shared" si="1"/>
        <v>2.4630086404143978E-5</v>
      </c>
      <c r="E32" s="20">
        <f>D32*Sources!$A$20</f>
        <v>31.36</v>
      </c>
      <c r="J32">
        <f t="shared" si="2"/>
        <v>0.224</v>
      </c>
      <c r="K32">
        <f t="shared" si="3"/>
        <v>0.52800000000000002</v>
      </c>
      <c r="L32">
        <f>$G$6+Table3[[#This Row],[Radius '[Inches']]]</f>
        <v>0.50280000000000002</v>
      </c>
      <c r="M32">
        <f>IF($G$2&gt;=2,L32+2*Table3[[#This Row],[Radius '[Inches']]],0)</f>
        <v>0.50840000000000007</v>
      </c>
      <c r="N32">
        <f>IF($G$2&gt;=3,M32+2*Table3[[#This Row],[Radius '[Inches']]],0)</f>
        <v>0.51400000000000012</v>
      </c>
      <c r="O32">
        <f>IF($G$2&gt;=4,N32+2*Table3[[#This Row],[Radius '[Inches']]],0)</f>
        <v>0.51960000000000017</v>
      </c>
      <c r="P32">
        <f>IF($G$2&gt;=5,O32+2*Table3[[#This Row],[Radius '[Inches']]],0)</f>
        <v>0.52520000000000022</v>
      </c>
      <c r="Q32">
        <f>IF($G$2&gt;=6,P32+2*Table3[[#This Row],[Radius '[Inches']]],0)</f>
        <v>0</v>
      </c>
      <c r="R32">
        <f t="shared" si="4"/>
        <v>645.91144957806159</v>
      </c>
      <c r="S32">
        <f t="shared" si="5"/>
        <v>53.825954131505135</v>
      </c>
      <c r="T32">
        <f>Table7[[#Headers],[8.14536E-06]]*Table6[[#This Row],[length by summed circumference2]]/Table3[[#This Row],[area pi*r^2 '[Inches^2']]]</f>
        <v>17.800659183673474</v>
      </c>
    </row>
    <row r="33" spans="1:20" x14ac:dyDescent="0.25">
      <c r="A33" s="17">
        <f t="shared" si="6"/>
        <v>36</v>
      </c>
      <c r="B33" s="18">
        <f t="shared" si="0"/>
        <v>5.0000000000000001E-3</v>
      </c>
      <c r="C33" s="18">
        <f>B33/2</f>
        <v>2.5000000000000001E-3</v>
      </c>
      <c r="D33" s="18">
        <f t="shared" si="1"/>
        <v>1.9634954084936207E-5</v>
      </c>
      <c r="E33" s="20">
        <f>D33*Sources!$A$20</f>
        <v>25</v>
      </c>
      <c r="J33">
        <f t="shared" si="2"/>
        <v>0.2</v>
      </c>
      <c r="K33">
        <f t="shared" si="3"/>
        <v>0.52500000000000002</v>
      </c>
      <c r="L33">
        <f>$G$6+Table3[[#This Row],[Radius '[Inches']]]</f>
        <v>0.50249999999999995</v>
      </c>
      <c r="M33">
        <f>IF($G$2&gt;=2,L33+2*Table3[[#This Row],[Radius '[Inches']]],0)</f>
        <v>0.50749999999999995</v>
      </c>
      <c r="N33">
        <f>IF($G$2&gt;=3,M33+2*Table3[[#This Row],[Radius '[Inches']]],0)</f>
        <v>0.51249999999999996</v>
      </c>
      <c r="O33">
        <f>IF($G$2&gt;=4,N33+2*Table3[[#This Row],[Radius '[Inches']]],0)</f>
        <v>0.51749999999999996</v>
      </c>
      <c r="P33">
        <f>IF($G$2&gt;=5,O33+2*Table3[[#This Row],[Radius '[Inches']]],0)</f>
        <v>0.52249999999999996</v>
      </c>
      <c r="Q33">
        <f>IF($G$2&gt;=6,P33+2*Table3[[#This Row],[Radius '[Inches']]],0)</f>
        <v>0</v>
      </c>
      <c r="R33">
        <f t="shared" si="4"/>
        <v>644.02649398590745</v>
      </c>
      <c r="S33">
        <f t="shared" si="5"/>
        <v>53.668874498825623</v>
      </c>
      <c r="T33">
        <f>Table7[[#Headers],[8.14536E-06]]*Table6[[#This Row],[length by summed circumference2]]/Table3[[#This Row],[area pi*r^2 '[Inches^2']]]</f>
        <v>22.263984000000001</v>
      </c>
    </row>
    <row r="34" spans="1:20" x14ac:dyDescent="0.25">
      <c r="A34" s="17">
        <f t="shared" si="6"/>
        <v>37</v>
      </c>
      <c r="B34" s="18">
        <f t="shared" si="0"/>
        <v>4.4999999999999997E-3</v>
      </c>
      <c r="C34" s="18">
        <f>B34/2</f>
        <v>2.2499999999999998E-3</v>
      </c>
      <c r="D34" s="18">
        <f t="shared" si="1"/>
        <v>1.5904312808798326E-5</v>
      </c>
      <c r="E34" s="20">
        <f>D34*Sources!$A$20</f>
        <v>20.25</v>
      </c>
      <c r="J34">
        <f t="shared" si="2"/>
        <v>0.18</v>
      </c>
      <c r="K34">
        <f t="shared" si="3"/>
        <v>0.52249999999999996</v>
      </c>
      <c r="L34">
        <f>$G$6+Table3[[#This Row],[Radius '[Inches']]]</f>
        <v>0.50224999999999997</v>
      </c>
      <c r="M34">
        <f>IF($G$2&gt;=2,L34+2*Table3[[#This Row],[Radius '[Inches']]],0)</f>
        <v>0.50674999999999992</v>
      </c>
      <c r="N34">
        <f>IF($G$2&gt;=3,M34+2*Table3[[#This Row],[Radius '[Inches']]],0)</f>
        <v>0.51124999999999987</v>
      </c>
      <c r="O34">
        <f>IF($G$2&gt;=4,N34+2*Table3[[#This Row],[Radius '[Inches']]],0)</f>
        <v>0.51574999999999982</v>
      </c>
      <c r="P34">
        <f>IF($G$2&gt;=5,O34+2*Table3[[#This Row],[Radius '[Inches']]],0)</f>
        <v>0.52024999999999977</v>
      </c>
      <c r="Q34">
        <f>IF($G$2&gt;=6,P34+2*Table3[[#This Row],[Radius '[Inches']]],0)</f>
        <v>0</v>
      </c>
      <c r="R34">
        <f t="shared" si="4"/>
        <v>642.4556976591125</v>
      </c>
      <c r="S34">
        <f t="shared" si="5"/>
        <v>53.537974804926044</v>
      </c>
      <c r="T34">
        <f>Table7[[#Headers],[8.14536E-06]]*Table6[[#This Row],[length by summed circumference2]]/Table3[[#This Row],[area pi*r^2 '[Inches^2']]]</f>
        <v>27.419359999999998</v>
      </c>
    </row>
    <row r="35" spans="1:20" x14ac:dyDescent="0.25">
      <c r="A35" s="17">
        <f t="shared" si="6"/>
        <v>38</v>
      </c>
      <c r="B35" s="18">
        <f t="shared" si="0"/>
        <v>4.0000000000000001E-3</v>
      </c>
      <c r="C35" s="18">
        <f>B35/2</f>
        <v>2E-3</v>
      </c>
      <c r="D35" s="18">
        <f t="shared" si="1"/>
        <v>1.2566370614359172E-5</v>
      </c>
      <c r="E35" s="20">
        <f>D35*Sources!$A$20</f>
        <v>16</v>
      </c>
      <c r="J35">
        <f t="shared" si="2"/>
        <v>0.16</v>
      </c>
      <c r="K35">
        <f t="shared" si="3"/>
        <v>0.52</v>
      </c>
      <c r="L35">
        <f>$G$6+Table3[[#This Row],[Radius '[Inches']]]</f>
        <v>0.502</v>
      </c>
      <c r="M35">
        <f>IF($G$2&gt;=2,L35+2*Table3[[#This Row],[Radius '[Inches']]],0)</f>
        <v>0.50600000000000001</v>
      </c>
      <c r="N35">
        <f>IF($G$2&gt;=3,M35+2*Table3[[#This Row],[Radius '[Inches']]],0)</f>
        <v>0.51</v>
      </c>
      <c r="O35">
        <f>IF($G$2&gt;=4,N35+2*Table3[[#This Row],[Radius '[Inches']]],0)</f>
        <v>0.51400000000000001</v>
      </c>
      <c r="P35">
        <f>IF($G$2&gt;=5,O35+2*Table3[[#This Row],[Radius '[Inches']]],0)</f>
        <v>0.51800000000000002</v>
      </c>
      <c r="Q35">
        <f>IF($G$2&gt;=6,P35+2*Table3[[#This Row],[Radius '[Inches']]],0)</f>
        <v>0</v>
      </c>
      <c r="R35">
        <f t="shared" si="4"/>
        <v>640.88490133231778</v>
      </c>
      <c r="S35">
        <f t="shared" si="5"/>
        <v>53.407075111026479</v>
      </c>
      <c r="T35">
        <f>Table7[[#Headers],[8.14536E-06]]*Table6[[#This Row],[length by summed circumference2]]/Table3[[#This Row],[area pi*r^2 '[Inches^2']]]</f>
        <v>34.617780000000003</v>
      </c>
    </row>
    <row r="36" spans="1:20" x14ac:dyDescent="0.25">
      <c r="A36" s="17">
        <f t="shared" si="6"/>
        <v>39</v>
      </c>
      <c r="B36" s="18">
        <f t="shared" si="0"/>
        <v>3.5000000000000001E-3</v>
      </c>
      <c r="C36" s="18">
        <f>B36/2</f>
        <v>1.75E-3</v>
      </c>
      <c r="D36" s="18">
        <f t="shared" si="1"/>
        <v>9.621127501618743E-6</v>
      </c>
      <c r="E36" s="20">
        <f>D36*Sources!$A$20</f>
        <v>12.250000000000002</v>
      </c>
      <c r="J36">
        <f t="shared" si="2"/>
        <v>0.14000000000000001</v>
      </c>
      <c r="K36">
        <f t="shared" si="3"/>
        <v>0.51749999999999996</v>
      </c>
      <c r="L36">
        <f>$G$6+Table3[[#This Row],[Radius '[Inches']]]</f>
        <v>0.50175000000000003</v>
      </c>
      <c r="M36">
        <f>IF($G$2&gt;=2,L36+2*Table3[[#This Row],[Radius '[Inches']]],0)</f>
        <v>0.50524999999999998</v>
      </c>
      <c r="N36">
        <f>IF($G$2&gt;=3,M36+2*Table3[[#This Row],[Radius '[Inches']]],0)</f>
        <v>0.50874999999999992</v>
      </c>
      <c r="O36">
        <f>IF($G$2&gt;=4,N36+2*Table3[[#This Row],[Radius '[Inches']]],0)</f>
        <v>0.51224999999999987</v>
      </c>
      <c r="P36">
        <f>IF($G$2&gt;=5,O36+2*Table3[[#This Row],[Radius '[Inches']]],0)</f>
        <v>0.51574999999999982</v>
      </c>
      <c r="Q36">
        <f>IF($G$2&gt;=6,P36+2*Table3[[#This Row],[Radius '[Inches']]],0)</f>
        <v>0</v>
      </c>
      <c r="R36">
        <f t="shared" si="4"/>
        <v>639.31410500552283</v>
      </c>
      <c r="S36">
        <f t="shared" si="5"/>
        <v>53.2761754171269</v>
      </c>
      <c r="T36">
        <f>Table7[[#Headers],[8.14536E-06]]*Table6[[#This Row],[length by summed circumference2]]/Table3[[#This Row],[area pi*r^2 '[Inches^2']]]</f>
        <v>45.10423836734693</v>
      </c>
    </row>
    <row r="37" spans="1:20" x14ac:dyDescent="0.25">
      <c r="A37" s="17">
        <f t="shared" si="6"/>
        <v>40</v>
      </c>
      <c r="B37" s="18">
        <f t="shared" si="0"/>
        <v>3.0999999999999999E-3</v>
      </c>
      <c r="C37" s="18">
        <f>B37/2</f>
        <v>1.5499999999999999E-3</v>
      </c>
      <c r="D37" s="18">
        <f t="shared" si="1"/>
        <v>7.5476763502494772E-6</v>
      </c>
      <c r="E37" s="20">
        <f>D37*Sources!$A$20</f>
        <v>9.61</v>
      </c>
      <c r="J37">
        <f t="shared" si="2"/>
        <v>0.124</v>
      </c>
      <c r="K37">
        <f t="shared" si="3"/>
        <v>0.51549999999999996</v>
      </c>
      <c r="L37">
        <f>$G$6+Table3[[#This Row],[Radius '[Inches']]]</f>
        <v>0.50155000000000005</v>
      </c>
      <c r="M37">
        <f>IF($G$2&gt;=2,L37+2*Table3[[#This Row],[Radius '[Inches']]],0)</f>
        <v>0.50465000000000004</v>
      </c>
      <c r="N37">
        <f>IF($G$2&gt;=3,M37+2*Table3[[#This Row],[Radius '[Inches']]],0)</f>
        <v>0.50775000000000003</v>
      </c>
      <c r="O37">
        <f>IF($G$2&gt;=4,N37+2*Table3[[#This Row],[Radius '[Inches']]],0)</f>
        <v>0.51085000000000003</v>
      </c>
      <c r="P37">
        <f>IF($G$2&gt;=5,O37+2*Table3[[#This Row],[Radius '[Inches']]],0)</f>
        <v>0.51395000000000002</v>
      </c>
      <c r="Q37">
        <f>IF($G$2&gt;=6,P37+2*Table3[[#This Row],[Radius '[Inches']]],0)</f>
        <v>0</v>
      </c>
      <c r="R37">
        <f t="shared" si="4"/>
        <v>638.05746794408708</v>
      </c>
      <c r="S37">
        <f t="shared" si="5"/>
        <v>53.171455662007254</v>
      </c>
      <c r="T37">
        <f>Table7[[#Headers],[8.14536E-06]]*Table6[[#This Row],[length by summed circumference2]]/Table3[[#This Row],[area pi*r^2 '[Inches^2']]]</f>
        <v>57.381984599375663</v>
      </c>
    </row>
    <row r="38" spans="1:20" x14ac:dyDescent="0.25">
      <c r="A38" s="17">
        <f t="shared" si="6"/>
        <v>41</v>
      </c>
      <c r="B38" s="18">
        <f t="shared" si="0"/>
        <v>2.8E-3</v>
      </c>
      <c r="C38" s="18">
        <f>B38/2</f>
        <v>1.4E-3</v>
      </c>
      <c r="D38" s="18">
        <f t="shared" si="1"/>
        <v>6.1575216010359945E-6</v>
      </c>
      <c r="E38" s="20">
        <f>D38*Sources!$A$20</f>
        <v>7.84</v>
      </c>
      <c r="J38">
        <f t="shared" si="2"/>
        <v>0.112</v>
      </c>
      <c r="K38">
        <f t="shared" si="3"/>
        <v>0.51400000000000001</v>
      </c>
      <c r="L38">
        <f>$G$6+Table3[[#This Row],[Radius '[Inches']]]</f>
        <v>0.50139999999999996</v>
      </c>
      <c r="M38">
        <f>IF($G$2&gt;=2,L38+2*Table3[[#This Row],[Radius '[Inches']]],0)</f>
        <v>0.50419999999999998</v>
      </c>
      <c r="N38">
        <f>IF($G$2&gt;=3,M38+2*Table3[[#This Row],[Radius '[Inches']]],0)</f>
        <v>0.50700000000000001</v>
      </c>
      <c r="O38">
        <f>IF($G$2&gt;=4,N38+2*Table3[[#This Row],[Radius '[Inches']]],0)</f>
        <v>0.50980000000000003</v>
      </c>
      <c r="P38">
        <f>IF($G$2&gt;=5,O38+2*Table3[[#This Row],[Radius '[Inches']]],0)</f>
        <v>0.51260000000000006</v>
      </c>
      <c r="Q38">
        <f>IF($G$2&gt;=6,P38+2*Table3[[#This Row],[Radius '[Inches']]],0)</f>
        <v>0</v>
      </c>
      <c r="R38">
        <f t="shared" si="4"/>
        <v>637.11499014801007</v>
      </c>
      <c r="S38">
        <f t="shared" si="5"/>
        <v>53.092915845667505</v>
      </c>
      <c r="T38">
        <f>Table7[[#Headers],[8.14536E-06]]*Table6[[#This Row],[length by summed circumference2]]/Table3[[#This Row],[area pi*r^2 '[Inches^2']]]</f>
        <v>70.232951020408166</v>
      </c>
    </row>
    <row r="39" spans="1:20" x14ac:dyDescent="0.25">
      <c r="A39" s="17">
        <f t="shared" si="6"/>
        <v>42</v>
      </c>
      <c r="B39" s="18">
        <f t="shared" si="0"/>
        <v>2.5000000000000001E-3</v>
      </c>
      <c r="C39" s="18">
        <f>B39/2</f>
        <v>1.25E-3</v>
      </c>
      <c r="D39" s="18">
        <f t="shared" si="1"/>
        <v>4.9087385212340517E-6</v>
      </c>
      <c r="E39" s="20">
        <f>D39*Sources!$A$20</f>
        <v>6.25</v>
      </c>
      <c r="J39">
        <f t="shared" si="2"/>
        <v>0.1</v>
      </c>
      <c r="K39">
        <f t="shared" si="3"/>
        <v>0.51249999999999996</v>
      </c>
      <c r="L39">
        <f>$G$6+Table3[[#This Row],[Radius '[Inches']]]</f>
        <v>0.50124999999999997</v>
      </c>
      <c r="M39">
        <f>IF($G$2&gt;=2,L39+2*Table3[[#This Row],[Radius '[Inches']]],0)</f>
        <v>0.50374999999999992</v>
      </c>
      <c r="N39">
        <f>IF($G$2&gt;=3,M39+2*Table3[[#This Row],[Radius '[Inches']]],0)</f>
        <v>0.50624999999999987</v>
      </c>
      <c r="O39">
        <f>IF($G$2&gt;=4,N39+2*Table3[[#This Row],[Radius '[Inches']]],0)</f>
        <v>0.50874999999999981</v>
      </c>
      <c r="P39">
        <f>IF($G$2&gt;=5,O39+2*Table3[[#This Row],[Radius '[Inches']]],0)</f>
        <v>0.51124999999999976</v>
      </c>
      <c r="Q39">
        <f>IF($G$2&gt;=6,P39+2*Table3[[#This Row],[Radius '[Inches']]],0)</f>
        <v>0</v>
      </c>
      <c r="R39">
        <f t="shared" si="4"/>
        <v>636.17251235193294</v>
      </c>
      <c r="S39">
        <f t="shared" si="5"/>
        <v>53.014376029327742</v>
      </c>
      <c r="T39">
        <f>Table7[[#Headers],[8.14536E-06]]*Table6[[#This Row],[length by summed circumference2]]/Table3[[#This Row],[area pi*r^2 '[Inches^2']]]</f>
        <v>87.969887999999983</v>
      </c>
    </row>
    <row r="40" spans="1:20" x14ac:dyDescent="0.25">
      <c r="A40" s="17">
        <f t="shared" si="6"/>
        <v>43</v>
      </c>
      <c r="B40" s="18">
        <f t="shared" si="0"/>
        <v>2.2000000000000001E-3</v>
      </c>
      <c r="C40" s="18">
        <f>B40/2</f>
        <v>1.1000000000000001E-3</v>
      </c>
      <c r="D40" s="18">
        <f t="shared" si="1"/>
        <v>3.8013271108436497E-6</v>
      </c>
      <c r="E40" s="20">
        <f>D40*Sources!$A$20</f>
        <v>4.84</v>
      </c>
      <c r="J40">
        <f t="shared" si="2"/>
        <v>8.8000000000000009E-2</v>
      </c>
      <c r="K40">
        <f t="shared" si="3"/>
        <v>0.51100000000000001</v>
      </c>
      <c r="L40">
        <f>$G$6+Table3[[#This Row],[Radius '[Inches']]]</f>
        <v>0.50109999999999999</v>
      </c>
      <c r="M40">
        <f>IF($G$2&gt;=2,L40+2*Table3[[#This Row],[Radius '[Inches']]],0)</f>
        <v>0.50329999999999997</v>
      </c>
      <c r="N40">
        <f>IF($G$2&gt;=3,M40+2*Table3[[#This Row],[Radius '[Inches']]],0)</f>
        <v>0.50549999999999995</v>
      </c>
      <c r="O40">
        <f>IF($G$2&gt;=4,N40+2*Table3[[#This Row],[Radius '[Inches']]],0)</f>
        <v>0.50769999999999993</v>
      </c>
      <c r="P40">
        <f>IF($G$2&gt;=5,O40+2*Table3[[#This Row],[Radius '[Inches']]],0)</f>
        <v>0.50989999999999991</v>
      </c>
      <c r="Q40">
        <f>IF($G$2&gt;=6,P40+2*Table3[[#This Row],[Radius '[Inches']]],0)</f>
        <v>0</v>
      </c>
      <c r="R40">
        <f t="shared" si="4"/>
        <v>635.23003455585615</v>
      </c>
      <c r="S40">
        <f t="shared" si="5"/>
        <v>52.935836212988015</v>
      </c>
      <c r="T40">
        <f>Table7[[#Headers],[8.14536E-06]]*Table6[[#This Row],[length by summed circumference2]]/Table3[[#This Row],[area pi*r^2 '[Inches^2']]]</f>
        <v>113.42918677685952</v>
      </c>
    </row>
    <row r="41" spans="1:20" ht="15.75" thickBot="1" x14ac:dyDescent="0.3">
      <c r="A41" s="21">
        <f t="shared" si="6"/>
        <v>44</v>
      </c>
      <c r="B41" s="22">
        <f t="shared" si="0"/>
        <v>2E-3</v>
      </c>
      <c r="C41" s="22">
        <f>B41/2</f>
        <v>1E-3</v>
      </c>
      <c r="D41" s="22">
        <f t="shared" si="1"/>
        <v>3.1415926535897929E-6</v>
      </c>
      <c r="E41" s="23">
        <f>D41*Sources!$A$20</f>
        <v>4</v>
      </c>
      <c r="J41">
        <f t="shared" si="2"/>
        <v>0.08</v>
      </c>
      <c r="K41">
        <f t="shared" si="3"/>
        <v>0.51</v>
      </c>
      <c r="L41">
        <f>$G$6+Table3[[#This Row],[Radius '[Inches']]]</f>
        <v>0.501</v>
      </c>
      <c r="M41">
        <f>IF($G$2&gt;=2,L41+2*Table3[[#This Row],[Radius '[Inches']]],0)</f>
        <v>0.503</v>
      </c>
      <c r="N41">
        <f>IF($G$2&gt;=3,M41+2*Table3[[#This Row],[Radius '[Inches']]],0)</f>
        <v>0.505</v>
      </c>
      <c r="O41">
        <f>IF($G$2&gt;=4,N41+2*Table3[[#This Row],[Radius '[Inches']]],0)</f>
        <v>0.50700000000000001</v>
      </c>
      <c r="P41">
        <f>IF($G$2&gt;=5,O41+2*Table3[[#This Row],[Radius '[Inches']]],0)</f>
        <v>0.50900000000000001</v>
      </c>
      <c r="Q41">
        <f>IF($G$2&gt;=6,P41+2*Table3[[#This Row],[Radius '[Inches']]],0)</f>
        <v>0</v>
      </c>
      <c r="R41">
        <f t="shared" si="4"/>
        <v>634.60171602513822</v>
      </c>
      <c r="S41">
        <f t="shared" si="5"/>
        <v>52.883476335428185</v>
      </c>
      <c r="T41">
        <f>Table7[[#Headers],[8.14536E-06]]*Table6[[#This Row],[length by summed circumference2]]/Table3[[#This Row],[area pi*r^2 '[Inches^2']]]</f>
        <v>137.11356000000004</v>
      </c>
    </row>
  </sheetData>
  <mergeCells count="5">
    <mergeCell ref="L1:Q1"/>
    <mergeCell ref="R1:S1"/>
    <mergeCell ref="A1:E1"/>
    <mergeCell ref="G1:H1"/>
    <mergeCell ref="J1:K1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1951-5D7E-4F7F-96FC-578A9F699719}">
  <dimension ref="A1:B24"/>
  <sheetViews>
    <sheetView workbookViewId="0">
      <selection activeCell="F34" sqref="F34"/>
    </sheetView>
  </sheetViews>
  <sheetFormatPr defaultRowHeight="15" x14ac:dyDescent="0.25"/>
  <cols>
    <col min="1" max="1" width="31.5703125" bestFit="1" customWidth="1"/>
  </cols>
  <sheetData>
    <row r="1" spans="1:2" ht="16.5" thickTop="1" thickBot="1" x14ac:dyDescent="0.3">
      <c r="A1" s="7" t="s">
        <v>98</v>
      </c>
    </row>
    <row r="2" spans="1:2" ht="15.75" thickTop="1" x14ac:dyDescent="0.25">
      <c r="A2" s="1" t="s">
        <v>97</v>
      </c>
    </row>
    <row r="3" spans="1:2" ht="15.75" thickBot="1" x14ac:dyDescent="0.3">
      <c r="A3" s="2" t="s">
        <v>1</v>
      </c>
    </row>
    <row r="4" spans="1:2" ht="16.5" thickTop="1" thickBot="1" x14ac:dyDescent="0.3">
      <c r="A4" s="7" t="s">
        <v>99</v>
      </c>
    </row>
    <row r="5" spans="1:2" ht="15.75" thickTop="1" x14ac:dyDescent="0.25">
      <c r="A5" t="s">
        <v>17</v>
      </c>
    </row>
    <row r="6" spans="1:2" x14ac:dyDescent="0.25">
      <c r="A6" t="s">
        <v>3</v>
      </c>
    </row>
    <row r="7" spans="1:2" x14ac:dyDescent="0.25">
      <c r="A7" t="s">
        <v>5</v>
      </c>
    </row>
    <row r="8" spans="1:2" x14ac:dyDescent="0.25">
      <c r="A8" t="s">
        <v>4</v>
      </c>
    </row>
    <row r="9" spans="1:2" x14ac:dyDescent="0.25">
      <c r="A9" t="s">
        <v>2</v>
      </c>
    </row>
    <row r="10" spans="1:2" ht="15.75" thickBot="1" x14ac:dyDescent="0.3">
      <c r="A10" t="s">
        <v>18</v>
      </c>
    </row>
    <row r="11" spans="1:2" ht="16.5" thickTop="1" thickBot="1" x14ac:dyDescent="0.3">
      <c r="A11" s="7" t="s">
        <v>100</v>
      </c>
    </row>
    <row r="12" spans="1:2" ht="15.75" thickTop="1" x14ac:dyDescent="0.25">
      <c r="A12" t="s">
        <v>9</v>
      </c>
    </row>
    <row r="13" spans="1:2" ht="15.75" thickBot="1" x14ac:dyDescent="0.3">
      <c r="A13" s="2" t="s">
        <v>6</v>
      </c>
    </row>
    <row r="14" spans="1:2" ht="16.5" thickTop="1" thickBot="1" x14ac:dyDescent="0.3">
      <c r="A14" s="7" t="s">
        <v>101</v>
      </c>
    </row>
    <row r="15" spans="1:2" ht="15.75" thickTop="1" x14ac:dyDescent="0.25">
      <c r="A15" t="s">
        <v>12</v>
      </c>
    </row>
    <row r="16" spans="1:2" x14ac:dyDescent="0.25">
      <c r="A16" s="2" t="s">
        <v>10</v>
      </c>
      <c r="B16" t="s">
        <v>14</v>
      </c>
    </row>
    <row r="17" spans="1:2" x14ac:dyDescent="0.25">
      <c r="A17" t="s">
        <v>13</v>
      </c>
      <c r="B17" t="s">
        <v>16</v>
      </c>
    </row>
    <row r="18" spans="1:2" x14ac:dyDescent="0.25">
      <c r="A18" t="s">
        <v>15</v>
      </c>
    </row>
    <row r="19" spans="1:2" x14ac:dyDescent="0.25">
      <c r="A19">
        <f>PI()*(1/(2*1000))^2</f>
        <v>7.8539816339744823E-7</v>
      </c>
    </row>
    <row r="20" spans="1:2" x14ac:dyDescent="0.25">
      <c r="A20">
        <f>1/A19</f>
        <v>1273239.5447351628</v>
      </c>
    </row>
    <row r="21" spans="1:2" x14ac:dyDescent="0.25">
      <c r="A21" t="s">
        <v>65</v>
      </c>
    </row>
    <row r="22" spans="1:2" x14ac:dyDescent="0.25">
      <c r="A22">
        <v>10.371</v>
      </c>
      <c r="B22" t="s">
        <v>54</v>
      </c>
    </row>
    <row r="23" spans="1:2" x14ac:dyDescent="0.25">
      <c r="A23">
        <f>PI()*(1/(2*1000))^2</f>
        <v>7.8539816339744823E-7</v>
      </c>
      <c r="B23" t="s">
        <v>14</v>
      </c>
    </row>
    <row r="24" spans="1:2" x14ac:dyDescent="0.25">
      <c r="A24">
        <f>10.371*A23</f>
        <v>8.1453643525949367E-6</v>
      </c>
      <c r="B24" t="s">
        <v>55</v>
      </c>
    </row>
  </sheetData>
  <hyperlinks>
    <hyperlink ref="A3" r:id="rId1" xr:uid="{E0EF41A7-80AA-4786-9693-FA21A72B2521}"/>
    <hyperlink ref="A13" r:id="rId2" xr:uid="{8D8EF03A-6672-47A8-BD15-E9FE67A54E8F}"/>
    <hyperlink ref="A16" r:id="rId3" xr:uid="{1B993A11-789A-4D59-B180-A0EC5DFF1A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1898-2BEA-499E-9BF5-7C2DBA92260D}">
  <dimension ref="A1:AZ18"/>
  <sheetViews>
    <sheetView zoomScaleNormal="100" workbookViewId="0">
      <selection activeCell="K28" sqref="K28"/>
    </sheetView>
  </sheetViews>
  <sheetFormatPr defaultRowHeight="15" x14ac:dyDescent="0.25"/>
  <cols>
    <col min="1" max="1" width="16.140625" bestFit="1" customWidth="1"/>
  </cols>
  <sheetData>
    <row r="1" spans="1:52" ht="16.5" thickTop="1" thickBot="1" x14ac:dyDescent="0.3">
      <c r="A1" s="7" t="s">
        <v>19</v>
      </c>
      <c r="B1" s="7">
        <v>5</v>
      </c>
      <c r="C1" s="7"/>
      <c r="D1" s="7" t="s">
        <v>22</v>
      </c>
      <c r="E1" s="7"/>
      <c r="F1" s="7">
        <f>B2/B1</f>
        <v>20</v>
      </c>
    </row>
    <row r="2" spans="1:52" ht="16.5" thickTop="1" thickBot="1" x14ac:dyDescent="0.3">
      <c r="A2" s="7" t="s">
        <v>20</v>
      </c>
      <c r="B2" s="7">
        <v>100</v>
      </c>
      <c r="C2" s="7"/>
      <c r="D2" s="7" t="s">
        <v>23</v>
      </c>
      <c r="E2" s="7"/>
      <c r="F2" s="7"/>
    </row>
    <row r="3" spans="1:52" ht="16.5" thickTop="1" thickBot="1" x14ac:dyDescent="0.3">
      <c r="A3" s="7"/>
      <c r="B3" s="7"/>
      <c r="C3" s="7"/>
      <c r="D3" s="7" t="s">
        <v>24</v>
      </c>
      <c r="E3" s="7"/>
      <c r="F3" s="7">
        <f>B1</f>
        <v>5</v>
      </c>
    </row>
    <row r="4" spans="1:52" ht="16.5" thickTop="1" thickBot="1" x14ac:dyDescent="0.3">
      <c r="A4" s="7"/>
      <c r="B4" s="7"/>
      <c r="C4" s="7"/>
      <c r="D4" s="7" t="s">
        <v>23</v>
      </c>
      <c r="E4" s="7"/>
      <c r="F4" s="7"/>
    </row>
    <row r="5" spans="1:52" ht="15.75" thickTop="1" x14ac:dyDescent="0.25">
      <c r="A5" s="5" t="s">
        <v>21</v>
      </c>
    </row>
    <row r="6" spans="1:52" x14ac:dyDescent="0.25">
      <c r="A6" s="5"/>
    </row>
    <row r="7" spans="1:52" x14ac:dyDescent="0.25">
      <c r="A7" s="5"/>
    </row>
    <row r="8" spans="1:52" x14ac:dyDescent="0.25">
      <c r="A8" s="5">
        <v>8</v>
      </c>
    </row>
    <row r="9" spans="1:52" x14ac:dyDescent="0.25">
      <c r="A9" s="5">
        <f t="shared" ref="A9:A14" si="0">A10+1</f>
        <v>7</v>
      </c>
      <c r="B9">
        <f t="shared" ref="B9" si="1">IF($B$1&gt;2,IF((A9/$B$1)*$B$2&lt;$B$2,ROUND((A9/$B$1)*$B$2+1,0),0))</f>
        <v>0</v>
      </c>
      <c r="C9">
        <f t="shared" ref="C9:Y9" si="2">IF(B9+1&lt;=$B$2*$A$8/$B$1,IF(B9&lt;&gt;0,B9+1,0))</f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ref="Z9:AZ9" si="3">IF(Y9+1&lt;=$B$2*$A$8/$B$1,IF(Y9&lt;&gt;0,Y9+1,0))</f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si="3"/>
        <v>0</v>
      </c>
      <c r="AV9">
        <f t="shared" si="3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</row>
    <row r="10" spans="1:52" x14ac:dyDescent="0.25">
      <c r="A10" s="5">
        <f t="shared" si="0"/>
        <v>6</v>
      </c>
      <c r="B10">
        <f>IF($B$1&gt;2,IF((A10/$B$1)*$B$2&lt;$B$2,ROUND((A10/$B$1)*$B$2+1,0),0))</f>
        <v>0</v>
      </c>
      <c r="C10">
        <f>IF(B10+1&lt;=$B$2*$A$9/$B$1,IF(B10&lt;&gt;0,B10+1,0))</f>
        <v>0</v>
      </c>
      <c r="D10">
        <f t="shared" ref="D10:AZ10" si="4">IF(C10+1&lt;=$B$2*$A$9/$B$1,IF(C10&lt;&gt;0,C10+1,0))</f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>
        <f t="shared" si="4"/>
        <v>0</v>
      </c>
      <c r="L10">
        <f t="shared" si="4"/>
        <v>0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 t="shared" si="4"/>
        <v>0</v>
      </c>
      <c r="V10">
        <f t="shared" si="4"/>
        <v>0</v>
      </c>
      <c r="W10">
        <f t="shared" si="4"/>
        <v>0</v>
      </c>
      <c r="X10">
        <f t="shared" si="4"/>
        <v>0</v>
      </c>
      <c r="Y10">
        <f t="shared" si="4"/>
        <v>0</v>
      </c>
      <c r="Z10">
        <f t="shared" si="4"/>
        <v>0</v>
      </c>
      <c r="AA10">
        <f t="shared" si="4"/>
        <v>0</v>
      </c>
      <c r="AB10">
        <f t="shared" si="4"/>
        <v>0</v>
      </c>
      <c r="AC10">
        <f t="shared" si="4"/>
        <v>0</v>
      </c>
      <c r="AD10">
        <f t="shared" si="4"/>
        <v>0</v>
      </c>
      <c r="AE10">
        <f t="shared" si="4"/>
        <v>0</v>
      </c>
      <c r="AF10">
        <f t="shared" si="4"/>
        <v>0</v>
      </c>
      <c r="AG10">
        <f t="shared" si="4"/>
        <v>0</v>
      </c>
      <c r="AH10">
        <f t="shared" si="4"/>
        <v>0</v>
      </c>
      <c r="AI10">
        <f t="shared" si="4"/>
        <v>0</v>
      </c>
      <c r="AJ10">
        <f t="shared" si="4"/>
        <v>0</v>
      </c>
      <c r="AK10">
        <f t="shared" si="4"/>
        <v>0</v>
      </c>
      <c r="AL10">
        <f t="shared" si="4"/>
        <v>0</v>
      </c>
      <c r="AM10">
        <f t="shared" si="4"/>
        <v>0</v>
      </c>
      <c r="AN10">
        <f t="shared" si="4"/>
        <v>0</v>
      </c>
      <c r="AO10">
        <f t="shared" si="4"/>
        <v>0</v>
      </c>
      <c r="AP10">
        <f t="shared" si="4"/>
        <v>0</v>
      </c>
      <c r="AQ10">
        <f t="shared" si="4"/>
        <v>0</v>
      </c>
      <c r="AR10">
        <f t="shared" si="4"/>
        <v>0</v>
      </c>
      <c r="AS10">
        <f t="shared" si="4"/>
        <v>0</v>
      </c>
      <c r="AT10">
        <f t="shared" si="4"/>
        <v>0</v>
      </c>
      <c r="AU10">
        <f t="shared" si="4"/>
        <v>0</v>
      </c>
      <c r="AV10">
        <f t="shared" si="4"/>
        <v>0</v>
      </c>
      <c r="AW10">
        <f t="shared" si="4"/>
        <v>0</v>
      </c>
      <c r="AX10">
        <f t="shared" si="4"/>
        <v>0</v>
      </c>
      <c r="AY10">
        <f t="shared" si="4"/>
        <v>0</v>
      </c>
      <c r="AZ10">
        <f t="shared" si="4"/>
        <v>0</v>
      </c>
    </row>
    <row r="11" spans="1:52" x14ac:dyDescent="0.25">
      <c r="A11" s="5">
        <f t="shared" si="0"/>
        <v>5</v>
      </c>
      <c r="B11">
        <f>IF($B$1&gt;2,IF((A11/$B$1)*$B$2&lt;$B$2,ROUND((A11/$B$1)*$B$2+1,0),0))</f>
        <v>0</v>
      </c>
      <c r="C11">
        <f t="shared" ref="C11:AH11" si="5">IF(B11+1&lt;=$B$2*$A$10/$B$1,IF(B11&lt;&gt;0,B11+1,0))</f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>
        <f t="shared" si="5"/>
        <v>0</v>
      </c>
      <c r="L11">
        <f t="shared" si="5"/>
        <v>0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5"/>
        <v>0</v>
      </c>
      <c r="Q11">
        <f t="shared" si="5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ref="AI11:AZ11" si="6">IF(AH11+1&lt;=$B$2*$A$10/$B$1,IF(AH11&lt;&gt;0,AH11+1,0))</f>
        <v>0</v>
      </c>
      <c r="AJ11">
        <f t="shared" si="6"/>
        <v>0</v>
      </c>
      <c r="AK11">
        <f t="shared" si="6"/>
        <v>0</v>
      </c>
      <c r="AL11">
        <f t="shared" si="6"/>
        <v>0</v>
      </c>
      <c r="AM11">
        <f t="shared" si="6"/>
        <v>0</v>
      </c>
      <c r="AN11">
        <f t="shared" si="6"/>
        <v>0</v>
      </c>
      <c r="AO11">
        <f t="shared" si="6"/>
        <v>0</v>
      </c>
      <c r="AP11">
        <f t="shared" si="6"/>
        <v>0</v>
      </c>
      <c r="AQ11">
        <f t="shared" si="6"/>
        <v>0</v>
      </c>
      <c r="AR11">
        <f t="shared" si="6"/>
        <v>0</v>
      </c>
      <c r="AS11">
        <f t="shared" si="6"/>
        <v>0</v>
      </c>
      <c r="AT11">
        <f t="shared" si="6"/>
        <v>0</v>
      </c>
      <c r="AU11">
        <f t="shared" si="6"/>
        <v>0</v>
      </c>
      <c r="AV11">
        <f t="shared" si="6"/>
        <v>0</v>
      </c>
      <c r="AW11">
        <f t="shared" si="6"/>
        <v>0</v>
      </c>
      <c r="AX11">
        <f t="shared" si="6"/>
        <v>0</v>
      </c>
      <c r="AY11">
        <f t="shared" si="6"/>
        <v>0</v>
      </c>
      <c r="AZ11">
        <f t="shared" si="6"/>
        <v>0</v>
      </c>
    </row>
    <row r="12" spans="1:52" x14ac:dyDescent="0.25">
      <c r="A12" s="5">
        <f t="shared" si="0"/>
        <v>4</v>
      </c>
      <c r="B12">
        <f>IF($B$1&gt;2,IF((A12/$B$1)*$B$2&lt;$B$2,ROUND((A12/$B$1)*$B$2+1,0),0))</f>
        <v>81</v>
      </c>
      <c r="C12">
        <f>IF(B12+1&lt;=$B$2*$A$11/$B$1,IF(B12&lt;&gt;0,B12+1,0))</f>
        <v>82</v>
      </c>
      <c r="D12">
        <f t="shared" ref="D12:AZ12" si="7">IF(C12+1&lt;=$B$2*$A$11/$B$1,IF(C12&lt;&gt;0,C12+1,0))</f>
        <v>83</v>
      </c>
      <c r="E12">
        <f t="shared" si="7"/>
        <v>84</v>
      </c>
      <c r="F12">
        <f t="shared" si="7"/>
        <v>85</v>
      </c>
      <c r="G12">
        <f t="shared" si="7"/>
        <v>86</v>
      </c>
      <c r="H12">
        <f t="shared" si="7"/>
        <v>87</v>
      </c>
      <c r="I12">
        <f t="shared" si="7"/>
        <v>88</v>
      </c>
      <c r="J12">
        <f t="shared" si="7"/>
        <v>89</v>
      </c>
      <c r="K12">
        <f t="shared" si="7"/>
        <v>90</v>
      </c>
      <c r="L12">
        <f t="shared" si="7"/>
        <v>91</v>
      </c>
      <c r="M12">
        <f t="shared" si="7"/>
        <v>92</v>
      </c>
      <c r="N12">
        <f t="shared" si="7"/>
        <v>93</v>
      </c>
      <c r="O12">
        <f t="shared" si="7"/>
        <v>94</v>
      </c>
      <c r="P12">
        <f t="shared" si="7"/>
        <v>95</v>
      </c>
      <c r="Q12">
        <f t="shared" si="7"/>
        <v>96</v>
      </c>
      <c r="R12">
        <f t="shared" si="7"/>
        <v>97</v>
      </c>
      <c r="S12">
        <f t="shared" si="7"/>
        <v>98</v>
      </c>
      <c r="T12">
        <f t="shared" si="7"/>
        <v>99</v>
      </c>
      <c r="U12">
        <f t="shared" si="7"/>
        <v>100</v>
      </c>
      <c r="V12" t="b">
        <f t="shared" si="7"/>
        <v>0</v>
      </c>
      <c r="W12">
        <f t="shared" si="7"/>
        <v>1</v>
      </c>
      <c r="X12">
        <f t="shared" si="7"/>
        <v>2</v>
      </c>
      <c r="Y12">
        <f t="shared" si="7"/>
        <v>3</v>
      </c>
      <c r="Z12">
        <f t="shared" si="7"/>
        <v>4</v>
      </c>
      <c r="AA12">
        <f t="shared" si="7"/>
        <v>5</v>
      </c>
      <c r="AB12">
        <f t="shared" si="7"/>
        <v>6</v>
      </c>
      <c r="AC12">
        <f t="shared" si="7"/>
        <v>7</v>
      </c>
      <c r="AD12">
        <f t="shared" si="7"/>
        <v>8</v>
      </c>
      <c r="AE12">
        <f t="shared" si="7"/>
        <v>9</v>
      </c>
      <c r="AF12">
        <f t="shared" si="7"/>
        <v>10</v>
      </c>
      <c r="AG12">
        <f t="shared" si="7"/>
        <v>11</v>
      </c>
      <c r="AH12">
        <f t="shared" si="7"/>
        <v>12</v>
      </c>
      <c r="AI12">
        <f t="shared" si="7"/>
        <v>13</v>
      </c>
      <c r="AJ12">
        <f t="shared" si="7"/>
        <v>14</v>
      </c>
      <c r="AK12">
        <f t="shared" si="7"/>
        <v>15</v>
      </c>
      <c r="AL12">
        <f t="shared" si="7"/>
        <v>16</v>
      </c>
      <c r="AM12">
        <f t="shared" si="7"/>
        <v>17</v>
      </c>
      <c r="AN12">
        <f t="shared" si="7"/>
        <v>18</v>
      </c>
      <c r="AO12">
        <f t="shared" si="7"/>
        <v>19</v>
      </c>
      <c r="AP12">
        <f t="shared" si="7"/>
        <v>20</v>
      </c>
      <c r="AQ12">
        <f t="shared" si="7"/>
        <v>21</v>
      </c>
      <c r="AR12">
        <f t="shared" si="7"/>
        <v>22</v>
      </c>
      <c r="AS12">
        <f t="shared" si="7"/>
        <v>23</v>
      </c>
      <c r="AT12">
        <f t="shared" si="7"/>
        <v>24</v>
      </c>
      <c r="AU12">
        <f t="shared" si="7"/>
        <v>25</v>
      </c>
      <c r="AV12">
        <f t="shared" si="7"/>
        <v>26</v>
      </c>
      <c r="AW12">
        <f t="shared" si="7"/>
        <v>27</v>
      </c>
      <c r="AX12">
        <f t="shared" si="7"/>
        <v>28</v>
      </c>
      <c r="AY12">
        <f t="shared" si="7"/>
        <v>29</v>
      </c>
      <c r="AZ12">
        <f t="shared" si="7"/>
        <v>30</v>
      </c>
    </row>
    <row r="13" spans="1:52" x14ac:dyDescent="0.25">
      <c r="A13" s="5">
        <f t="shared" si="0"/>
        <v>3</v>
      </c>
      <c r="B13">
        <f>IF($B$1&gt;2,IF((A13/$B$1)*$B$2&lt;$B$2,ROUND((A13/$B$1)*$B$2+1,0),0))</f>
        <v>61</v>
      </c>
      <c r="C13">
        <f t="shared" ref="C13:AX13" si="8">IF(B13+1&lt;=$B$2*$A$12/$B$1,IF(B13&lt;&gt;0,B13+1,0))</f>
        <v>62</v>
      </c>
      <c r="D13">
        <f t="shared" si="8"/>
        <v>63</v>
      </c>
      <c r="E13">
        <f t="shared" si="8"/>
        <v>64</v>
      </c>
      <c r="F13">
        <f t="shared" si="8"/>
        <v>65</v>
      </c>
      <c r="G13">
        <f t="shared" si="8"/>
        <v>66</v>
      </c>
      <c r="H13">
        <f t="shared" si="8"/>
        <v>67</v>
      </c>
      <c r="I13">
        <f t="shared" si="8"/>
        <v>68</v>
      </c>
      <c r="J13">
        <f t="shared" si="8"/>
        <v>69</v>
      </c>
      <c r="K13">
        <f t="shared" si="8"/>
        <v>70</v>
      </c>
      <c r="L13">
        <f t="shared" si="8"/>
        <v>71</v>
      </c>
      <c r="M13">
        <f t="shared" si="8"/>
        <v>72</v>
      </c>
      <c r="N13">
        <f t="shared" si="8"/>
        <v>73</v>
      </c>
      <c r="O13">
        <f t="shared" si="8"/>
        <v>74</v>
      </c>
      <c r="P13">
        <f t="shared" si="8"/>
        <v>75</v>
      </c>
      <c r="Q13">
        <f t="shared" si="8"/>
        <v>76</v>
      </c>
      <c r="R13">
        <f t="shared" si="8"/>
        <v>77</v>
      </c>
      <c r="S13">
        <f t="shared" si="8"/>
        <v>78</v>
      </c>
      <c r="T13">
        <f t="shared" si="8"/>
        <v>79</v>
      </c>
      <c r="U13">
        <f t="shared" si="8"/>
        <v>80</v>
      </c>
      <c r="V13" t="b">
        <f t="shared" si="8"/>
        <v>0</v>
      </c>
      <c r="W13">
        <f t="shared" si="8"/>
        <v>1</v>
      </c>
      <c r="X13">
        <f t="shared" si="8"/>
        <v>2</v>
      </c>
      <c r="Y13">
        <f t="shared" si="8"/>
        <v>3</v>
      </c>
      <c r="Z13">
        <f t="shared" si="8"/>
        <v>4</v>
      </c>
      <c r="AA13">
        <f t="shared" si="8"/>
        <v>5</v>
      </c>
      <c r="AB13">
        <f t="shared" si="8"/>
        <v>6</v>
      </c>
      <c r="AC13">
        <f t="shared" si="8"/>
        <v>7</v>
      </c>
      <c r="AD13">
        <f t="shared" si="8"/>
        <v>8</v>
      </c>
      <c r="AE13">
        <f t="shared" si="8"/>
        <v>9</v>
      </c>
      <c r="AF13">
        <f t="shared" si="8"/>
        <v>10</v>
      </c>
      <c r="AG13">
        <f t="shared" si="8"/>
        <v>11</v>
      </c>
      <c r="AH13">
        <f t="shared" si="8"/>
        <v>12</v>
      </c>
      <c r="AI13">
        <f t="shared" si="8"/>
        <v>13</v>
      </c>
      <c r="AJ13">
        <f t="shared" si="8"/>
        <v>14</v>
      </c>
      <c r="AK13">
        <f t="shared" si="8"/>
        <v>15</v>
      </c>
      <c r="AL13">
        <f t="shared" si="8"/>
        <v>16</v>
      </c>
      <c r="AM13">
        <f t="shared" si="8"/>
        <v>17</v>
      </c>
      <c r="AN13">
        <f t="shared" si="8"/>
        <v>18</v>
      </c>
      <c r="AO13">
        <f t="shared" si="8"/>
        <v>19</v>
      </c>
      <c r="AP13">
        <f t="shared" si="8"/>
        <v>20</v>
      </c>
      <c r="AQ13">
        <f t="shared" si="8"/>
        <v>21</v>
      </c>
      <c r="AR13">
        <f t="shared" si="8"/>
        <v>22</v>
      </c>
      <c r="AS13">
        <f t="shared" si="8"/>
        <v>23</v>
      </c>
      <c r="AT13">
        <f t="shared" si="8"/>
        <v>24</v>
      </c>
      <c r="AU13">
        <f t="shared" si="8"/>
        <v>25</v>
      </c>
      <c r="AV13">
        <f t="shared" si="8"/>
        <v>26</v>
      </c>
      <c r="AW13">
        <f t="shared" si="8"/>
        <v>27</v>
      </c>
      <c r="AX13">
        <f t="shared" si="8"/>
        <v>28</v>
      </c>
      <c r="AY13">
        <f>IF(AX13+1&lt;=$B$2*$A$12/$B$1,IF(AX13&lt;&gt;0,AX13+1,0))</f>
        <v>29</v>
      </c>
      <c r="AZ13">
        <f>IF(AY13+1&lt;=$B$2*$A$12/$B$1,IF(AY13&lt;&gt;0,AY13+1,0))</f>
        <v>30</v>
      </c>
    </row>
    <row r="14" spans="1:52" x14ac:dyDescent="0.25">
      <c r="A14" s="5">
        <f t="shared" si="0"/>
        <v>2</v>
      </c>
      <c r="B14">
        <f>IF($B$1&gt;2,IF((A14/$B$1)*$B$2&lt;$B$2,ROUND((A14/$B$1)*$B$2+1,0),0))</f>
        <v>41</v>
      </c>
      <c r="C14">
        <f t="shared" ref="C14:X14" si="9">IF(B14+1&lt;=$B$2*$A$13/$B$1,IF(B14&lt;&gt;0,B14+1,0))</f>
        <v>42</v>
      </c>
      <c r="D14">
        <f t="shared" si="9"/>
        <v>43</v>
      </c>
      <c r="E14">
        <f t="shared" si="9"/>
        <v>44</v>
      </c>
      <c r="F14">
        <f t="shared" si="9"/>
        <v>45</v>
      </c>
      <c r="G14">
        <f t="shared" si="9"/>
        <v>46</v>
      </c>
      <c r="H14">
        <f t="shared" si="9"/>
        <v>47</v>
      </c>
      <c r="I14">
        <f t="shared" si="9"/>
        <v>48</v>
      </c>
      <c r="J14">
        <f t="shared" si="9"/>
        <v>49</v>
      </c>
      <c r="K14">
        <f t="shared" si="9"/>
        <v>50</v>
      </c>
      <c r="L14">
        <f t="shared" si="9"/>
        <v>51</v>
      </c>
      <c r="M14">
        <f t="shared" si="9"/>
        <v>52</v>
      </c>
      <c r="N14">
        <f t="shared" si="9"/>
        <v>53</v>
      </c>
      <c r="O14">
        <f t="shared" si="9"/>
        <v>54</v>
      </c>
      <c r="P14">
        <f t="shared" si="9"/>
        <v>55</v>
      </c>
      <c r="Q14">
        <f t="shared" si="9"/>
        <v>56</v>
      </c>
      <c r="R14">
        <f t="shared" si="9"/>
        <v>57</v>
      </c>
      <c r="S14">
        <f t="shared" si="9"/>
        <v>58</v>
      </c>
      <c r="T14">
        <f t="shared" si="9"/>
        <v>59</v>
      </c>
      <c r="U14">
        <f t="shared" si="9"/>
        <v>60</v>
      </c>
      <c r="V14" t="b">
        <f t="shared" si="9"/>
        <v>0</v>
      </c>
      <c r="W14">
        <f t="shared" si="9"/>
        <v>1</v>
      </c>
      <c r="X14">
        <f t="shared" si="9"/>
        <v>2</v>
      </c>
      <c r="Y14">
        <f>IF(X14+1&lt;=$B$2*$A$13/$B$1,IF(X14&lt;&gt;0,X14+1,0))</f>
        <v>3</v>
      </c>
      <c r="Z14">
        <f>IF(Y14+1&lt;=$B$2*$A$13/$B$1,IF(Y14&lt;&gt;0,Y14+1,0))</f>
        <v>4</v>
      </c>
      <c r="AA14">
        <f t="shared" ref="AA14:AZ14" si="10">IF(Z14+1&lt;=$B$2*$A$13/$B$1,IF(Z14&lt;&gt;0,Z14+1,0))</f>
        <v>5</v>
      </c>
      <c r="AB14">
        <f t="shared" si="10"/>
        <v>6</v>
      </c>
      <c r="AC14">
        <f t="shared" si="10"/>
        <v>7</v>
      </c>
      <c r="AD14">
        <f t="shared" si="10"/>
        <v>8</v>
      </c>
      <c r="AE14">
        <f t="shared" si="10"/>
        <v>9</v>
      </c>
      <c r="AF14">
        <f t="shared" si="10"/>
        <v>10</v>
      </c>
      <c r="AG14">
        <f t="shared" si="10"/>
        <v>11</v>
      </c>
      <c r="AH14">
        <f t="shared" si="10"/>
        <v>12</v>
      </c>
      <c r="AI14">
        <f t="shared" si="10"/>
        <v>13</v>
      </c>
      <c r="AJ14">
        <f t="shared" si="10"/>
        <v>14</v>
      </c>
      <c r="AK14">
        <f t="shared" si="10"/>
        <v>15</v>
      </c>
      <c r="AL14">
        <f t="shared" si="10"/>
        <v>16</v>
      </c>
      <c r="AM14">
        <f t="shared" si="10"/>
        <v>17</v>
      </c>
      <c r="AN14">
        <f t="shared" si="10"/>
        <v>18</v>
      </c>
      <c r="AO14">
        <f t="shared" si="10"/>
        <v>19</v>
      </c>
      <c r="AP14">
        <f t="shared" si="10"/>
        <v>20</v>
      </c>
      <c r="AQ14">
        <f t="shared" si="10"/>
        <v>21</v>
      </c>
      <c r="AR14">
        <f t="shared" si="10"/>
        <v>22</v>
      </c>
      <c r="AS14">
        <f t="shared" si="10"/>
        <v>23</v>
      </c>
      <c r="AT14">
        <f t="shared" si="10"/>
        <v>24</v>
      </c>
      <c r="AU14">
        <f t="shared" si="10"/>
        <v>25</v>
      </c>
      <c r="AV14">
        <f t="shared" si="10"/>
        <v>26</v>
      </c>
      <c r="AW14">
        <f t="shared" si="10"/>
        <v>27</v>
      </c>
      <c r="AX14">
        <f t="shared" si="10"/>
        <v>28</v>
      </c>
      <c r="AY14">
        <f t="shared" si="10"/>
        <v>29</v>
      </c>
      <c r="AZ14">
        <f t="shared" si="10"/>
        <v>30</v>
      </c>
    </row>
    <row r="15" spans="1:52" x14ac:dyDescent="0.25">
      <c r="A15" s="5">
        <f>A16+1</f>
        <v>1</v>
      </c>
      <c r="B15">
        <f>IF($B$1&gt;1,IF((A15/$B$1)*$B$2&lt;$B$2,ROUND((A15/$B$1)*$B$2+1,0),0))</f>
        <v>21</v>
      </c>
      <c r="C15">
        <f>IF(B15+1&lt;=$B$2*$A$14/$B$1,IF(B15&lt;&gt;0,B15+1,0))</f>
        <v>22</v>
      </c>
      <c r="D15">
        <f t="shared" ref="D15:AZ15" si="11">IF(C15+1&lt;=$B$2*$A$14/$B$1,IF(C15&lt;&gt;0,C15+1,0))</f>
        <v>23</v>
      </c>
      <c r="E15">
        <f t="shared" si="11"/>
        <v>24</v>
      </c>
      <c r="F15">
        <f t="shared" si="11"/>
        <v>25</v>
      </c>
      <c r="G15">
        <f t="shared" si="11"/>
        <v>26</v>
      </c>
      <c r="H15">
        <f t="shared" si="11"/>
        <v>27</v>
      </c>
      <c r="I15">
        <f t="shared" si="11"/>
        <v>28</v>
      </c>
      <c r="J15">
        <f t="shared" si="11"/>
        <v>29</v>
      </c>
      <c r="K15">
        <f t="shared" si="11"/>
        <v>30</v>
      </c>
      <c r="L15">
        <f t="shared" si="11"/>
        <v>31</v>
      </c>
      <c r="M15">
        <f t="shared" si="11"/>
        <v>32</v>
      </c>
      <c r="N15">
        <f t="shared" si="11"/>
        <v>33</v>
      </c>
      <c r="O15">
        <f t="shared" si="11"/>
        <v>34</v>
      </c>
      <c r="P15">
        <f t="shared" si="11"/>
        <v>35</v>
      </c>
      <c r="Q15">
        <f t="shared" si="11"/>
        <v>36</v>
      </c>
      <c r="R15">
        <f t="shared" si="11"/>
        <v>37</v>
      </c>
      <c r="S15">
        <f t="shared" si="11"/>
        <v>38</v>
      </c>
      <c r="T15">
        <f t="shared" si="11"/>
        <v>39</v>
      </c>
      <c r="U15">
        <f t="shared" si="11"/>
        <v>40</v>
      </c>
      <c r="V15" t="b">
        <f t="shared" si="11"/>
        <v>0</v>
      </c>
      <c r="W15">
        <f t="shared" si="11"/>
        <v>1</v>
      </c>
      <c r="X15">
        <f t="shared" si="11"/>
        <v>2</v>
      </c>
      <c r="Y15">
        <f t="shared" si="11"/>
        <v>3</v>
      </c>
      <c r="Z15">
        <f t="shared" si="11"/>
        <v>4</v>
      </c>
      <c r="AA15">
        <f t="shared" si="11"/>
        <v>5</v>
      </c>
      <c r="AB15">
        <f t="shared" si="11"/>
        <v>6</v>
      </c>
      <c r="AC15">
        <f t="shared" si="11"/>
        <v>7</v>
      </c>
      <c r="AD15">
        <f t="shared" si="11"/>
        <v>8</v>
      </c>
      <c r="AE15">
        <f t="shared" si="11"/>
        <v>9</v>
      </c>
      <c r="AF15">
        <f t="shared" si="11"/>
        <v>10</v>
      </c>
      <c r="AG15">
        <f t="shared" si="11"/>
        <v>11</v>
      </c>
      <c r="AH15">
        <f t="shared" si="11"/>
        <v>12</v>
      </c>
      <c r="AI15">
        <f t="shared" si="11"/>
        <v>13</v>
      </c>
      <c r="AJ15">
        <f t="shared" si="11"/>
        <v>14</v>
      </c>
      <c r="AK15">
        <f t="shared" si="11"/>
        <v>15</v>
      </c>
      <c r="AL15">
        <f t="shared" si="11"/>
        <v>16</v>
      </c>
      <c r="AM15">
        <f t="shared" si="11"/>
        <v>17</v>
      </c>
      <c r="AN15">
        <f t="shared" si="11"/>
        <v>18</v>
      </c>
      <c r="AO15">
        <f t="shared" si="11"/>
        <v>19</v>
      </c>
      <c r="AP15">
        <f t="shared" si="11"/>
        <v>20</v>
      </c>
      <c r="AQ15">
        <f t="shared" si="11"/>
        <v>21</v>
      </c>
      <c r="AR15">
        <f t="shared" si="11"/>
        <v>22</v>
      </c>
      <c r="AS15">
        <f t="shared" si="11"/>
        <v>23</v>
      </c>
      <c r="AT15">
        <f t="shared" si="11"/>
        <v>24</v>
      </c>
      <c r="AU15">
        <f t="shared" si="11"/>
        <v>25</v>
      </c>
      <c r="AV15">
        <f t="shared" si="11"/>
        <v>26</v>
      </c>
      <c r="AW15">
        <f t="shared" si="11"/>
        <v>27</v>
      </c>
      <c r="AX15">
        <f t="shared" si="11"/>
        <v>28</v>
      </c>
      <c r="AY15">
        <f t="shared" si="11"/>
        <v>29</v>
      </c>
      <c r="AZ15">
        <f t="shared" si="11"/>
        <v>30</v>
      </c>
    </row>
    <row r="16" spans="1:52" x14ac:dyDescent="0.25">
      <c r="A16" s="5">
        <v>0</v>
      </c>
      <c r="B16">
        <f>IF($B$1&gt;1,IF((A16/$B$1)*$B$2&lt;$B$2,(A16/$B$1)*$B$2+1,0))</f>
        <v>1</v>
      </c>
      <c r="C16">
        <f>IF(B16+1&lt;=$B$2*$A$15/$B$1,IF(B16&lt;&gt;0,B16+1,0))</f>
        <v>2</v>
      </c>
      <c r="D16">
        <f t="shared" ref="D16:AX16" si="12">IF(C16+1&lt;=$B$2*$A$15/$B$1,IF(C16&lt;&gt;0,C16+1,0))</f>
        <v>3</v>
      </c>
      <c r="E16">
        <f t="shared" si="12"/>
        <v>4</v>
      </c>
      <c r="F16">
        <f t="shared" si="12"/>
        <v>5</v>
      </c>
      <c r="G16">
        <f t="shared" si="12"/>
        <v>6</v>
      </c>
      <c r="H16">
        <f t="shared" si="12"/>
        <v>7</v>
      </c>
      <c r="I16">
        <f t="shared" si="12"/>
        <v>8</v>
      </c>
      <c r="J16">
        <f t="shared" si="12"/>
        <v>9</v>
      </c>
      <c r="K16">
        <f t="shared" si="12"/>
        <v>10</v>
      </c>
      <c r="L16">
        <f t="shared" si="12"/>
        <v>11</v>
      </c>
      <c r="M16">
        <f t="shared" si="12"/>
        <v>12</v>
      </c>
      <c r="N16">
        <f t="shared" si="12"/>
        <v>13</v>
      </c>
      <c r="O16">
        <f t="shared" si="12"/>
        <v>14</v>
      </c>
      <c r="P16">
        <f t="shared" si="12"/>
        <v>15</v>
      </c>
      <c r="Q16">
        <f t="shared" si="12"/>
        <v>16</v>
      </c>
      <c r="R16">
        <f t="shared" si="12"/>
        <v>17</v>
      </c>
      <c r="S16">
        <f t="shared" si="12"/>
        <v>18</v>
      </c>
      <c r="T16">
        <f t="shared" si="12"/>
        <v>19</v>
      </c>
      <c r="U16">
        <f t="shared" si="12"/>
        <v>20</v>
      </c>
      <c r="V16" t="b">
        <f t="shared" si="12"/>
        <v>0</v>
      </c>
      <c r="W16">
        <f t="shared" si="12"/>
        <v>1</v>
      </c>
      <c r="X16">
        <f t="shared" si="12"/>
        <v>2</v>
      </c>
      <c r="Y16">
        <f t="shared" si="12"/>
        <v>3</v>
      </c>
      <c r="Z16">
        <f t="shared" si="12"/>
        <v>4</v>
      </c>
      <c r="AA16">
        <f t="shared" si="12"/>
        <v>5</v>
      </c>
      <c r="AB16">
        <f t="shared" si="12"/>
        <v>6</v>
      </c>
      <c r="AC16">
        <f t="shared" si="12"/>
        <v>7</v>
      </c>
      <c r="AD16">
        <f t="shared" si="12"/>
        <v>8</v>
      </c>
      <c r="AE16">
        <f t="shared" si="12"/>
        <v>9</v>
      </c>
      <c r="AF16">
        <f t="shared" si="12"/>
        <v>10</v>
      </c>
      <c r="AG16">
        <f t="shared" si="12"/>
        <v>11</v>
      </c>
      <c r="AH16">
        <f t="shared" si="12"/>
        <v>12</v>
      </c>
      <c r="AI16">
        <f t="shared" si="12"/>
        <v>13</v>
      </c>
      <c r="AJ16">
        <f t="shared" si="12"/>
        <v>14</v>
      </c>
      <c r="AK16">
        <f>IF(AJ16+1&lt;=$B$2*$A$15/$B$1,IF(AJ16&lt;&gt;0,AJ16+1,0))</f>
        <v>15</v>
      </c>
      <c r="AL16">
        <f t="shared" si="12"/>
        <v>16</v>
      </c>
      <c r="AM16">
        <f t="shared" si="12"/>
        <v>17</v>
      </c>
      <c r="AN16">
        <f t="shared" si="12"/>
        <v>18</v>
      </c>
      <c r="AO16">
        <f t="shared" si="12"/>
        <v>19</v>
      </c>
      <c r="AP16">
        <f t="shared" si="12"/>
        <v>20</v>
      </c>
      <c r="AQ16" t="b">
        <f t="shared" si="12"/>
        <v>0</v>
      </c>
      <c r="AR16">
        <f t="shared" si="12"/>
        <v>1</v>
      </c>
      <c r="AS16">
        <f t="shared" si="12"/>
        <v>2</v>
      </c>
      <c r="AT16">
        <f t="shared" si="12"/>
        <v>3</v>
      </c>
      <c r="AU16">
        <f t="shared" si="12"/>
        <v>4</v>
      </c>
      <c r="AV16">
        <f t="shared" si="12"/>
        <v>5</v>
      </c>
      <c r="AW16">
        <f t="shared" si="12"/>
        <v>6</v>
      </c>
      <c r="AX16">
        <f t="shared" si="12"/>
        <v>7</v>
      </c>
      <c r="AY16">
        <f>IF(AX16+1&lt;=$B$2*$A$15/$B$1,IF(AX16&lt;&gt;0,AX16+1,0))</f>
        <v>8</v>
      </c>
      <c r="AZ16">
        <f>IF(AY16+1&lt;=$B$2*$A$15/$B$1,IF(AY16&lt;&gt;0,AY16+1,0))</f>
        <v>9</v>
      </c>
    </row>
    <row r="17" spans="1:1" x14ac:dyDescent="0.25">
      <c r="A17" s="5"/>
    </row>
    <row r="18" spans="1:1" ht="15.75" thickBot="1" x14ac:dyDescent="0.3">
      <c r="A1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FC4A-3F6E-4F1B-B452-03812AD9488A}">
  <dimension ref="A1:AE42"/>
  <sheetViews>
    <sheetView topLeftCell="H1" workbookViewId="0">
      <selection activeCell="Q35" sqref="Q35"/>
    </sheetView>
  </sheetViews>
  <sheetFormatPr defaultRowHeight="16.5" thickTop="1" thickBottom="1" x14ac:dyDescent="0.3"/>
  <cols>
    <col min="1" max="1" width="19.140625" bestFit="1" customWidth="1"/>
    <col min="3" max="3" width="11.28515625" bestFit="1" customWidth="1"/>
    <col min="4" max="4" width="14.5703125" bestFit="1" customWidth="1"/>
    <col min="5" max="6" width="22.85546875" bestFit="1" customWidth="1"/>
    <col min="15" max="15" width="14.28515625" customWidth="1"/>
    <col min="16" max="21" width="11.42578125" bestFit="1" customWidth="1"/>
    <col min="29" max="29" width="22.85546875" style="11" bestFit="1" customWidth="1"/>
    <col min="30" max="30" width="24" style="7" bestFit="1" customWidth="1"/>
    <col min="31" max="31" width="9.140625" style="12"/>
  </cols>
  <sheetData>
    <row r="1" spans="1:31" thickTop="1" thickBot="1" x14ac:dyDescent="0.3">
      <c r="A1" s="7" t="s">
        <v>56</v>
      </c>
      <c r="B1" s="7">
        <v>5</v>
      </c>
      <c r="C1" t="s">
        <v>0</v>
      </c>
      <c r="D1" t="s">
        <v>7</v>
      </c>
      <c r="E1" t="s">
        <v>26</v>
      </c>
      <c r="F1" t="s">
        <v>27</v>
      </c>
      <c r="H1" s="7" t="s">
        <v>28</v>
      </c>
      <c r="I1" t="s">
        <v>29</v>
      </c>
      <c r="J1" t="s">
        <v>30</v>
      </c>
      <c r="K1" t="s">
        <v>31</v>
      </c>
      <c r="L1" t="s">
        <v>35</v>
      </c>
      <c r="M1" t="s">
        <v>34</v>
      </c>
      <c r="O1" t="s">
        <v>32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32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s="8" t="s">
        <v>64</v>
      </c>
      <c r="AD1" s="9" t="s">
        <v>63</v>
      </c>
      <c r="AE1" s="10" t="s">
        <v>52</v>
      </c>
    </row>
    <row r="2" spans="1:31" thickTop="1" thickBot="1" x14ac:dyDescent="0.3">
      <c r="A2" s="7" t="s">
        <v>25</v>
      </c>
      <c r="B2" s="7">
        <v>200</v>
      </c>
      <c r="C2">
        <v>6</v>
      </c>
      <c r="D2">
        <v>8.1000000000000003E-2</v>
      </c>
      <c r="E2">
        <f>D2*2*($B$2/$B$1)</f>
        <v>6.48</v>
      </c>
      <c r="F2">
        <f>$B$1*2*D2</f>
        <v>0.81</v>
      </c>
      <c r="H2" s="7">
        <v>0.5</v>
      </c>
      <c r="I2">
        <f>IF($B$1&gt;0,$H$2+D2)</f>
        <v>0.58099999999999996</v>
      </c>
      <c r="J2">
        <f>IF($B$1&gt;1,I2+2*D2)</f>
        <v>0.74299999999999999</v>
      </c>
      <c r="K2">
        <f>IF($B$1&gt;2,J2+D2*2)</f>
        <v>0.90500000000000003</v>
      </c>
      <c r="L2">
        <f>IF($B$1&gt;3,K2+D2*2)</f>
        <v>1.0669999999999999</v>
      </c>
      <c r="M2">
        <f>IF($B$1&gt;4,L2+D2*2)</f>
        <v>1.2289999999999999</v>
      </c>
      <c r="P2">
        <f t="shared" ref="P2:U2" si="0">2*PI()*I2</f>
        <v>3.6505306634713395</v>
      </c>
      <c r="Q2">
        <f t="shared" si="0"/>
        <v>4.6684066832344326</v>
      </c>
      <c r="R2">
        <f t="shared" si="0"/>
        <v>5.6862827029975254</v>
      </c>
      <c r="S2">
        <f t="shared" si="0"/>
        <v>6.7041587227606181</v>
      </c>
      <c r="T2">
        <f t="shared" si="0"/>
        <v>7.7220347425237108</v>
      </c>
      <c r="U2">
        <f t="shared" si="0"/>
        <v>0</v>
      </c>
      <c r="W2">
        <f t="shared" ref="W2:AB2" si="1">P2*$B$3</f>
        <v>146.02122653885357</v>
      </c>
      <c r="X2">
        <f t="shared" si="1"/>
        <v>186.73626732937731</v>
      </c>
      <c r="Y2">
        <f t="shared" si="1"/>
        <v>227.451308119901</v>
      </c>
      <c r="Z2">
        <f t="shared" si="1"/>
        <v>268.16634891042474</v>
      </c>
      <c r="AA2">
        <f t="shared" si="1"/>
        <v>308.88138970094843</v>
      </c>
      <c r="AB2">
        <f t="shared" si="1"/>
        <v>0</v>
      </c>
      <c r="AC2" s="11">
        <f>SUM(W2:AB2)</f>
        <v>1137.2565405995051</v>
      </c>
      <c r="AD2" s="7">
        <f>(P2+Q2+R2+S2+T2+U2)*$B$3</f>
        <v>1137.2565405995051</v>
      </c>
      <c r="AE2" s="12">
        <f t="shared" ref="AE2:AE40" si="2">AD2/12</f>
        <v>94.771378383292088</v>
      </c>
    </row>
    <row r="3" spans="1:31" thickTop="1" thickBot="1" x14ac:dyDescent="0.3">
      <c r="A3" s="7" t="s">
        <v>33</v>
      </c>
      <c r="B3" s="7">
        <f>B2/B1</f>
        <v>40</v>
      </c>
      <c r="C3">
        <v>7</v>
      </c>
      <c r="D3">
        <v>7.2150000000000006E-2</v>
      </c>
      <c r="E3">
        <f t="shared" ref="E3:E40" si="3">D3*2*($B$2/$B$1)</f>
        <v>5.7720000000000002</v>
      </c>
      <c r="F3">
        <f t="shared" ref="F3:F40" si="4">$B$1*2*D3</f>
        <v>0.72150000000000003</v>
      </c>
      <c r="H3" s="7" t="s">
        <v>32</v>
      </c>
      <c r="I3">
        <f t="shared" ref="I3:I40" si="5">IF($B$1&gt;0,$H$2+D3)</f>
        <v>0.57215000000000005</v>
      </c>
      <c r="J3">
        <f t="shared" ref="J3:J40" si="6">IF($B$1&gt;1,I3+2*D3)</f>
        <v>0.71645000000000003</v>
      </c>
      <c r="K3">
        <f t="shared" ref="K3:K40" si="7">IF($B$1&gt;2,J3+D3*2)</f>
        <v>0.86075000000000002</v>
      </c>
      <c r="L3">
        <f t="shared" ref="L3:L40" si="8">IF($B$1&gt;3,K3+D3*2)</f>
        <v>1.00505</v>
      </c>
      <c r="M3">
        <f t="shared" ref="M3:M39" si="9">IF($B$1&gt;4,L3+D3*2)</f>
        <v>1.1493500000000001</v>
      </c>
      <c r="P3">
        <f t="shared" ref="P3:P39" si="10">2*PI()*I3</f>
        <v>3.5949244735028008</v>
      </c>
      <c r="Q3">
        <f t="shared" ref="Q3:U40" si="11">2*PI()*J3</f>
        <v>4.5015881133288147</v>
      </c>
      <c r="R3">
        <f t="shared" si="11"/>
        <v>5.4082517531548291</v>
      </c>
      <c r="S3">
        <f t="shared" si="11"/>
        <v>6.3149153929808435</v>
      </c>
      <c r="T3">
        <f t="shared" si="11"/>
        <v>7.2215790328068579</v>
      </c>
      <c r="U3">
        <f t="shared" si="11"/>
        <v>0</v>
      </c>
      <c r="W3">
        <f t="shared" ref="W3:W40" si="12">P3*$B$3</f>
        <v>143.79697894011204</v>
      </c>
      <c r="X3">
        <f t="shared" ref="X3:X42" si="13">Q3*$B$3</f>
        <v>180.06352453315259</v>
      </c>
      <c r="Y3">
        <f t="shared" ref="Y3:Y42" si="14">R3*$B$3</f>
        <v>216.33007012619316</v>
      </c>
      <c r="Z3">
        <f t="shared" ref="Z3:Z42" si="15">S3*$B$3</f>
        <v>252.59661571923374</v>
      </c>
      <c r="AA3">
        <f t="shared" ref="AA3:AA42" si="16">T3*$B$3</f>
        <v>288.86316131227431</v>
      </c>
      <c r="AB3">
        <f t="shared" ref="AB3:AB42" si="17">U3*$B$3</f>
        <v>0</v>
      </c>
      <c r="AC3" s="11">
        <f t="shared" ref="AC3:AC40" si="18">SUM(W3:AB3)</f>
        <v>1081.6503506309659</v>
      </c>
      <c r="AD3" s="7">
        <f t="shared" ref="AD3:AD40" si="19">(P3+Q3+R3+S3+T3+U3)*$B$3</f>
        <v>1081.6503506309659</v>
      </c>
      <c r="AE3" s="12">
        <f t="shared" si="2"/>
        <v>90.137529219247156</v>
      </c>
    </row>
    <row r="4" spans="1:31" thickTop="1" thickBot="1" x14ac:dyDescent="0.3">
      <c r="C4">
        <v>8</v>
      </c>
      <c r="D4">
        <v>6.4250000000000002E-2</v>
      </c>
      <c r="E4">
        <f t="shared" si="3"/>
        <v>5.1400000000000006</v>
      </c>
      <c r="F4">
        <f t="shared" si="4"/>
        <v>0.64250000000000007</v>
      </c>
      <c r="I4">
        <f t="shared" si="5"/>
        <v>0.56425000000000003</v>
      </c>
      <c r="J4">
        <f t="shared" si="6"/>
        <v>0.69274999999999998</v>
      </c>
      <c r="K4">
        <f t="shared" si="7"/>
        <v>0.82125000000000004</v>
      </c>
      <c r="L4">
        <f t="shared" si="8"/>
        <v>0.94975000000000009</v>
      </c>
      <c r="M4">
        <f t="shared" si="9"/>
        <v>1.0782500000000002</v>
      </c>
      <c r="P4">
        <f t="shared" si="10"/>
        <v>3.5452873095760817</v>
      </c>
      <c r="Q4">
        <f t="shared" si="11"/>
        <v>4.3526766215486585</v>
      </c>
      <c r="R4">
        <f t="shared" si="11"/>
        <v>5.1600659335212358</v>
      </c>
      <c r="S4">
        <f t="shared" si="11"/>
        <v>5.967455245493813</v>
      </c>
      <c r="T4">
        <f t="shared" si="11"/>
        <v>6.7748445574663902</v>
      </c>
      <c r="U4">
        <f t="shared" si="11"/>
        <v>0</v>
      </c>
      <c r="W4">
        <f t="shared" si="12"/>
        <v>141.81149238304326</v>
      </c>
      <c r="X4">
        <f t="shared" si="13"/>
        <v>174.10706486194636</v>
      </c>
      <c r="Y4">
        <f t="shared" si="14"/>
        <v>206.40263734084942</v>
      </c>
      <c r="Z4">
        <f t="shared" si="15"/>
        <v>238.69820981975252</v>
      </c>
      <c r="AA4">
        <f t="shared" si="16"/>
        <v>270.99378229865562</v>
      </c>
      <c r="AB4">
        <f t="shared" si="17"/>
        <v>0</v>
      </c>
      <c r="AC4" s="11">
        <f t="shared" si="18"/>
        <v>1032.0131867042471</v>
      </c>
      <c r="AD4" s="7">
        <f t="shared" si="19"/>
        <v>1032.0131867042473</v>
      </c>
      <c r="AE4" s="12">
        <f t="shared" si="2"/>
        <v>86.001098892020607</v>
      </c>
    </row>
    <row r="5" spans="1:31" thickTop="1" thickBot="1" x14ac:dyDescent="0.3">
      <c r="C5">
        <v>9</v>
      </c>
      <c r="D5">
        <v>5.7200000000000001E-2</v>
      </c>
      <c r="E5">
        <f t="shared" si="3"/>
        <v>4.5760000000000005</v>
      </c>
      <c r="F5">
        <f t="shared" si="4"/>
        <v>0.57200000000000006</v>
      </c>
      <c r="I5">
        <f t="shared" si="5"/>
        <v>0.55720000000000003</v>
      </c>
      <c r="J5">
        <f t="shared" si="6"/>
        <v>0.67159999999999997</v>
      </c>
      <c r="K5">
        <f t="shared" si="7"/>
        <v>0.78600000000000003</v>
      </c>
      <c r="L5">
        <f t="shared" si="8"/>
        <v>0.90040000000000009</v>
      </c>
      <c r="M5">
        <f t="shared" si="9"/>
        <v>1.0148000000000001</v>
      </c>
      <c r="P5">
        <f t="shared" si="10"/>
        <v>3.5009908531604657</v>
      </c>
      <c r="Q5">
        <f t="shared" si="11"/>
        <v>4.2197872523018098</v>
      </c>
      <c r="R5">
        <f t="shared" si="11"/>
        <v>4.9385836514431549</v>
      </c>
      <c r="S5">
        <f t="shared" si="11"/>
        <v>5.6573800505845</v>
      </c>
      <c r="T5">
        <f t="shared" si="11"/>
        <v>6.3761764497258451</v>
      </c>
      <c r="U5">
        <f t="shared" si="11"/>
        <v>0</v>
      </c>
      <c r="W5">
        <f t="shared" si="12"/>
        <v>140.03963412641863</v>
      </c>
      <c r="X5">
        <f t="shared" si="13"/>
        <v>168.79149009207239</v>
      </c>
      <c r="Y5">
        <f t="shared" si="14"/>
        <v>197.54334605772618</v>
      </c>
      <c r="Z5">
        <f t="shared" si="15"/>
        <v>226.29520202338</v>
      </c>
      <c r="AA5">
        <f t="shared" si="16"/>
        <v>255.04705798903382</v>
      </c>
      <c r="AB5">
        <f t="shared" si="17"/>
        <v>0</v>
      </c>
      <c r="AC5" s="11">
        <f t="shared" si="18"/>
        <v>987.71673028863097</v>
      </c>
      <c r="AD5" s="7">
        <f t="shared" si="19"/>
        <v>987.71673028863097</v>
      </c>
      <c r="AE5" s="12">
        <f t="shared" si="2"/>
        <v>82.309727524052576</v>
      </c>
    </row>
    <row r="6" spans="1:31" thickTop="1" thickBot="1" x14ac:dyDescent="0.3">
      <c r="C6">
        <v>10</v>
      </c>
      <c r="D6">
        <v>5.0950000000000002E-2</v>
      </c>
      <c r="E6">
        <f t="shared" si="3"/>
        <v>4.0760000000000005</v>
      </c>
      <c r="F6">
        <f t="shared" si="4"/>
        <v>0.50950000000000006</v>
      </c>
      <c r="I6">
        <f t="shared" si="5"/>
        <v>0.55095000000000005</v>
      </c>
      <c r="J6">
        <f t="shared" si="6"/>
        <v>0.65285000000000004</v>
      </c>
      <c r="K6">
        <f t="shared" si="7"/>
        <v>0.75475000000000003</v>
      </c>
      <c r="L6">
        <f t="shared" si="8"/>
        <v>0.85665000000000002</v>
      </c>
      <c r="M6">
        <f t="shared" si="9"/>
        <v>0.95855000000000001</v>
      </c>
      <c r="P6">
        <f t="shared" si="10"/>
        <v>3.4617209449905935</v>
      </c>
      <c r="Q6">
        <f t="shared" si="11"/>
        <v>4.1019775277921928</v>
      </c>
      <c r="R6">
        <f t="shared" si="11"/>
        <v>4.7422341105937926</v>
      </c>
      <c r="S6">
        <f t="shared" si="11"/>
        <v>5.3824906933953924</v>
      </c>
      <c r="T6">
        <f t="shared" si="11"/>
        <v>6.0227472761969922</v>
      </c>
      <c r="U6">
        <f t="shared" si="11"/>
        <v>0</v>
      </c>
      <c r="W6">
        <f t="shared" si="12"/>
        <v>138.46883779962374</v>
      </c>
      <c r="X6">
        <f t="shared" si="13"/>
        <v>164.07910111168772</v>
      </c>
      <c r="Y6">
        <f t="shared" si="14"/>
        <v>189.6893644237517</v>
      </c>
      <c r="Z6">
        <f t="shared" si="15"/>
        <v>215.2996277358157</v>
      </c>
      <c r="AA6">
        <f t="shared" si="16"/>
        <v>240.90989104787968</v>
      </c>
      <c r="AB6">
        <f t="shared" si="17"/>
        <v>0</v>
      </c>
      <c r="AC6" s="11">
        <f t="shared" si="18"/>
        <v>948.44682211875852</v>
      </c>
      <c r="AD6" s="7">
        <f t="shared" si="19"/>
        <v>948.44682211875852</v>
      </c>
      <c r="AE6" s="12">
        <f t="shared" si="2"/>
        <v>79.037235176563215</v>
      </c>
    </row>
    <row r="7" spans="1:31" thickTop="1" thickBot="1" x14ac:dyDescent="0.3">
      <c r="C7">
        <v>11</v>
      </c>
      <c r="D7">
        <v>4.5350000000000001E-2</v>
      </c>
      <c r="E7">
        <f t="shared" si="3"/>
        <v>3.6280000000000001</v>
      </c>
      <c r="F7">
        <f t="shared" si="4"/>
        <v>0.45350000000000001</v>
      </c>
      <c r="I7">
        <f t="shared" si="5"/>
        <v>0.54535</v>
      </c>
      <c r="J7">
        <f t="shared" si="6"/>
        <v>0.63605</v>
      </c>
      <c r="K7">
        <f t="shared" si="7"/>
        <v>0.72675000000000001</v>
      </c>
      <c r="L7">
        <f t="shared" si="8"/>
        <v>0.81745000000000001</v>
      </c>
      <c r="M7">
        <f t="shared" si="9"/>
        <v>0.90815000000000001</v>
      </c>
      <c r="P7">
        <f t="shared" si="10"/>
        <v>3.4265351072703876</v>
      </c>
      <c r="Q7">
        <f t="shared" si="11"/>
        <v>3.996420014631576</v>
      </c>
      <c r="R7">
        <f t="shared" si="11"/>
        <v>4.5663049219927645</v>
      </c>
      <c r="S7">
        <f t="shared" si="11"/>
        <v>5.1361898293539525</v>
      </c>
      <c r="T7">
        <f t="shared" si="11"/>
        <v>5.7060747367151414</v>
      </c>
      <c r="U7">
        <f t="shared" si="11"/>
        <v>0</v>
      </c>
      <c r="W7">
        <f t="shared" si="12"/>
        <v>137.06140429081552</v>
      </c>
      <c r="X7">
        <f t="shared" si="13"/>
        <v>159.85680058526304</v>
      </c>
      <c r="Y7">
        <f t="shared" si="14"/>
        <v>182.65219687971057</v>
      </c>
      <c r="Z7">
        <f t="shared" si="15"/>
        <v>205.4475931741581</v>
      </c>
      <c r="AA7">
        <f t="shared" si="16"/>
        <v>228.24298946860566</v>
      </c>
      <c r="AB7">
        <f t="shared" si="17"/>
        <v>0</v>
      </c>
      <c r="AC7" s="11">
        <f t="shared" si="18"/>
        <v>913.26098439855286</v>
      </c>
      <c r="AD7" s="7">
        <f t="shared" si="19"/>
        <v>913.26098439855286</v>
      </c>
      <c r="AE7" s="12">
        <f t="shared" si="2"/>
        <v>76.105082033212739</v>
      </c>
    </row>
    <row r="8" spans="1:31" thickTop="1" thickBot="1" x14ac:dyDescent="0.3">
      <c r="C8">
        <v>12</v>
      </c>
      <c r="D8">
        <v>4.0399999999999998E-2</v>
      </c>
      <c r="E8">
        <f t="shared" si="3"/>
        <v>3.2319999999999998</v>
      </c>
      <c r="F8">
        <f t="shared" si="4"/>
        <v>0.40399999999999997</v>
      </c>
      <c r="I8">
        <f t="shared" si="5"/>
        <v>0.54039999999999999</v>
      </c>
      <c r="J8">
        <f t="shared" si="6"/>
        <v>0.62119999999999997</v>
      </c>
      <c r="K8">
        <f t="shared" si="7"/>
        <v>0.70199999999999996</v>
      </c>
      <c r="L8">
        <f t="shared" si="8"/>
        <v>0.78279999999999994</v>
      </c>
      <c r="M8">
        <f t="shared" si="9"/>
        <v>0.86359999999999992</v>
      </c>
      <c r="P8">
        <f t="shared" si="10"/>
        <v>3.3954333399998484</v>
      </c>
      <c r="Q8">
        <f t="shared" si="11"/>
        <v>3.9031147128199586</v>
      </c>
      <c r="R8">
        <f t="shared" si="11"/>
        <v>4.4107960856400696</v>
      </c>
      <c r="S8">
        <f t="shared" si="11"/>
        <v>4.9184774584601794</v>
      </c>
      <c r="T8">
        <f t="shared" si="11"/>
        <v>5.42615883128029</v>
      </c>
      <c r="U8">
        <f t="shared" si="11"/>
        <v>0</v>
      </c>
      <c r="W8">
        <f t="shared" si="12"/>
        <v>135.81733359999393</v>
      </c>
      <c r="X8">
        <f t="shared" si="13"/>
        <v>156.12458851279834</v>
      </c>
      <c r="Y8">
        <f t="shared" si="14"/>
        <v>176.43184342560278</v>
      </c>
      <c r="Z8">
        <f t="shared" si="15"/>
        <v>196.73909833840719</v>
      </c>
      <c r="AA8">
        <f t="shared" si="16"/>
        <v>217.0463532512116</v>
      </c>
      <c r="AB8">
        <f t="shared" si="17"/>
        <v>0</v>
      </c>
      <c r="AC8" s="11">
        <f t="shared" si="18"/>
        <v>882.15921712801389</v>
      </c>
      <c r="AD8" s="7">
        <f t="shared" si="19"/>
        <v>882.15921712801389</v>
      </c>
      <c r="AE8" s="12">
        <f t="shared" si="2"/>
        <v>73.513268094001162</v>
      </c>
    </row>
    <row r="9" spans="1:31" thickTop="1" thickBot="1" x14ac:dyDescent="0.3">
      <c r="C9">
        <v>13</v>
      </c>
      <c r="D9">
        <v>3.5999999999999997E-2</v>
      </c>
      <c r="E9">
        <f t="shared" si="3"/>
        <v>2.88</v>
      </c>
      <c r="F9">
        <f t="shared" si="4"/>
        <v>0.36</v>
      </c>
      <c r="I9">
        <f t="shared" si="5"/>
        <v>0.53600000000000003</v>
      </c>
      <c r="J9">
        <f t="shared" si="6"/>
        <v>0.60799999999999998</v>
      </c>
      <c r="K9">
        <f t="shared" si="7"/>
        <v>0.67999999999999994</v>
      </c>
      <c r="L9">
        <f t="shared" si="8"/>
        <v>0.75199999999999989</v>
      </c>
      <c r="M9">
        <f t="shared" si="9"/>
        <v>0.82399999999999984</v>
      </c>
      <c r="P9">
        <f t="shared" si="10"/>
        <v>3.3677873246482584</v>
      </c>
      <c r="Q9">
        <f t="shared" si="11"/>
        <v>3.8201766667651884</v>
      </c>
      <c r="R9">
        <f t="shared" si="11"/>
        <v>4.2725660088821185</v>
      </c>
      <c r="S9">
        <f t="shared" si="11"/>
        <v>4.7249553509990481</v>
      </c>
      <c r="T9">
        <f t="shared" si="11"/>
        <v>5.1773446931159777</v>
      </c>
      <c r="U9">
        <f t="shared" si="11"/>
        <v>0</v>
      </c>
      <c r="W9">
        <f t="shared" si="12"/>
        <v>134.71149298593033</v>
      </c>
      <c r="X9">
        <f t="shared" si="13"/>
        <v>152.80706667060753</v>
      </c>
      <c r="Y9">
        <f t="shared" si="14"/>
        <v>170.90264035528475</v>
      </c>
      <c r="Z9">
        <f t="shared" si="15"/>
        <v>188.99821403996191</v>
      </c>
      <c r="AA9">
        <f t="shared" si="16"/>
        <v>207.0937877246391</v>
      </c>
      <c r="AB9">
        <f t="shared" si="17"/>
        <v>0</v>
      </c>
      <c r="AC9" s="11">
        <f t="shared" si="18"/>
        <v>854.51320177642367</v>
      </c>
      <c r="AD9" s="7">
        <f t="shared" si="19"/>
        <v>854.51320177642378</v>
      </c>
      <c r="AE9" s="12">
        <f t="shared" si="2"/>
        <v>71.209433481368649</v>
      </c>
    </row>
    <row r="10" spans="1:31" thickTop="1" thickBot="1" x14ac:dyDescent="0.3">
      <c r="C10">
        <v>14</v>
      </c>
      <c r="D10">
        <v>3.2050000000000002E-2</v>
      </c>
      <c r="E10">
        <f t="shared" si="3"/>
        <v>2.5640000000000001</v>
      </c>
      <c r="F10">
        <f t="shared" si="4"/>
        <v>0.32050000000000001</v>
      </c>
      <c r="I10">
        <f t="shared" si="5"/>
        <v>0.53205000000000002</v>
      </c>
      <c r="J10">
        <f t="shared" si="6"/>
        <v>0.59615000000000007</v>
      </c>
      <c r="K10">
        <f t="shared" si="7"/>
        <v>0.66025000000000011</v>
      </c>
      <c r="L10">
        <f t="shared" si="8"/>
        <v>0.72435000000000016</v>
      </c>
      <c r="M10">
        <f t="shared" si="9"/>
        <v>0.78845000000000021</v>
      </c>
      <c r="P10">
        <f t="shared" si="10"/>
        <v>3.3429687426848989</v>
      </c>
      <c r="Q10">
        <f t="shared" si="11"/>
        <v>3.7457209208751108</v>
      </c>
      <c r="R10">
        <f t="shared" si="11"/>
        <v>4.1484730990653222</v>
      </c>
      <c r="S10">
        <f t="shared" si="11"/>
        <v>4.5512252772555346</v>
      </c>
      <c r="T10">
        <f t="shared" si="11"/>
        <v>4.9539774554457461</v>
      </c>
      <c r="U10">
        <f t="shared" si="11"/>
        <v>0</v>
      </c>
      <c r="W10">
        <f t="shared" si="12"/>
        <v>133.71874970739594</v>
      </c>
      <c r="X10">
        <f t="shared" si="13"/>
        <v>149.82883683500444</v>
      </c>
      <c r="Y10">
        <f t="shared" si="14"/>
        <v>165.93892396261288</v>
      </c>
      <c r="Z10">
        <f t="shared" si="15"/>
        <v>182.04901109022137</v>
      </c>
      <c r="AA10">
        <f t="shared" si="16"/>
        <v>198.15909821782984</v>
      </c>
      <c r="AB10">
        <f t="shared" si="17"/>
        <v>0</v>
      </c>
      <c r="AC10" s="11">
        <f t="shared" si="18"/>
        <v>829.69461981306449</v>
      </c>
      <c r="AD10" s="7">
        <f t="shared" si="19"/>
        <v>829.69461981306449</v>
      </c>
      <c r="AE10" s="12">
        <f t="shared" si="2"/>
        <v>69.141218317755374</v>
      </c>
    </row>
    <row r="11" spans="1:31" thickTop="1" thickBot="1" x14ac:dyDescent="0.3">
      <c r="C11">
        <v>15</v>
      </c>
      <c r="D11">
        <v>2.8549999999999999E-2</v>
      </c>
      <c r="E11">
        <f t="shared" si="3"/>
        <v>2.2839999999999998</v>
      </c>
      <c r="F11">
        <f t="shared" si="4"/>
        <v>0.28549999999999998</v>
      </c>
      <c r="I11">
        <f t="shared" si="5"/>
        <v>0.52854999999999996</v>
      </c>
      <c r="J11">
        <f t="shared" si="6"/>
        <v>0.58565</v>
      </c>
      <c r="K11">
        <f t="shared" si="7"/>
        <v>0.64275000000000004</v>
      </c>
      <c r="L11">
        <f t="shared" si="8"/>
        <v>0.69985000000000008</v>
      </c>
      <c r="M11">
        <f t="shared" si="9"/>
        <v>0.75695000000000012</v>
      </c>
      <c r="P11">
        <f t="shared" si="10"/>
        <v>3.3209775941097699</v>
      </c>
      <c r="Q11">
        <f t="shared" si="11"/>
        <v>3.6797474751497248</v>
      </c>
      <c r="R11">
        <f t="shared" si="11"/>
        <v>4.0385173561896792</v>
      </c>
      <c r="S11">
        <f t="shared" si="11"/>
        <v>4.3972872372296337</v>
      </c>
      <c r="T11">
        <f t="shared" si="11"/>
        <v>4.756057118269589</v>
      </c>
      <c r="U11">
        <f t="shared" si="11"/>
        <v>0</v>
      </c>
      <c r="W11">
        <f t="shared" si="12"/>
        <v>132.83910376439079</v>
      </c>
      <c r="X11">
        <f t="shared" si="13"/>
        <v>147.18989900598899</v>
      </c>
      <c r="Y11">
        <f t="shared" si="14"/>
        <v>161.54069424758717</v>
      </c>
      <c r="Z11">
        <f t="shared" si="15"/>
        <v>175.89148948918535</v>
      </c>
      <c r="AA11">
        <f t="shared" si="16"/>
        <v>190.24228473078355</v>
      </c>
      <c r="AB11">
        <f t="shared" si="17"/>
        <v>0</v>
      </c>
      <c r="AC11" s="11">
        <f t="shared" si="18"/>
        <v>807.70347123793579</v>
      </c>
      <c r="AD11" s="7">
        <f t="shared" si="19"/>
        <v>807.7034712379359</v>
      </c>
      <c r="AE11" s="12">
        <f t="shared" si="2"/>
        <v>67.308622603161325</v>
      </c>
    </row>
    <row r="12" spans="1:31" thickTop="1" thickBot="1" x14ac:dyDescent="0.3">
      <c r="C12">
        <v>16</v>
      </c>
      <c r="D12">
        <v>2.5399999999999999E-2</v>
      </c>
      <c r="E12">
        <f t="shared" si="3"/>
        <v>2.032</v>
      </c>
      <c r="F12">
        <f t="shared" si="4"/>
        <v>0.254</v>
      </c>
      <c r="I12">
        <f t="shared" si="5"/>
        <v>0.52539999999999998</v>
      </c>
      <c r="J12">
        <f t="shared" si="6"/>
        <v>0.57619999999999993</v>
      </c>
      <c r="K12">
        <f t="shared" si="7"/>
        <v>0.62699999999999989</v>
      </c>
      <c r="L12">
        <f t="shared" si="8"/>
        <v>0.67779999999999985</v>
      </c>
      <c r="M12">
        <f t="shared" si="9"/>
        <v>0.7285999999999998</v>
      </c>
      <c r="P12">
        <f t="shared" si="10"/>
        <v>3.3011855603921543</v>
      </c>
      <c r="Q12">
        <f t="shared" si="11"/>
        <v>3.620371373996877</v>
      </c>
      <c r="R12">
        <f t="shared" si="11"/>
        <v>3.9395571876015998</v>
      </c>
      <c r="S12">
        <f t="shared" si="11"/>
        <v>4.258743001206323</v>
      </c>
      <c r="T12">
        <f t="shared" si="11"/>
        <v>4.5779288148110453</v>
      </c>
      <c r="U12">
        <f t="shared" si="11"/>
        <v>0</v>
      </c>
      <c r="W12">
        <f t="shared" si="12"/>
        <v>132.04742241568619</v>
      </c>
      <c r="X12">
        <f t="shared" si="13"/>
        <v>144.81485495987508</v>
      </c>
      <c r="Y12">
        <f t="shared" si="14"/>
        <v>157.582287504064</v>
      </c>
      <c r="Z12">
        <f t="shared" si="15"/>
        <v>170.34972004825292</v>
      </c>
      <c r="AA12">
        <f t="shared" si="16"/>
        <v>183.11715259244181</v>
      </c>
      <c r="AB12">
        <f t="shared" si="17"/>
        <v>0</v>
      </c>
      <c r="AC12" s="11">
        <f t="shared" si="18"/>
        <v>787.91143752031996</v>
      </c>
      <c r="AD12" s="7">
        <f t="shared" si="19"/>
        <v>787.91143752031996</v>
      </c>
      <c r="AE12" s="12">
        <f t="shared" si="2"/>
        <v>65.659286460026664</v>
      </c>
    </row>
    <row r="13" spans="1:31" thickTop="1" thickBot="1" x14ac:dyDescent="0.3">
      <c r="C13">
        <v>17</v>
      </c>
      <c r="D13">
        <v>2.265E-2</v>
      </c>
      <c r="E13">
        <f t="shared" si="3"/>
        <v>1.8120000000000001</v>
      </c>
      <c r="F13">
        <f t="shared" si="4"/>
        <v>0.22650000000000001</v>
      </c>
      <c r="I13">
        <f t="shared" si="5"/>
        <v>0.52264999999999995</v>
      </c>
      <c r="J13">
        <f t="shared" si="6"/>
        <v>0.56794999999999995</v>
      </c>
      <c r="K13">
        <f t="shared" si="7"/>
        <v>0.61324999999999996</v>
      </c>
      <c r="L13">
        <f t="shared" si="8"/>
        <v>0.65854999999999997</v>
      </c>
      <c r="M13">
        <f t="shared" si="9"/>
        <v>0.70384999999999998</v>
      </c>
      <c r="P13">
        <f t="shared" si="10"/>
        <v>3.2839068007974106</v>
      </c>
      <c r="Q13">
        <f t="shared" si="11"/>
        <v>3.5685350952126456</v>
      </c>
      <c r="R13">
        <f t="shared" si="11"/>
        <v>3.853163389627881</v>
      </c>
      <c r="S13">
        <f t="shared" si="11"/>
        <v>4.1377916840431164</v>
      </c>
      <c r="T13">
        <f t="shared" si="11"/>
        <v>4.4224199784583513</v>
      </c>
      <c r="U13">
        <f t="shared" si="11"/>
        <v>0</v>
      </c>
      <c r="W13">
        <f t="shared" si="12"/>
        <v>131.35627203189642</v>
      </c>
      <c r="X13">
        <f t="shared" si="13"/>
        <v>142.74140380850582</v>
      </c>
      <c r="Y13">
        <f t="shared" si="14"/>
        <v>154.12653558511525</v>
      </c>
      <c r="Z13">
        <f t="shared" si="15"/>
        <v>165.51166736172465</v>
      </c>
      <c r="AA13">
        <f t="shared" si="16"/>
        <v>176.89679913833405</v>
      </c>
      <c r="AB13">
        <f t="shared" si="17"/>
        <v>0</v>
      </c>
      <c r="AC13" s="11">
        <f t="shared" si="18"/>
        <v>770.63267792557622</v>
      </c>
      <c r="AD13" s="7">
        <f t="shared" si="19"/>
        <v>770.6326779255761</v>
      </c>
      <c r="AE13" s="12">
        <f t="shared" si="2"/>
        <v>64.219389827131337</v>
      </c>
    </row>
    <row r="14" spans="1:31" thickTop="1" thickBot="1" x14ac:dyDescent="0.3">
      <c r="C14">
        <v>18</v>
      </c>
      <c r="D14">
        <v>2.0150000000000001E-2</v>
      </c>
      <c r="E14">
        <f t="shared" si="3"/>
        <v>1.6120000000000001</v>
      </c>
      <c r="F14">
        <f t="shared" si="4"/>
        <v>0.20150000000000001</v>
      </c>
      <c r="I14">
        <f t="shared" si="5"/>
        <v>0.52015</v>
      </c>
      <c r="J14">
        <f t="shared" si="6"/>
        <v>0.56045</v>
      </c>
      <c r="K14">
        <f t="shared" si="7"/>
        <v>0.60075000000000001</v>
      </c>
      <c r="L14">
        <f t="shared" si="8"/>
        <v>0.64105000000000001</v>
      </c>
      <c r="M14">
        <f t="shared" si="9"/>
        <v>0.68135000000000001</v>
      </c>
      <c r="P14">
        <f t="shared" si="10"/>
        <v>3.2681988375294617</v>
      </c>
      <c r="Q14">
        <f t="shared" si="11"/>
        <v>3.5214112054087989</v>
      </c>
      <c r="R14">
        <f t="shared" si="11"/>
        <v>3.7746235732881366</v>
      </c>
      <c r="S14">
        <f t="shared" si="11"/>
        <v>4.0278359411674742</v>
      </c>
      <c r="T14">
        <f t="shared" si="11"/>
        <v>4.2810483090468114</v>
      </c>
      <c r="U14">
        <f t="shared" si="11"/>
        <v>0</v>
      </c>
      <c r="W14">
        <f t="shared" si="12"/>
        <v>130.72795350117846</v>
      </c>
      <c r="X14">
        <f t="shared" si="13"/>
        <v>140.85644821635196</v>
      </c>
      <c r="Y14">
        <f t="shared" si="14"/>
        <v>150.98494293152547</v>
      </c>
      <c r="Z14">
        <f t="shared" si="15"/>
        <v>161.11343764669897</v>
      </c>
      <c r="AA14">
        <f t="shared" si="16"/>
        <v>171.24193236187244</v>
      </c>
      <c r="AB14">
        <f t="shared" si="17"/>
        <v>0</v>
      </c>
      <c r="AC14" s="11">
        <f t="shared" si="18"/>
        <v>754.92471465762719</v>
      </c>
      <c r="AD14" s="7">
        <f t="shared" si="19"/>
        <v>754.92471465762731</v>
      </c>
      <c r="AE14" s="12">
        <f t="shared" si="2"/>
        <v>62.910392888135611</v>
      </c>
    </row>
    <row r="15" spans="1:31" thickTop="1" thickBot="1" x14ac:dyDescent="0.3">
      <c r="C15">
        <v>19</v>
      </c>
      <c r="D15">
        <v>1.7950000000000001E-2</v>
      </c>
      <c r="E15">
        <f t="shared" si="3"/>
        <v>1.4359999999999999</v>
      </c>
      <c r="F15">
        <f t="shared" si="4"/>
        <v>0.17949999999999999</v>
      </c>
      <c r="I15">
        <f t="shared" si="5"/>
        <v>0.51795000000000002</v>
      </c>
      <c r="J15">
        <f t="shared" si="6"/>
        <v>0.55385000000000006</v>
      </c>
      <c r="K15">
        <f t="shared" si="7"/>
        <v>0.58975000000000011</v>
      </c>
      <c r="L15">
        <f t="shared" si="8"/>
        <v>0.62565000000000015</v>
      </c>
      <c r="M15">
        <f t="shared" si="9"/>
        <v>0.66155000000000019</v>
      </c>
      <c r="P15">
        <f t="shared" si="10"/>
        <v>3.2543758298536667</v>
      </c>
      <c r="Q15">
        <f t="shared" si="11"/>
        <v>3.4799421823814143</v>
      </c>
      <c r="R15">
        <f t="shared" si="11"/>
        <v>3.7055085349091619</v>
      </c>
      <c r="S15">
        <f t="shared" si="11"/>
        <v>3.931074887436909</v>
      </c>
      <c r="T15">
        <f t="shared" si="11"/>
        <v>4.1566412399646566</v>
      </c>
      <c r="U15">
        <f t="shared" si="11"/>
        <v>0</v>
      </c>
      <c r="W15">
        <f t="shared" si="12"/>
        <v>130.17503319414666</v>
      </c>
      <c r="X15">
        <f t="shared" si="13"/>
        <v>139.19768729525657</v>
      </c>
      <c r="Y15">
        <f t="shared" si="14"/>
        <v>148.22034139636648</v>
      </c>
      <c r="Z15">
        <f t="shared" si="15"/>
        <v>157.24299549747636</v>
      </c>
      <c r="AA15">
        <f t="shared" si="16"/>
        <v>166.26564959858626</v>
      </c>
      <c r="AB15">
        <f t="shared" si="17"/>
        <v>0</v>
      </c>
      <c r="AC15" s="11">
        <f t="shared" si="18"/>
        <v>741.10170698183242</v>
      </c>
      <c r="AD15" s="7">
        <f t="shared" si="19"/>
        <v>741.10170698183219</v>
      </c>
      <c r="AE15" s="12">
        <f t="shared" si="2"/>
        <v>61.758475581819347</v>
      </c>
    </row>
    <row r="16" spans="1:31" thickTop="1" thickBot="1" x14ac:dyDescent="0.3">
      <c r="C16">
        <v>20</v>
      </c>
      <c r="D16">
        <v>1.6E-2</v>
      </c>
      <c r="E16">
        <f t="shared" si="3"/>
        <v>1.28</v>
      </c>
      <c r="F16">
        <f t="shared" si="4"/>
        <v>0.16</v>
      </c>
      <c r="I16">
        <f t="shared" si="5"/>
        <v>0.51600000000000001</v>
      </c>
      <c r="J16">
        <f t="shared" si="6"/>
        <v>0.54800000000000004</v>
      </c>
      <c r="K16">
        <f t="shared" si="7"/>
        <v>0.58000000000000007</v>
      </c>
      <c r="L16">
        <f t="shared" si="8"/>
        <v>0.6120000000000001</v>
      </c>
      <c r="M16">
        <f t="shared" si="9"/>
        <v>0.64400000000000013</v>
      </c>
      <c r="P16">
        <f t="shared" si="10"/>
        <v>3.2421236185046665</v>
      </c>
      <c r="Q16">
        <f t="shared" si="11"/>
        <v>3.4431855483344136</v>
      </c>
      <c r="R16">
        <f t="shared" si="11"/>
        <v>3.6442474781641603</v>
      </c>
      <c r="S16">
        <f t="shared" si="11"/>
        <v>3.8453094079939074</v>
      </c>
      <c r="T16">
        <f t="shared" si="11"/>
        <v>4.0463713378236541</v>
      </c>
      <c r="U16">
        <f t="shared" si="11"/>
        <v>0</v>
      </c>
      <c r="W16">
        <f t="shared" si="12"/>
        <v>129.68494474018667</v>
      </c>
      <c r="X16">
        <f t="shared" si="13"/>
        <v>137.72742193337655</v>
      </c>
      <c r="Y16">
        <f t="shared" si="14"/>
        <v>145.7698991265664</v>
      </c>
      <c r="Z16">
        <f t="shared" si="15"/>
        <v>153.81237631975631</v>
      </c>
      <c r="AA16">
        <f t="shared" si="16"/>
        <v>161.85485351294616</v>
      </c>
      <c r="AB16">
        <f t="shared" si="17"/>
        <v>0</v>
      </c>
      <c r="AC16" s="11">
        <f t="shared" si="18"/>
        <v>728.84949563283203</v>
      </c>
      <c r="AD16" s="7">
        <f t="shared" si="19"/>
        <v>728.84949563283215</v>
      </c>
      <c r="AE16" s="12">
        <f t="shared" si="2"/>
        <v>60.737457969402676</v>
      </c>
    </row>
    <row r="17" spans="3:31" thickTop="1" thickBot="1" x14ac:dyDescent="0.3">
      <c r="C17">
        <v>21</v>
      </c>
      <c r="D17">
        <v>1.4250000000000001E-2</v>
      </c>
      <c r="E17">
        <f t="shared" si="3"/>
        <v>1.1400000000000001</v>
      </c>
      <c r="F17">
        <f t="shared" si="4"/>
        <v>0.14250000000000002</v>
      </c>
      <c r="I17">
        <f t="shared" si="5"/>
        <v>0.51424999999999998</v>
      </c>
      <c r="J17">
        <f t="shared" si="6"/>
        <v>0.54274999999999995</v>
      </c>
      <c r="K17">
        <f t="shared" si="7"/>
        <v>0.57124999999999992</v>
      </c>
      <c r="L17">
        <f t="shared" si="8"/>
        <v>0.59974999999999989</v>
      </c>
      <c r="M17">
        <f t="shared" si="9"/>
        <v>0.62824999999999986</v>
      </c>
      <c r="P17">
        <f t="shared" si="10"/>
        <v>3.231128044217102</v>
      </c>
      <c r="Q17">
        <f t="shared" si="11"/>
        <v>3.4101988254717202</v>
      </c>
      <c r="R17">
        <f t="shared" si="11"/>
        <v>3.5892696067263383</v>
      </c>
      <c r="S17">
        <f t="shared" si="11"/>
        <v>3.7683403879809561</v>
      </c>
      <c r="T17">
        <f t="shared" si="11"/>
        <v>3.9474111692355742</v>
      </c>
      <c r="U17">
        <f t="shared" si="11"/>
        <v>0</v>
      </c>
      <c r="W17">
        <f t="shared" si="12"/>
        <v>129.24512176868407</v>
      </c>
      <c r="X17">
        <f t="shared" si="13"/>
        <v>136.4079530188688</v>
      </c>
      <c r="Y17">
        <f t="shared" si="14"/>
        <v>143.57078426905355</v>
      </c>
      <c r="Z17">
        <f t="shared" si="15"/>
        <v>150.73361551923824</v>
      </c>
      <c r="AA17">
        <f t="shared" si="16"/>
        <v>157.89644676942297</v>
      </c>
      <c r="AB17">
        <f t="shared" si="17"/>
        <v>0</v>
      </c>
      <c r="AC17" s="11">
        <f t="shared" si="18"/>
        <v>717.85392134526762</v>
      </c>
      <c r="AD17" s="7">
        <f t="shared" si="19"/>
        <v>717.85392134526762</v>
      </c>
      <c r="AE17" s="12">
        <f t="shared" si="2"/>
        <v>59.821160112105638</v>
      </c>
    </row>
    <row r="18" spans="3:31" thickTop="1" thickBot="1" x14ac:dyDescent="0.3">
      <c r="C18">
        <v>22</v>
      </c>
      <c r="D18">
        <v>1.265E-2</v>
      </c>
      <c r="E18">
        <f t="shared" si="3"/>
        <v>1.012</v>
      </c>
      <c r="F18">
        <f t="shared" si="4"/>
        <v>0.1265</v>
      </c>
      <c r="I18">
        <f t="shared" si="5"/>
        <v>0.51265000000000005</v>
      </c>
      <c r="J18">
        <f t="shared" si="6"/>
        <v>0.53795000000000004</v>
      </c>
      <c r="K18">
        <f t="shared" si="7"/>
        <v>0.56325000000000003</v>
      </c>
      <c r="L18">
        <f t="shared" si="8"/>
        <v>0.58855000000000002</v>
      </c>
      <c r="M18">
        <f t="shared" si="9"/>
        <v>0.61385000000000001</v>
      </c>
      <c r="P18">
        <f t="shared" si="10"/>
        <v>3.2210749477256151</v>
      </c>
      <c r="Q18">
        <f t="shared" si="11"/>
        <v>3.3800395359972586</v>
      </c>
      <c r="R18">
        <f t="shared" si="11"/>
        <v>3.5390041242689021</v>
      </c>
      <c r="S18">
        <f t="shared" si="11"/>
        <v>3.6979687125405456</v>
      </c>
      <c r="T18">
        <f t="shared" si="11"/>
        <v>3.8569333008121891</v>
      </c>
      <c r="U18">
        <f t="shared" si="11"/>
        <v>0</v>
      </c>
      <c r="W18">
        <f t="shared" si="12"/>
        <v>128.8429979090246</v>
      </c>
      <c r="X18">
        <f t="shared" si="13"/>
        <v>135.20158143989033</v>
      </c>
      <c r="Y18">
        <f t="shared" si="14"/>
        <v>141.56016497075609</v>
      </c>
      <c r="Z18">
        <f t="shared" si="15"/>
        <v>147.91874850162182</v>
      </c>
      <c r="AA18">
        <f t="shared" si="16"/>
        <v>154.27733203248755</v>
      </c>
      <c r="AB18">
        <f t="shared" si="17"/>
        <v>0</v>
      </c>
      <c r="AC18" s="11">
        <f t="shared" si="18"/>
        <v>707.80082485378034</v>
      </c>
      <c r="AD18" s="7">
        <f t="shared" si="19"/>
        <v>707.80082485378045</v>
      </c>
      <c r="AE18" s="12">
        <f t="shared" si="2"/>
        <v>58.983402071148369</v>
      </c>
    </row>
    <row r="19" spans="3:31" thickTop="1" thickBot="1" x14ac:dyDescent="0.3">
      <c r="C19">
        <v>23</v>
      </c>
      <c r="D19">
        <v>1.1299999999999999E-2</v>
      </c>
      <c r="E19">
        <f t="shared" si="3"/>
        <v>0.90399999999999991</v>
      </c>
      <c r="F19">
        <f t="shared" si="4"/>
        <v>0.11299999999999999</v>
      </c>
      <c r="I19">
        <f t="shared" si="5"/>
        <v>0.51129999999999998</v>
      </c>
      <c r="J19">
        <f t="shared" si="6"/>
        <v>0.53389999999999993</v>
      </c>
      <c r="K19">
        <f t="shared" si="7"/>
        <v>0.55649999999999988</v>
      </c>
      <c r="L19">
        <f t="shared" si="8"/>
        <v>0.57909999999999984</v>
      </c>
      <c r="M19">
        <f t="shared" si="9"/>
        <v>0.60169999999999979</v>
      </c>
      <c r="P19">
        <f t="shared" si="10"/>
        <v>3.2125926475609221</v>
      </c>
      <c r="Q19">
        <f t="shared" si="11"/>
        <v>3.3545926355031805</v>
      </c>
      <c r="R19">
        <f t="shared" si="11"/>
        <v>3.496592623445439</v>
      </c>
      <c r="S19">
        <f t="shared" si="11"/>
        <v>3.6385926113876974</v>
      </c>
      <c r="T19">
        <f t="shared" si="11"/>
        <v>3.7805925993299558</v>
      </c>
      <c r="U19">
        <f t="shared" si="11"/>
        <v>0</v>
      </c>
      <c r="W19">
        <f t="shared" si="12"/>
        <v>128.50370590243688</v>
      </c>
      <c r="X19">
        <f t="shared" si="13"/>
        <v>134.18370542012721</v>
      </c>
      <c r="Y19">
        <f t="shared" si="14"/>
        <v>139.86370493781754</v>
      </c>
      <c r="Z19">
        <f t="shared" si="15"/>
        <v>145.54370445550791</v>
      </c>
      <c r="AA19">
        <f t="shared" si="16"/>
        <v>151.22370397319824</v>
      </c>
      <c r="AB19">
        <f t="shared" si="17"/>
        <v>0</v>
      </c>
      <c r="AC19" s="11">
        <f t="shared" si="18"/>
        <v>699.31852468908778</v>
      </c>
      <c r="AD19" s="7">
        <f t="shared" si="19"/>
        <v>699.31852468908778</v>
      </c>
      <c r="AE19" s="12">
        <f t="shared" si="2"/>
        <v>58.276543724090651</v>
      </c>
    </row>
    <row r="20" spans="3:31" thickTop="1" thickBot="1" x14ac:dyDescent="0.3">
      <c r="C20">
        <v>24</v>
      </c>
      <c r="D20">
        <v>1.005E-2</v>
      </c>
      <c r="E20">
        <f t="shared" si="3"/>
        <v>0.80400000000000005</v>
      </c>
      <c r="F20">
        <f t="shared" si="4"/>
        <v>0.10050000000000001</v>
      </c>
      <c r="I20">
        <f t="shared" si="5"/>
        <v>0.51005</v>
      </c>
      <c r="J20">
        <f t="shared" si="6"/>
        <v>0.53015000000000001</v>
      </c>
      <c r="K20">
        <f t="shared" si="7"/>
        <v>0.55025000000000002</v>
      </c>
      <c r="L20">
        <f t="shared" si="8"/>
        <v>0.57035000000000002</v>
      </c>
      <c r="M20">
        <f t="shared" si="9"/>
        <v>0.59045000000000003</v>
      </c>
      <c r="P20">
        <f t="shared" si="10"/>
        <v>3.2047386659269481</v>
      </c>
      <c r="Q20">
        <f t="shared" si="11"/>
        <v>3.3310306906012577</v>
      </c>
      <c r="R20">
        <f t="shared" si="11"/>
        <v>3.4573227152755672</v>
      </c>
      <c r="S20">
        <f t="shared" si="11"/>
        <v>3.5836147399498772</v>
      </c>
      <c r="T20">
        <f t="shared" si="11"/>
        <v>3.7099067646241868</v>
      </c>
      <c r="U20">
        <f t="shared" si="11"/>
        <v>0</v>
      </c>
      <c r="W20">
        <f t="shared" si="12"/>
        <v>128.18954663707791</v>
      </c>
      <c r="X20">
        <f t="shared" si="13"/>
        <v>133.24122762405031</v>
      </c>
      <c r="Y20">
        <f t="shared" si="14"/>
        <v>138.29290861102268</v>
      </c>
      <c r="Z20">
        <f t="shared" si="15"/>
        <v>143.34458959799508</v>
      </c>
      <c r="AA20">
        <f t="shared" si="16"/>
        <v>148.39627058496748</v>
      </c>
      <c r="AB20">
        <f t="shared" si="17"/>
        <v>0</v>
      </c>
      <c r="AC20" s="11">
        <f t="shared" si="18"/>
        <v>691.4645430551135</v>
      </c>
      <c r="AD20" s="7">
        <f t="shared" si="19"/>
        <v>691.46454305511338</v>
      </c>
      <c r="AE20" s="12">
        <f t="shared" si="2"/>
        <v>57.622045254592784</v>
      </c>
    </row>
    <row r="21" spans="3:31" thickTop="1" thickBot="1" x14ac:dyDescent="0.3">
      <c r="C21">
        <v>25</v>
      </c>
      <c r="D21">
        <v>8.9499999999999996E-3</v>
      </c>
      <c r="E21">
        <f t="shared" si="3"/>
        <v>0.71599999999999997</v>
      </c>
      <c r="F21">
        <f t="shared" si="4"/>
        <v>8.9499999999999996E-2</v>
      </c>
      <c r="I21">
        <f t="shared" si="5"/>
        <v>0.50895000000000001</v>
      </c>
      <c r="J21">
        <f t="shared" si="6"/>
        <v>0.52685000000000004</v>
      </c>
      <c r="K21">
        <f t="shared" si="7"/>
        <v>0.54475000000000007</v>
      </c>
      <c r="L21">
        <f t="shared" si="8"/>
        <v>0.56265000000000009</v>
      </c>
      <c r="M21">
        <f t="shared" si="9"/>
        <v>0.58055000000000012</v>
      </c>
      <c r="P21">
        <f t="shared" si="10"/>
        <v>3.1978271620890504</v>
      </c>
      <c r="Q21">
        <f t="shared" si="11"/>
        <v>3.3102961790875653</v>
      </c>
      <c r="R21">
        <f t="shared" si="11"/>
        <v>3.4227651960860799</v>
      </c>
      <c r="S21">
        <f t="shared" si="11"/>
        <v>3.5352342130845948</v>
      </c>
      <c r="T21">
        <f t="shared" si="11"/>
        <v>3.6477032300831094</v>
      </c>
      <c r="U21">
        <f t="shared" si="11"/>
        <v>0</v>
      </c>
      <c r="W21">
        <f t="shared" si="12"/>
        <v>127.91308648356201</v>
      </c>
      <c r="X21">
        <f t="shared" si="13"/>
        <v>132.41184716350261</v>
      </c>
      <c r="Y21">
        <f t="shared" si="14"/>
        <v>136.91060784344319</v>
      </c>
      <c r="Z21">
        <f t="shared" si="15"/>
        <v>141.40936852338379</v>
      </c>
      <c r="AA21">
        <f t="shared" si="16"/>
        <v>145.90812920332436</v>
      </c>
      <c r="AB21">
        <f t="shared" si="17"/>
        <v>0</v>
      </c>
      <c r="AC21" s="11">
        <f t="shared" si="18"/>
        <v>684.553039217216</v>
      </c>
      <c r="AD21" s="7">
        <f t="shared" si="19"/>
        <v>684.55303921721588</v>
      </c>
      <c r="AE21" s="12">
        <f t="shared" si="2"/>
        <v>57.046086601434659</v>
      </c>
    </row>
    <row r="22" spans="3:31" thickTop="1" thickBot="1" x14ac:dyDescent="0.3">
      <c r="C22">
        <v>26</v>
      </c>
      <c r="D22">
        <v>7.9500000000000005E-3</v>
      </c>
      <c r="E22">
        <f t="shared" si="3"/>
        <v>0.63600000000000001</v>
      </c>
      <c r="F22">
        <f t="shared" si="4"/>
        <v>7.9500000000000001E-2</v>
      </c>
      <c r="I22">
        <f t="shared" si="5"/>
        <v>0.50795000000000001</v>
      </c>
      <c r="J22">
        <f t="shared" si="6"/>
        <v>0.52385000000000004</v>
      </c>
      <c r="K22">
        <f t="shared" si="7"/>
        <v>0.53975000000000006</v>
      </c>
      <c r="L22">
        <f t="shared" si="8"/>
        <v>0.55565000000000009</v>
      </c>
      <c r="M22">
        <f t="shared" si="9"/>
        <v>0.57155000000000011</v>
      </c>
      <c r="P22">
        <f t="shared" si="10"/>
        <v>3.1915439767818707</v>
      </c>
      <c r="Q22">
        <f t="shared" si="11"/>
        <v>3.2914466231660264</v>
      </c>
      <c r="R22">
        <f t="shared" si="11"/>
        <v>3.3913492695501821</v>
      </c>
      <c r="S22">
        <f t="shared" si="11"/>
        <v>3.4912519159343378</v>
      </c>
      <c r="T22">
        <f t="shared" si="11"/>
        <v>3.5911545623184931</v>
      </c>
      <c r="U22">
        <f t="shared" si="11"/>
        <v>0</v>
      </c>
      <c r="W22">
        <f t="shared" si="12"/>
        <v>127.66175907127483</v>
      </c>
      <c r="X22">
        <f t="shared" si="13"/>
        <v>131.65786492664105</v>
      </c>
      <c r="Y22">
        <f t="shared" si="14"/>
        <v>135.65397078200729</v>
      </c>
      <c r="Z22">
        <f t="shared" si="15"/>
        <v>139.6500766373735</v>
      </c>
      <c r="AA22">
        <f t="shared" si="16"/>
        <v>143.64618249273971</v>
      </c>
      <c r="AB22">
        <f t="shared" si="17"/>
        <v>0</v>
      </c>
      <c r="AC22" s="11">
        <f t="shared" si="18"/>
        <v>678.26985391003643</v>
      </c>
      <c r="AD22" s="7">
        <f t="shared" si="19"/>
        <v>678.26985391003643</v>
      </c>
      <c r="AE22" s="12">
        <f t="shared" si="2"/>
        <v>56.522487825836372</v>
      </c>
    </row>
    <row r="23" spans="3:31" thickTop="1" thickBot="1" x14ac:dyDescent="0.3">
      <c r="C23">
        <v>27</v>
      </c>
      <c r="D23">
        <v>7.1000000000000004E-3</v>
      </c>
      <c r="E23">
        <f t="shared" si="3"/>
        <v>0.56800000000000006</v>
      </c>
      <c r="F23">
        <f t="shared" si="4"/>
        <v>7.1000000000000008E-2</v>
      </c>
      <c r="I23">
        <f t="shared" si="5"/>
        <v>0.5071</v>
      </c>
      <c r="J23">
        <f t="shared" si="6"/>
        <v>0.52129999999999999</v>
      </c>
      <c r="K23">
        <f t="shared" si="7"/>
        <v>0.53549999999999998</v>
      </c>
      <c r="L23">
        <f t="shared" si="8"/>
        <v>0.54969999999999997</v>
      </c>
      <c r="M23">
        <f t="shared" si="9"/>
        <v>0.56389999999999996</v>
      </c>
      <c r="P23">
        <f t="shared" si="10"/>
        <v>3.1862032692707682</v>
      </c>
      <c r="Q23">
        <f t="shared" si="11"/>
        <v>3.2754245006327181</v>
      </c>
      <c r="R23">
        <f t="shared" si="11"/>
        <v>3.3646457319946683</v>
      </c>
      <c r="S23">
        <f t="shared" si="11"/>
        <v>3.4538669633566181</v>
      </c>
      <c r="T23">
        <f t="shared" si="11"/>
        <v>3.5430881947185684</v>
      </c>
      <c r="U23">
        <f t="shared" si="11"/>
        <v>0</v>
      </c>
      <c r="W23">
        <f t="shared" si="12"/>
        <v>127.44813077083073</v>
      </c>
      <c r="X23">
        <f t="shared" si="13"/>
        <v>131.01698002530873</v>
      </c>
      <c r="Y23">
        <f t="shared" si="14"/>
        <v>134.58582927978674</v>
      </c>
      <c r="Z23">
        <f t="shared" si="15"/>
        <v>138.15467853426472</v>
      </c>
      <c r="AA23">
        <f t="shared" si="16"/>
        <v>141.72352778874273</v>
      </c>
      <c r="AB23">
        <f t="shared" si="17"/>
        <v>0</v>
      </c>
      <c r="AC23" s="11">
        <f t="shared" si="18"/>
        <v>672.92914639893365</v>
      </c>
      <c r="AD23" s="7">
        <f t="shared" si="19"/>
        <v>672.92914639893365</v>
      </c>
      <c r="AE23" s="12">
        <f t="shared" si="2"/>
        <v>56.077428866577804</v>
      </c>
    </row>
    <row r="24" spans="3:31" thickTop="1" thickBot="1" x14ac:dyDescent="0.3">
      <c r="C24">
        <v>28</v>
      </c>
      <c r="D24">
        <v>6.3E-3</v>
      </c>
      <c r="E24">
        <f t="shared" si="3"/>
        <v>0.504</v>
      </c>
      <c r="F24">
        <f t="shared" si="4"/>
        <v>6.3E-2</v>
      </c>
      <c r="I24">
        <f t="shared" si="5"/>
        <v>0.50629999999999997</v>
      </c>
      <c r="J24">
        <f t="shared" si="6"/>
        <v>0.51889999999999992</v>
      </c>
      <c r="K24">
        <f t="shared" si="7"/>
        <v>0.53149999999999986</v>
      </c>
      <c r="L24">
        <f t="shared" si="8"/>
        <v>0.54409999999999981</v>
      </c>
      <c r="M24">
        <f t="shared" si="9"/>
        <v>0.55669999999999975</v>
      </c>
      <c r="P24">
        <f t="shared" si="10"/>
        <v>3.1811767210250244</v>
      </c>
      <c r="Q24">
        <f t="shared" si="11"/>
        <v>3.2603448558954868</v>
      </c>
      <c r="R24">
        <f t="shared" si="11"/>
        <v>3.3395129907659493</v>
      </c>
      <c r="S24">
        <f t="shared" si="11"/>
        <v>3.4186811256364118</v>
      </c>
      <c r="T24">
        <f t="shared" si="11"/>
        <v>3.4978492605068743</v>
      </c>
      <c r="U24">
        <f t="shared" si="11"/>
        <v>0</v>
      </c>
      <c r="W24">
        <f t="shared" si="12"/>
        <v>127.24706884100098</v>
      </c>
      <c r="X24">
        <f t="shared" si="13"/>
        <v>130.41379423581947</v>
      </c>
      <c r="Y24">
        <f t="shared" si="14"/>
        <v>133.58051963063798</v>
      </c>
      <c r="Z24">
        <f t="shared" si="15"/>
        <v>136.74724502545646</v>
      </c>
      <c r="AA24">
        <f t="shared" si="16"/>
        <v>139.91397042027498</v>
      </c>
      <c r="AB24">
        <f t="shared" si="17"/>
        <v>0</v>
      </c>
      <c r="AC24" s="11">
        <f t="shared" si="18"/>
        <v>667.90259815318984</v>
      </c>
      <c r="AD24" s="7">
        <f t="shared" si="19"/>
        <v>667.90259815318996</v>
      </c>
      <c r="AE24" s="12">
        <f t="shared" si="2"/>
        <v>55.658549846099163</v>
      </c>
    </row>
    <row r="25" spans="3:31" thickTop="1" thickBot="1" x14ac:dyDescent="0.3">
      <c r="C25">
        <v>29</v>
      </c>
      <c r="D25">
        <v>5.6499999999999996E-3</v>
      </c>
      <c r="E25">
        <f t="shared" si="3"/>
        <v>0.45199999999999996</v>
      </c>
      <c r="F25">
        <f t="shared" si="4"/>
        <v>5.6499999999999995E-2</v>
      </c>
      <c r="I25">
        <f t="shared" si="5"/>
        <v>0.50565000000000004</v>
      </c>
      <c r="J25">
        <f t="shared" si="6"/>
        <v>0.51695000000000002</v>
      </c>
      <c r="K25">
        <f t="shared" si="7"/>
        <v>0.52825</v>
      </c>
      <c r="L25">
        <f t="shared" si="8"/>
        <v>0.53954999999999997</v>
      </c>
      <c r="M25">
        <f t="shared" si="9"/>
        <v>0.55084999999999995</v>
      </c>
      <c r="P25">
        <f t="shared" si="10"/>
        <v>3.1770926505753581</v>
      </c>
      <c r="Q25">
        <f t="shared" si="11"/>
        <v>3.2480926445464871</v>
      </c>
      <c r="R25">
        <f t="shared" si="11"/>
        <v>3.3190926385176165</v>
      </c>
      <c r="S25">
        <f t="shared" si="11"/>
        <v>3.3900926324887455</v>
      </c>
      <c r="T25">
        <f t="shared" si="11"/>
        <v>3.4610926264598749</v>
      </c>
      <c r="U25">
        <f t="shared" si="11"/>
        <v>0</v>
      </c>
      <c r="W25">
        <f t="shared" si="12"/>
        <v>127.08370602301432</v>
      </c>
      <c r="X25">
        <f t="shared" si="13"/>
        <v>129.9237057818595</v>
      </c>
      <c r="Y25">
        <f t="shared" si="14"/>
        <v>132.76370554070465</v>
      </c>
      <c r="Z25">
        <f t="shared" si="15"/>
        <v>135.60370529954983</v>
      </c>
      <c r="AA25">
        <f t="shared" si="16"/>
        <v>138.44370505839498</v>
      </c>
      <c r="AB25">
        <f t="shared" si="17"/>
        <v>0</v>
      </c>
      <c r="AC25" s="11">
        <f t="shared" si="18"/>
        <v>663.81852770352316</v>
      </c>
      <c r="AD25" s="7">
        <f t="shared" si="19"/>
        <v>663.81852770352327</v>
      </c>
      <c r="AE25" s="12">
        <f t="shared" si="2"/>
        <v>55.31821064196027</v>
      </c>
    </row>
    <row r="26" spans="3:31" thickTop="1" thickBot="1" x14ac:dyDescent="0.3">
      <c r="C26">
        <v>30</v>
      </c>
      <c r="D26">
        <v>5.0000000000000001E-3</v>
      </c>
      <c r="E26">
        <f t="shared" si="3"/>
        <v>0.4</v>
      </c>
      <c r="F26">
        <f t="shared" si="4"/>
        <v>0.05</v>
      </c>
      <c r="I26">
        <f t="shared" si="5"/>
        <v>0.505</v>
      </c>
      <c r="J26">
        <f t="shared" si="6"/>
        <v>0.51500000000000001</v>
      </c>
      <c r="K26">
        <f t="shared" si="7"/>
        <v>0.52500000000000002</v>
      </c>
      <c r="L26">
        <f t="shared" si="8"/>
        <v>0.53500000000000003</v>
      </c>
      <c r="M26">
        <f t="shared" si="9"/>
        <v>0.54500000000000004</v>
      </c>
      <c r="P26">
        <f t="shared" si="10"/>
        <v>3.1730085801256909</v>
      </c>
      <c r="Q26">
        <f t="shared" si="11"/>
        <v>3.2358404331974868</v>
      </c>
      <c r="R26">
        <f t="shared" si="11"/>
        <v>3.2986722862692828</v>
      </c>
      <c r="S26">
        <f t="shared" si="11"/>
        <v>3.3615041393410787</v>
      </c>
      <c r="T26">
        <f t="shared" si="11"/>
        <v>3.4243359924128747</v>
      </c>
      <c r="U26">
        <f t="shared" si="11"/>
        <v>0</v>
      </c>
      <c r="W26">
        <f t="shared" si="12"/>
        <v>126.92034320502763</v>
      </c>
      <c r="X26">
        <f t="shared" si="13"/>
        <v>129.43361732789947</v>
      </c>
      <c r="Y26">
        <f t="shared" si="14"/>
        <v>131.94689145077132</v>
      </c>
      <c r="Z26">
        <f t="shared" si="15"/>
        <v>134.46016557364314</v>
      </c>
      <c r="AA26">
        <f t="shared" si="16"/>
        <v>136.97343969651499</v>
      </c>
      <c r="AB26">
        <f t="shared" si="17"/>
        <v>0</v>
      </c>
      <c r="AC26" s="11">
        <f t="shared" si="18"/>
        <v>659.73445725385659</v>
      </c>
      <c r="AD26" s="7">
        <f t="shared" si="19"/>
        <v>659.73445725385659</v>
      </c>
      <c r="AE26" s="12">
        <f t="shared" si="2"/>
        <v>54.977871437821385</v>
      </c>
    </row>
    <row r="27" spans="3:31" thickTop="1" thickBot="1" x14ac:dyDescent="0.3">
      <c r="C27">
        <v>31</v>
      </c>
      <c r="D27">
        <v>4.45E-3</v>
      </c>
      <c r="E27">
        <f t="shared" si="3"/>
        <v>0.35599999999999998</v>
      </c>
      <c r="F27">
        <f t="shared" si="4"/>
        <v>4.4499999999999998E-2</v>
      </c>
      <c r="I27">
        <f t="shared" si="5"/>
        <v>0.50444999999999995</v>
      </c>
      <c r="J27">
        <f t="shared" si="6"/>
        <v>0.51334999999999997</v>
      </c>
      <c r="K27">
        <f t="shared" si="7"/>
        <v>0.52224999999999999</v>
      </c>
      <c r="L27">
        <f t="shared" si="8"/>
        <v>0.53115000000000001</v>
      </c>
      <c r="M27">
        <f t="shared" si="9"/>
        <v>0.54005000000000003</v>
      </c>
      <c r="P27">
        <f t="shared" si="10"/>
        <v>3.1695528282067418</v>
      </c>
      <c r="Q27">
        <f t="shared" si="11"/>
        <v>3.2254731774406404</v>
      </c>
      <c r="R27">
        <f t="shared" si="11"/>
        <v>3.2813935266745387</v>
      </c>
      <c r="S27">
        <f t="shared" si="11"/>
        <v>3.3373138759084373</v>
      </c>
      <c r="T27">
        <f t="shared" si="11"/>
        <v>3.3932342251423355</v>
      </c>
      <c r="U27">
        <f t="shared" si="11"/>
        <v>0</v>
      </c>
      <c r="W27">
        <f t="shared" si="12"/>
        <v>126.78211312826967</v>
      </c>
      <c r="X27">
        <f t="shared" si="13"/>
        <v>129.01892709762561</v>
      </c>
      <c r="Y27">
        <f t="shared" si="14"/>
        <v>131.25574106698156</v>
      </c>
      <c r="Z27">
        <f t="shared" si="15"/>
        <v>133.49255503633748</v>
      </c>
      <c r="AA27">
        <f t="shared" si="16"/>
        <v>135.72936900569343</v>
      </c>
      <c r="AB27">
        <f t="shared" si="17"/>
        <v>0</v>
      </c>
      <c r="AC27" s="11">
        <f t="shared" si="18"/>
        <v>656.27870533490784</v>
      </c>
      <c r="AD27" s="7">
        <f t="shared" si="19"/>
        <v>656.27870533490773</v>
      </c>
      <c r="AE27" s="12">
        <f t="shared" si="2"/>
        <v>54.689892111242308</v>
      </c>
    </row>
    <row r="28" spans="3:31" thickTop="1" thickBot="1" x14ac:dyDescent="0.3">
      <c r="C28">
        <v>32</v>
      </c>
      <c r="D28">
        <v>4.0000000000000001E-3</v>
      </c>
      <c r="E28">
        <f t="shared" si="3"/>
        <v>0.32</v>
      </c>
      <c r="F28">
        <f t="shared" si="4"/>
        <v>0.04</v>
      </c>
      <c r="I28">
        <f t="shared" si="5"/>
        <v>0.504</v>
      </c>
      <c r="J28">
        <f t="shared" si="6"/>
        <v>0.51200000000000001</v>
      </c>
      <c r="K28">
        <f t="shared" si="7"/>
        <v>0.52</v>
      </c>
      <c r="L28">
        <f t="shared" si="8"/>
        <v>0.52800000000000002</v>
      </c>
      <c r="M28">
        <f t="shared" si="9"/>
        <v>0.53600000000000003</v>
      </c>
      <c r="P28">
        <f t="shared" si="10"/>
        <v>3.1667253948185117</v>
      </c>
      <c r="Q28">
        <f t="shared" si="11"/>
        <v>3.2169908772759483</v>
      </c>
      <c r="R28">
        <f t="shared" si="11"/>
        <v>3.267256359733385</v>
      </c>
      <c r="S28">
        <f t="shared" si="11"/>
        <v>3.3175218421908217</v>
      </c>
      <c r="T28">
        <f t="shared" si="11"/>
        <v>3.3677873246482584</v>
      </c>
      <c r="U28">
        <f t="shared" si="11"/>
        <v>0</v>
      </c>
      <c r="W28">
        <f t="shared" si="12"/>
        <v>126.66901579274047</v>
      </c>
      <c r="X28">
        <f t="shared" si="13"/>
        <v>128.67963509103794</v>
      </c>
      <c r="Y28">
        <f t="shared" si="14"/>
        <v>130.69025438933539</v>
      </c>
      <c r="Z28">
        <f t="shared" si="15"/>
        <v>132.70087368763288</v>
      </c>
      <c r="AA28">
        <f t="shared" si="16"/>
        <v>134.71149298593033</v>
      </c>
      <c r="AB28">
        <f t="shared" si="17"/>
        <v>0</v>
      </c>
      <c r="AC28" s="11">
        <f t="shared" si="18"/>
        <v>653.45127194667702</v>
      </c>
      <c r="AD28" s="7">
        <f t="shared" si="19"/>
        <v>653.45127194667702</v>
      </c>
      <c r="AE28" s="12">
        <f t="shared" si="2"/>
        <v>54.454272662223083</v>
      </c>
    </row>
    <row r="29" spans="3:31" thickTop="1" thickBot="1" x14ac:dyDescent="0.3">
      <c r="C29">
        <v>33</v>
      </c>
      <c r="D29">
        <v>3.5500000000000002E-3</v>
      </c>
      <c r="E29">
        <f t="shared" si="3"/>
        <v>0.28400000000000003</v>
      </c>
      <c r="F29">
        <f t="shared" si="4"/>
        <v>3.5500000000000004E-2</v>
      </c>
      <c r="I29">
        <f t="shared" si="5"/>
        <v>0.50355000000000005</v>
      </c>
      <c r="J29">
        <f t="shared" si="6"/>
        <v>0.51065000000000005</v>
      </c>
      <c r="K29">
        <f t="shared" si="7"/>
        <v>0.51775000000000004</v>
      </c>
      <c r="L29">
        <f t="shared" si="8"/>
        <v>0.52485000000000004</v>
      </c>
      <c r="M29">
        <f t="shared" si="9"/>
        <v>0.53195000000000003</v>
      </c>
      <c r="P29">
        <f t="shared" si="10"/>
        <v>3.1638979614302811</v>
      </c>
      <c r="Q29">
        <f t="shared" si="11"/>
        <v>3.2085085771112558</v>
      </c>
      <c r="R29">
        <f t="shared" si="11"/>
        <v>3.2531191927922309</v>
      </c>
      <c r="S29">
        <f t="shared" si="11"/>
        <v>3.2977298084732061</v>
      </c>
      <c r="T29">
        <f t="shared" si="11"/>
        <v>3.3423404241541812</v>
      </c>
      <c r="U29">
        <f t="shared" si="11"/>
        <v>0</v>
      </c>
      <c r="W29">
        <f t="shared" si="12"/>
        <v>126.55591845721125</v>
      </c>
      <c r="X29">
        <f t="shared" si="13"/>
        <v>128.34034308445024</v>
      </c>
      <c r="Y29">
        <f t="shared" si="14"/>
        <v>130.12476771168923</v>
      </c>
      <c r="Z29">
        <f t="shared" si="15"/>
        <v>131.90919233892825</v>
      </c>
      <c r="AA29">
        <f t="shared" si="16"/>
        <v>133.69361696616724</v>
      </c>
      <c r="AB29">
        <f t="shared" si="17"/>
        <v>0</v>
      </c>
      <c r="AC29" s="11">
        <f t="shared" si="18"/>
        <v>650.62383855844621</v>
      </c>
      <c r="AD29" s="7">
        <f t="shared" si="19"/>
        <v>650.6238385584461</v>
      </c>
      <c r="AE29" s="12">
        <f t="shared" si="2"/>
        <v>54.218653213203844</v>
      </c>
    </row>
    <row r="30" spans="3:31" thickTop="1" thickBot="1" x14ac:dyDescent="0.3">
      <c r="C30">
        <v>34</v>
      </c>
      <c r="D30">
        <v>3.15E-3</v>
      </c>
      <c r="E30">
        <f t="shared" si="3"/>
        <v>0.252</v>
      </c>
      <c r="F30">
        <f t="shared" si="4"/>
        <v>3.15E-2</v>
      </c>
      <c r="I30">
        <f t="shared" si="5"/>
        <v>0.50314999999999999</v>
      </c>
      <c r="J30">
        <f t="shared" si="6"/>
        <v>0.50944999999999996</v>
      </c>
      <c r="K30">
        <f t="shared" si="7"/>
        <v>0.51574999999999993</v>
      </c>
      <c r="L30">
        <f t="shared" si="8"/>
        <v>0.5220499999999999</v>
      </c>
      <c r="M30">
        <f t="shared" si="9"/>
        <v>0.52834999999999988</v>
      </c>
      <c r="P30">
        <f t="shared" si="10"/>
        <v>3.1613846873074087</v>
      </c>
      <c r="Q30">
        <f t="shared" si="11"/>
        <v>3.20096875474264</v>
      </c>
      <c r="R30">
        <f t="shared" si="11"/>
        <v>3.2405528221778712</v>
      </c>
      <c r="S30">
        <f t="shared" si="11"/>
        <v>3.2801368896131025</v>
      </c>
      <c r="T30">
        <f t="shared" si="11"/>
        <v>3.3197209570483337</v>
      </c>
      <c r="U30">
        <f t="shared" si="11"/>
        <v>0</v>
      </c>
      <c r="W30">
        <f t="shared" si="12"/>
        <v>126.45538749229635</v>
      </c>
      <c r="X30">
        <f t="shared" si="13"/>
        <v>128.03875018970561</v>
      </c>
      <c r="Y30">
        <f t="shared" si="14"/>
        <v>129.62211288711484</v>
      </c>
      <c r="Z30">
        <f t="shared" si="15"/>
        <v>131.20547558452409</v>
      </c>
      <c r="AA30">
        <f t="shared" si="16"/>
        <v>132.78883828193335</v>
      </c>
      <c r="AB30">
        <f t="shared" si="17"/>
        <v>0</v>
      </c>
      <c r="AC30" s="11">
        <f t="shared" si="18"/>
        <v>648.11056443557413</v>
      </c>
      <c r="AD30" s="7">
        <f t="shared" si="19"/>
        <v>648.11056443557413</v>
      </c>
      <c r="AE30" s="12">
        <f t="shared" si="2"/>
        <v>54.009213702964509</v>
      </c>
    </row>
    <row r="31" spans="3:31" thickTop="1" thickBot="1" x14ac:dyDescent="0.3">
      <c r="C31">
        <v>35</v>
      </c>
      <c r="D31">
        <v>2.8E-3</v>
      </c>
      <c r="E31">
        <f t="shared" si="3"/>
        <v>0.224</v>
      </c>
      <c r="F31">
        <f t="shared" si="4"/>
        <v>2.8000000000000001E-2</v>
      </c>
      <c r="I31">
        <f t="shared" si="5"/>
        <v>0.50280000000000002</v>
      </c>
      <c r="J31">
        <f t="shared" si="6"/>
        <v>0.50840000000000007</v>
      </c>
      <c r="K31">
        <f t="shared" si="7"/>
        <v>0.51400000000000012</v>
      </c>
      <c r="L31">
        <f t="shared" si="8"/>
        <v>0.51960000000000017</v>
      </c>
      <c r="M31">
        <f t="shared" si="9"/>
        <v>0.52520000000000022</v>
      </c>
      <c r="P31">
        <f t="shared" si="10"/>
        <v>3.1591855724498963</v>
      </c>
      <c r="Q31">
        <f t="shared" si="11"/>
        <v>3.1943714101701022</v>
      </c>
      <c r="R31">
        <f t="shared" si="11"/>
        <v>3.2295572478903081</v>
      </c>
      <c r="S31">
        <f t="shared" si="11"/>
        <v>3.264743085610514</v>
      </c>
      <c r="T31">
        <f t="shared" si="11"/>
        <v>3.2999289233307203</v>
      </c>
      <c r="U31">
        <f t="shared" si="11"/>
        <v>0</v>
      </c>
      <c r="W31">
        <f t="shared" si="12"/>
        <v>126.36742289799585</v>
      </c>
      <c r="X31">
        <f t="shared" si="13"/>
        <v>127.77485640680409</v>
      </c>
      <c r="Y31">
        <f t="shared" si="14"/>
        <v>129.18228991561233</v>
      </c>
      <c r="Z31">
        <f t="shared" si="15"/>
        <v>130.58972342442055</v>
      </c>
      <c r="AA31">
        <f t="shared" si="16"/>
        <v>131.99715693322881</v>
      </c>
      <c r="AB31">
        <f t="shared" si="17"/>
        <v>0</v>
      </c>
      <c r="AC31" s="11">
        <f t="shared" si="18"/>
        <v>645.91144957806159</v>
      </c>
      <c r="AD31" s="7">
        <f t="shared" si="19"/>
        <v>645.91144957806159</v>
      </c>
      <c r="AE31" s="12">
        <f t="shared" si="2"/>
        <v>53.825954131505135</v>
      </c>
    </row>
    <row r="32" spans="3:31" thickTop="1" thickBot="1" x14ac:dyDescent="0.3">
      <c r="C32">
        <v>36</v>
      </c>
      <c r="D32">
        <v>2.5000000000000001E-3</v>
      </c>
      <c r="E32">
        <f t="shared" si="3"/>
        <v>0.2</v>
      </c>
      <c r="F32">
        <f t="shared" si="4"/>
        <v>2.5000000000000001E-2</v>
      </c>
      <c r="I32">
        <f t="shared" si="5"/>
        <v>0.50249999999999995</v>
      </c>
      <c r="J32">
        <f t="shared" si="6"/>
        <v>0.50749999999999995</v>
      </c>
      <c r="K32">
        <f t="shared" si="7"/>
        <v>0.51249999999999996</v>
      </c>
      <c r="L32">
        <f t="shared" si="8"/>
        <v>0.51749999999999996</v>
      </c>
      <c r="M32">
        <f t="shared" si="9"/>
        <v>0.52249999999999996</v>
      </c>
      <c r="P32">
        <f t="shared" si="10"/>
        <v>3.1573006168577415</v>
      </c>
      <c r="Q32">
        <f t="shared" si="11"/>
        <v>3.1887165433936397</v>
      </c>
      <c r="R32">
        <f t="shared" si="11"/>
        <v>3.2201324699295375</v>
      </c>
      <c r="S32">
        <f t="shared" si="11"/>
        <v>3.2515483964654357</v>
      </c>
      <c r="T32">
        <f t="shared" si="11"/>
        <v>3.2829643230013335</v>
      </c>
      <c r="U32">
        <f t="shared" si="11"/>
        <v>0</v>
      </c>
      <c r="W32">
        <f t="shared" si="12"/>
        <v>126.29202467430966</v>
      </c>
      <c r="X32">
        <f t="shared" si="13"/>
        <v>127.54866173574558</v>
      </c>
      <c r="Y32">
        <f t="shared" si="14"/>
        <v>128.80529879718151</v>
      </c>
      <c r="Z32">
        <f t="shared" si="15"/>
        <v>130.06193585861743</v>
      </c>
      <c r="AA32">
        <f t="shared" si="16"/>
        <v>131.31857292005333</v>
      </c>
      <c r="AB32">
        <f t="shared" si="17"/>
        <v>0</v>
      </c>
      <c r="AC32" s="11">
        <f t="shared" si="18"/>
        <v>644.02649398590756</v>
      </c>
      <c r="AD32" s="7">
        <f t="shared" si="19"/>
        <v>644.02649398590756</v>
      </c>
      <c r="AE32" s="12">
        <f t="shared" si="2"/>
        <v>53.66887449882563</v>
      </c>
    </row>
    <row r="33" spans="3:31" thickTop="1" thickBot="1" x14ac:dyDescent="0.3">
      <c r="C33">
        <v>37</v>
      </c>
      <c r="D33">
        <v>2.2499999999999998E-3</v>
      </c>
      <c r="E33">
        <f t="shared" si="3"/>
        <v>0.18</v>
      </c>
      <c r="F33">
        <f t="shared" si="4"/>
        <v>2.2499999999999999E-2</v>
      </c>
      <c r="I33">
        <f t="shared" si="5"/>
        <v>0.50224999999999997</v>
      </c>
      <c r="J33">
        <f t="shared" si="6"/>
        <v>0.50674999999999992</v>
      </c>
      <c r="K33">
        <f t="shared" si="7"/>
        <v>0.51124999999999987</v>
      </c>
      <c r="L33">
        <f t="shared" si="8"/>
        <v>0.51574999999999982</v>
      </c>
      <c r="M33">
        <f t="shared" si="9"/>
        <v>0.52024999999999977</v>
      </c>
      <c r="P33">
        <f t="shared" si="10"/>
        <v>3.1557298205309472</v>
      </c>
      <c r="Q33">
        <f t="shared" si="11"/>
        <v>3.1840041544132549</v>
      </c>
      <c r="R33">
        <f t="shared" si="11"/>
        <v>3.2122784882955626</v>
      </c>
      <c r="S33">
        <f t="shared" si="11"/>
        <v>3.2405528221778703</v>
      </c>
      <c r="T33">
        <f t="shared" si="11"/>
        <v>3.2688271560601785</v>
      </c>
      <c r="U33">
        <f t="shared" si="11"/>
        <v>0</v>
      </c>
      <c r="W33">
        <f t="shared" si="12"/>
        <v>126.22919282123789</v>
      </c>
      <c r="X33">
        <f t="shared" si="13"/>
        <v>127.3601661765302</v>
      </c>
      <c r="Y33">
        <f t="shared" si="14"/>
        <v>128.49113953182251</v>
      </c>
      <c r="Z33">
        <f t="shared" si="15"/>
        <v>129.62211288711481</v>
      </c>
      <c r="AA33">
        <f t="shared" si="16"/>
        <v>130.75308624240714</v>
      </c>
      <c r="AB33">
        <f t="shared" si="17"/>
        <v>0</v>
      </c>
      <c r="AC33" s="11">
        <f t="shared" si="18"/>
        <v>642.4556976591125</v>
      </c>
      <c r="AD33" s="7">
        <f t="shared" si="19"/>
        <v>642.4556976591125</v>
      </c>
      <c r="AE33" s="12">
        <f t="shared" si="2"/>
        <v>53.537974804926044</v>
      </c>
    </row>
    <row r="34" spans="3:31" thickTop="1" thickBot="1" x14ac:dyDescent="0.3">
      <c r="C34">
        <v>38</v>
      </c>
      <c r="D34">
        <v>2E-3</v>
      </c>
      <c r="E34">
        <f t="shared" si="3"/>
        <v>0.16</v>
      </c>
      <c r="F34">
        <f t="shared" si="4"/>
        <v>0.02</v>
      </c>
      <c r="I34">
        <f t="shared" si="5"/>
        <v>0.502</v>
      </c>
      <c r="J34">
        <f t="shared" si="6"/>
        <v>0.50600000000000001</v>
      </c>
      <c r="K34">
        <f t="shared" si="7"/>
        <v>0.51</v>
      </c>
      <c r="L34">
        <f t="shared" si="8"/>
        <v>0.51400000000000001</v>
      </c>
      <c r="M34">
        <f t="shared" si="9"/>
        <v>0.51800000000000002</v>
      </c>
      <c r="P34">
        <f t="shared" si="10"/>
        <v>3.1541590242041524</v>
      </c>
      <c r="Q34">
        <f t="shared" si="11"/>
        <v>3.1792917654328705</v>
      </c>
      <c r="R34">
        <f t="shared" si="11"/>
        <v>3.2044245066615891</v>
      </c>
      <c r="S34">
        <f t="shared" si="11"/>
        <v>3.2295572478903072</v>
      </c>
      <c r="T34">
        <f t="shared" si="11"/>
        <v>3.2546899891190257</v>
      </c>
      <c r="U34">
        <f t="shared" si="11"/>
        <v>0</v>
      </c>
      <c r="W34">
        <f t="shared" si="12"/>
        <v>126.16636096816609</v>
      </c>
      <c r="X34">
        <f t="shared" si="13"/>
        <v>127.17167061731482</v>
      </c>
      <c r="Y34">
        <f t="shared" si="14"/>
        <v>128.17698026646357</v>
      </c>
      <c r="Z34">
        <f t="shared" si="15"/>
        <v>129.18228991561227</v>
      </c>
      <c r="AA34">
        <f t="shared" si="16"/>
        <v>130.18759956476103</v>
      </c>
      <c r="AB34">
        <f t="shared" si="17"/>
        <v>0</v>
      </c>
      <c r="AC34" s="11">
        <f t="shared" si="18"/>
        <v>640.88490133231778</v>
      </c>
      <c r="AD34" s="7">
        <f t="shared" si="19"/>
        <v>640.88490133231767</v>
      </c>
      <c r="AE34" s="12">
        <f t="shared" si="2"/>
        <v>53.407075111026472</v>
      </c>
    </row>
    <row r="35" spans="3:31" thickTop="1" thickBot="1" x14ac:dyDescent="0.3">
      <c r="C35">
        <v>39</v>
      </c>
      <c r="D35">
        <v>1.75E-3</v>
      </c>
      <c r="E35">
        <f t="shared" si="3"/>
        <v>0.14000000000000001</v>
      </c>
      <c r="F35">
        <f t="shared" si="4"/>
        <v>1.7500000000000002E-2</v>
      </c>
      <c r="I35">
        <f t="shared" si="5"/>
        <v>0.50175000000000003</v>
      </c>
      <c r="J35">
        <f t="shared" si="6"/>
        <v>0.50524999999999998</v>
      </c>
      <c r="K35">
        <f t="shared" si="7"/>
        <v>0.50874999999999992</v>
      </c>
      <c r="L35">
        <f t="shared" si="8"/>
        <v>0.51224999999999987</v>
      </c>
      <c r="M35">
        <f t="shared" si="9"/>
        <v>0.51574999999999982</v>
      </c>
      <c r="P35">
        <f t="shared" si="10"/>
        <v>3.1525882278773576</v>
      </c>
      <c r="Q35">
        <f t="shared" si="11"/>
        <v>3.1745793764524857</v>
      </c>
      <c r="R35">
        <f t="shared" si="11"/>
        <v>3.1965705250276142</v>
      </c>
      <c r="S35">
        <f t="shared" si="11"/>
        <v>3.2185616736027423</v>
      </c>
      <c r="T35">
        <f t="shared" si="11"/>
        <v>3.2405528221778703</v>
      </c>
      <c r="U35">
        <f t="shared" si="11"/>
        <v>0</v>
      </c>
      <c r="W35">
        <f t="shared" si="12"/>
        <v>126.1035291150943</v>
      </c>
      <c r="X35">
        <f t="shared" si="13"/>
        <v>126.98317505809942</v>
      </c>
      <c r="Y35">
        <f t="shared" si="14"/>
        <v>127.86282100110456</v>
      </c>
      <c r="Z35">
        <f t="shared" si="15"/>
        <v>128.74246694410968</v>
      </c>
      <c r="AA35">
        <f t="shared" si="16"/>
        <v>129.62211288711481</v>
      </c>
      <c r="AB35">
        <f t="shared" si="17"/>
        <v>0</v>
      </c>
      <c r="AC35" s="11">
        <f t="shared" si="18"/>
        <v>639.31410500552272</v>
      </c>
      <c r="AD35" s="7">
        <f t="shared" si="19"/>
        <v>639.31410500552283</v>
      </c>
      <c r="AE35" s="12">
        <f t="shared" si="2"/>
        <v>53.2761754171269</v>
      </c>
    </row>
    <row r="36" spans="3:31" thickTop="1" thickBot="1" x14ac:dyDescent="0.3">
      <c r="C36">
        <v>40</v>
      </c>
      <c r="D36">
        <v>1.5499999999999999E-3</v>
      </c>
      <c r="E36">
        <f t="shared" si="3"/>
        <v>0.124</v>
      </c>
      <c r="F36">
        <f t="shared" si="4"/>
        <v>1.55E-2</v>
      </c>
      <c r="I36">
        <f t="shared" si="5"/>
        <v>0.50155000000000005</v>
      </c>
      <c r="J36">
        <f t="shared" si="6"/>
        <v>0.50465000000000004</v>
      </c>
      <c r="K36">
        <f t="shared" si="7"/>
        <v>0.50775000000000003</v>
      </c>
      <c r="L36">
        <f t="shared" si="8"/>
        <v>0.51085000000000003</v>
      </c>
      <c r="M36">
        <f t="shared" si="9"/>
        <v>0.51395000000000002</v>
      </c>
      <c r="P36">
        <f t="shared" si="10"/>
        <v>3.1513315908159218</v>
      </c>
      <c r="Q36">
        <f t="shared" si="11"/>
        <v>3.1708094652681784</v>
      </c>
      <c r="R36">
        <f t="shared" si="11"/>
        <v>3.190287339720435</v>
      </c>
      <c r="S36">
        <f t="shared" si="11"/>
        <v>3.209765214172692</v>
      </c>
      <c r="T36">
        <f t="shared" si="11"/>
        <v>3.2292430886249486</v>
      </c>
      <c r="U36">
        <f t="shared" si="11"/>
        <v>0</v>
      </c>
      <c r="W36">
        <f t="shared" si="12"/>
        <v>126.05326363263687</v>
      </c>
      <c r="X36">
        <f t="shared" si="13"/>
        <v>126.83237861072713</v>
      </c>
      <c r="Y36">
        <f t="shared" si="14"/>
        <v>127.6114935888174</v>
      </c>
      <c r="Z36">
        <f t="shared" si="15"/>
        <v>128.39060856690767</v>
      </c>
      <c r="AA36">
        <f t="shared" si="16"/>
        <v>129.16972354499794</v>
      </c>
      <c r="AB36">
        <f t="shared" si="17"/>
        <v>0</v>
      </c>
      <c r="AC36" s="11">
        <f t="shared" si="18"/>
        <v>638.05746794408708</v>
      </c>
      <c r="AD36" s="7">
        <f t="shared" si="19"/>
        <v>638.05746794408708</v>
      </c>
      <c r="AE36" s="12">
        <f t="shared" si="2"/>
        <v>53.171455662007254</v>
      </c>
    </row>
    <row r="37" spans="3:31" thickTop="1" thickBot="1" x14ac:dyDescent="0.3">
      <c r="C37">
        <v>41</v>
      </c>
      <c r="D37">
        <v>1.4E-3</v>
      </c>
      <c r="E37">
        <f t="shared" si="3"/>
        <v>0.112</v>
      </c>
      <c r="F37">
        <f t="shared" si="4"/>
        <v>1.4E-2</v>
      </c>
      <c r="I37">
        <f t="shared" si="5"/>
        <v>0.50139999999999996</v>
      </c>
      <c r="J37">
        <f t="shared" si="6"/>
        <v>0.50419999999999998</v>
      </c>
      <c r="K37">
        <f t="shared" si="7"/>
        <v>0.50700000000000001</v>
      </c>
      <c r="L37">
        <f t="shared" si="8"/>
        <v>0.50980000000000003</v>
      </c>
      <c r="M37">
        <f t="shared" si="9"/>
        <v>0.51260000000000006</v>
      </c>
      <c r="P37">
        <f t="shared" si="10"/>
        <v>3.1503891130198443</v>
      </c>
      <c r="Q37">
        <f t="shared" si="11"/>
        <v>3.1679820318799474</v>
      </c>
      <c r="R37">
        <f t="shared" si="11"/>
        <v>3.1855749507400501</v>
      </c>
      <c r="S37">
        <f t="shared" si="11"/>
        <v>3.2031678696001533</v>
      </c>
      <c r="T37">
        <f t="shared" si="11"/>
        <v>3.220760788460256</v>
      </c>
      <c r="U37">
        <f t="shared" si="11"/>
        <v>0</v>
      </c>
      <c r="W37">
        <f t="shared" si="12"/>
        <v>126.01556452079377</v>
      </c>
      <c r="X37">
        <f t="shared" si="13"/>
        <v>126.7192812751979</v>
      </c>
      <c r="Y37">
        <f t="shared" si="14"/>
        <v>127.42299802960201</v>
      </c>
      <c r="Z37">
        <f t="shared" si="15"/>
        <v>128.12671478400614</v>
      </c>
      <c r="AA37">
        <f t="shared" si="16"/>
        <v>128.83043153841024</v>
      </c>
      <c r="AB37">
        <f t="shared" si="17"/>
        <v>0</v>
      </c>
      <c r="AC37" s="11">
        <f t="shared" si="18"/>
        <v>637.11499014801007</v>
      </c>
      <c r="AD37" s="7">
        <f t="shared" si="19"/>
        <v>637.11499014800995</v>
      </c>
      <c r="AE37" s="12">
        <f t="shared" si="2"/>
        <v>53.092915845667498</v>
      </c>
    </row>
    <row r="38" spans="3:31" thickTop="1" thickBot="1" x14ac:dyDescent="0.3">
      <c r="C38">
        <v>42</v>
      </c>
      <c r="D38">
        <v>1.25E-3</v>
      </c>
      <c r="E38">
        <f t="shared" si="3"/>
        <v>0.1</v>
      </c>
      <c r="F38">
        <f t="shared" si="4"/>
        <v>1.2500000000000001E-2</v>
      </c>
      <c r="I38">
        <f t="shared" si="5"/>
        <v>0.50124999999999997</v>
      </c>
      <c r="J38">
        <f t="shared" si="6"/>
        <v>0.50374999999999992</v>
      </c>
      <c r="K38">
        <f t="shared" si="7"/>
        <v>0.50624999999999987</v>
      </c>
      <c r="L38">
        <f t="shared" si="8"/>
        <v>0.50874999999999981</v>
      </c>
      <c r="M38">
        <f t="shared" si="9"/>
        <v>0.51124999999999976</v>
      </c>
      <c r="P38">
        <f t="shared" si="10"/>
        <v>3.1494466352237676</v>
      </c>
      <c r="Q38">
        <f t="shared" si="11"/>
        <v>3.165154598491716</v>
      </c>
      <c r="R38">
        <f t="shared" si="11"/>
        <v>3.1808625617596649</v>
      </c>
      <c r="S38">
        <f t="shared" si="11"/>
        <v>3.1965705250276133</v>
      </c>
      <c r="T38">
        <f t="shared" si="11"/>
        <v>3.2122784882955622</v>
      </c>
      <c r="U38">
        <f t="shared" si="11"/>
        <v>0</v>
      </c>
      <c r="W38">
        <f t="shared" si="12"/>
        <v>125.97786540895071</v>
      </c>
      <c r="X38">
        <f t="shared" si="13"/>
        <v>126.60618393966864</v>
      </c>
      <c r="Y38">
        <f t="shared" si="14"/>
        <v>127.23450247038659</v>
      </c>
      <c r="Z38">
        <f t="shared" si="15"/>
        <v>127.86282100110454</v>
      </c>
      <c r="AA38">
        <f t="shared" si="16"/>
        <v>128.49113953182248</v>
      </c>
      <c r="AB38">
        <f t="shared" si="17"/>
        <v>0</v>
      </c>
      <c r="AC38" s="11">
        <f t="shared" si="18"/>
        <v>636.17251235193294</v>
      </c>
      <c r="AD38" s="7">
        <f t="shared" si="19"/>
        <v>636.17251235193305</v>
      </c>
      <c r="AE38" s="12">
        <f t="shared" si="2"/>
        <v>53.014376029327757</v>
      </c>
    </row>
    <row r="39" spans="3:31" thickTop="1" thickBot="1" x14ac:dyDescent="0.3">
      <c r="C39">
        <v>43</v>
      </c>
      <c r="D39">
        <v>1.1000000000000001E-3</v>
      </c>
      <c r="E39">
        <f t="shared" si="3"/>
        <v>8.8000000000000009E-2</v>
      </c>
      <c r="F39">
        <f t="shared" si="4"/>
        <v>1.1000000000000001E-2</v>
      </c>
      <c r="I39">
        <f t="shared" si="5"/>
        <v>0.50109999999999999</v>
      </c>
      <c r="J39">
        <f t="shared" si="6"/>
        <v>0.50329999999999997</v>
      </c>
      <c r="K39">
        <f t="shared" si="7"/>
        <v>0.50549999999999995</v>
      </c>
      <c r="L39">
        <f t="shared" si="8"/>
        <v>0.50769999999999993</v>
      </c>
      <c r="M39">
        <f t="shared" si="9"/>
        <v>0.50989999999999991</v>
      </c>
      <c r="P39">
        <f t="shared" si="10"/>
        <v>3.1485041574276904</v>
      </c>
      <c r="Q39">
        <f t="shared" si="11"/>
        <v>3.1623271651034854</v>
      </c>
      <c r="R39">
        <f t="shared" si="11"/>
        <v>3.1761501727792805</v>
      </c>
      <c r="S39">
        <f t="shared" si="11"/>
        <v>3.1899731804550755</v>
      </c>
      <c r="T39">
        <f t="shared" si="11"/>
        <v>3.2037961881308705</v>
      </c>
      <c r="U39">
        <f t="shared" si="11"/>
        <v>0</v>
      </c>
      <c r="W39">
        <f t="shared" si="12"/>
        <v>125.94016629710762</v>
      </c>
      <c r="X39">
        <f t="shared" si="13"/>
        <v>126.49308660413942</v>
      </c>
      <c r="Y39">
        <f t="shared" si="14"/>
        <v>127.04600691117122</v>
      </c>
      <c r="Z39">
        <f t="shared" si="15"/>
        <v>127.59892721820302</v>
      </c>
      <c r="AA39">
        <f t="shared" si="16"/>
        <v>128.15184752523481</v>
      </c>
      <c r="AB39">
        <f t="shared" si="17"/>
        <v>0</v>
      </c>
      <c r="AC39" s="11">
        <f t="shared" si="18"/>
        <v>635.23003455585604</v>
      </c>
      <c r="AD39" s="7">
        <f t="shared" si="19"/>
        <v>635.23003455585604</v>
      </c>
      <c r="AE39" s="12">
        <f t="shared" si="2"/>
        <v>52.935836212988001</v>
      </c>
    </row>
    <row r="40" spans="3:31" thickTop="1" thickBot="1" x14ac:dyDescent="0.3">
      <c r="C40">
        <v>44</v>
      </c>
      <c r="D40">
        <v>1E-3</v>
      </c>
      <c r="E40">
        <f t="shared" si="3"/>
        <v>0.08</v>
      </c>
      <c r="F40">
        <f t="shared" si="4"/>
        <v>0.01</v>
      </c>
      <c r="I40">
        <f t="shared" si="5"/>
        <v>0.501</v>
      </c>
      <c r="J40">
        <f t="shared" si="6"/>
        <v>0.503</v>
      </c>
      <c r="K40">
        <f t="shared" si="7"/>
        <v>0.505</v>
      </c>
      <c r="L40">
        <f t="shared" si="8"/>
        <v>0.50700000000000001</v>
      </c>
      <c r="M40">
        <f>IF($B$1&gt;4,L40+D40*2)</f>
        <v>0.50900000000000001</v>
      </c>
      <c r="P40">
        <f>2*PI()*I40</f>
        <v>3.1478758388969728</v>
      </c>
      <c r="Q40">
        <f t="shared" si="11"/>
        <v>3.160442209511332</v>
      </c>
      <c r="R40">
        <f t="shared" si="11"/>
        <v>3.1730085801256909</v>
      </c>
      <c r="S40">
        <f t="shared" si="11"/>
        <v>3.1855749507400501</v>
      </c>
      <c r="T40">
        <f t="shared" si="11"/>
        <v>3.1981413213544094</v>
      </c>
      <c r="U40">
        <f t="shared" si="11"/>
        <v>0</v>
      </c>
      <c r="W40">
        <f t="shared" si="12"/>
        <v>125.91503355587891</v>
      </c>
      <c r="X40">
        <f t="shared" si="13"/>
        <v>126.41768838045328</v>
      </c>
      <c r="Y40">
        <f t="shared" si="14"/>
        <v>126.92034320502763</v>
      </c>
      <c r="Z40">
        <f t="shared" si="15"/>
        <v>127.42299802960201</v>
      </c>
      <c r="AA40">
        <f t="shared" si="16"/>
        <v>127.92565285417638</v>
      </c>
      <c r="AB40">
        <f t="shared" si="17"/>
        <v>0</v>
      </c>
      <c r="AC40" s="11">
        <f t="shared" si="18"/>
        <v>634.60171602513822</v>
      </c>
      <c r="AD40" s="7">
        <f t="shared" si="19"/>
        <v>634.60171602513822</v>
      </c>
      <c r="AE40" s="12">
        <f t="shared" si="2"/>
        <v>52.883476335428185</v>
      </c>
    </row>
    <row r="41" spans="3:31" thickTop="1" thickBot="1" x14ac:dyDescent="0.3">
      <c r="I41" t="s">
        <v>36</v>
      </c>
      <c r="J41" t="s">
        <v>37</v>
      </c>
      <c r="K41" t="s">
        <v>38</v>
      </c>
      <c r="L41" t="s">
        <v>39</v>
      </c>
      <c r="M41" t="s">
        <v>40</v>
      </c>
      <c r="X41">
        <f t="shared" si="13"/>
        <v>0</v>
      </c>
      <c r="Y41">
        <f t="shared" si="14"/>
        <v>0</v>
      </c>
      <c r="Z41">
        <f t="shared" si="15"/>
        <v>0</v>
      </c>
      <c r="AA41">
        <f t="shared" si="16"/>
        <v>0</v>
      </c>
      <c r="AB41">
        <f t="shared" si="17"/>
        <v>0</v>
      </c>
    </row>
    <row r="42" spans="3:31" ht="46.5" thickTop="1" thickBot="1" x14ac:dyDescent="0.3">
      <c r="I42" s="3" t="s">
        <v>41</v>
      </c>
      <c r="J42" s="3" t="s">
        <v>42</v>
      </c>
      <c r="K42" s="3" t="s">
        <v>43</v>
      </c>
      <c r="L42" s="3" t="s">
        <v>44</v>
      </c>
      <c r="M42" s="3" t="s">
        <v>45</v>
      </c>
      <c r="N42" s="3"/>
      <c r="X42">
        <f t="shared" si="13"/>
        <v>0</v>
      </c>
      <c r="Y42">
        <f t="shared" si="14"/>
        <v>0</v>
      </c>
      <c r="Z42">
        <f t="shared" si="15"/>
        <v>0</v>
      </c>
      <c r="AA42">
        <f t="shared" si="16"/>
        <v>0</v>
      </c>
      <c r="AB42">
        <f t="shared" si="1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620C-E53A-48E2-B133-5469313C1190}">
  <dimension ref="A1:J40"/>
  <sheetViews>
    <sheetView workbookViewId="0">
      <selection activeCell="K19" sqref="K19"/>
    </sheetView>
  </sheetViews>
  <sheetFormatPr defaultRowHeight="16.5" thickTop="1" thickBottom="1" x14ac:dyDescent="0.3"/>
  <cols>
    <col min="1" max="1" width="12" bestFit="1" customWidth="1"/>
    <col min="2" max="2" width="17.28515625" bestFit="1" customWidth="1"/>
    <col min="4" max="4" width="12.5703125" bestFit="1" customWidth="1"/>
    <col min="5" max="5" width="20.5703125" bestFit="1" customWidth="1"/>
    <col min="6" max="6" width="12" style="7" bestFit="1" customWidth="1"/>
    <col min="8" max="8" width="11.28515625" bestFit="1" customWidth="1"/>
  </cols>
  <sheetData>
    <row r="1" spans="1:10" thickTop="1" thickBot="1" x14ac:dyDescent="0.3">
      <c r="A1" t="s">
        <v>53</v>
      </c>
      <c r="D1" t="s">
        <v>52</v>
      </c>
      <c r="E1" t="s">
        <v>8</v>
      </c>
      <c r="F1" s="7" t="s">
        <v>65</v>
      </c>
      <c r="H1" t="s">
        <v>0</v>
      </c>
    </row>
    <row r="2" spans="1:10" thickTop="1" thickBot="1" x14ac:dyDescent="0.3">
      <c r="D2">
        <v>94.771378383292088</v>
      </c>
      <c r="E2">
        <v>2.0611989400202632E-2</v>
      </c>
      <c r="F2" s="7">
        <f>Sources!$A$24*D2/E2</f>
        <v>3.7451378037384637E-2</v>
      </c>
      <c r="H2">
        <f>6</f>
        <v>6</v>
      </c>
    </row>
    <row r="3" spans="1:10" thickTop="1" thickBot="1" x14ac:dyDescent="0.3">
      <c r="D3">
        <v>90.137529219247156</v>
      </c>
      <c r="E3">
        <v>1.6353945403361735E-2</v>
      </c>
      <c r="F3" s="7">
        <f>Sources!$A$24*D3/E3</f>
        <v>4.4894549860886583E-2</v>
      </c>
      <c r="H3">
        <f>H2+1</f>
        <v>7</v>
      </c>
    </row>
    <row r="4" spans="1:10" thickTop="1" thickBot="1" x14ac:dyDescent="0.3">
      <c r="D4">
        <v>86.001098892020607</v>
      </c>
      <c r="E4">
        <v>1.2968690823559515E-2</v>
      </c>
      <c r="F4" s="7">
        <f>Sources!$A$24*D4/E4</f>
        <v>5.4015497379772334E-2</v>
      </c>
      <c r="H4">
        <f t="shared" ref="H4:H40" si="0">H3+1</f>
        <v>8</v>
      </c>
    </row>
    <row r="5" spans="1:10" thickTop="1" thickBot="1" x14ac:dyDescent="0.3">
      <c r="D5">
        <v>82.309727524052576</v>
      </c>
      <c r="E5">
        <v>1.027878850772123E-2</v>
      </c>
      <c r="F5" s="7">
        <f>Sources!$A$24*D5/E5</f>
        <v>6.5225850297687946E-2</v>
      </c>
      <c r="H5">
        <f t="shared" si="0"/>
        <v>9</v>
      </c>
    </row>
    <row r="6" spans="1:10" thickTop="1" thickBot="1" x14ac:dyDescent="0.3">
      <c r="D6">
        <v>79.037235176563215</v>
      </c>
      <c r="E6">
        <v>8.1552682234353798E-3</v>
      </c>
      <c r="F6" s="7">
        <f>Sources!$A$24*D6/E6</f>
        <v>7.8941251261953879E-2</v>
      </c>
      <c r="H6">
        <f t="shared" si="0"/>
        <v>10</v>
      </c>
    </row>
    <row r="7" spans="1:10" thickTop="1" thickBot="1" x14ac:dyDescent="0.3">
      <c r="D7">
        <v>76.105082033212739</v>
      </c>
      <c r="E7">
        <v>6.4610701372074756E-3</v>
      </c>
      <c r="F7" s="7">
        <f>Sources!$A$24*D7/E7</f>
        <v>9.5944419280452456E-2</v>
      </c>
      <c r="H7">
        <f t="shared" si="0"/>
        <v>11</v>
      </c>
    </row>
    <row r="8" spans="1:10" thickTop="1" thickBot="1" x14ac:dyDescent="0.3">
      <c r="D8">
        <v>73.513268094001162</v>
      </c>
      <c r="E8">
        <v>5.1275818654831166E-3</v>
      </c>
      <c r="F8" s="7">
        <f>Sources!$A$24*D8/E8</f>
        <v>0.11677870175149589</v>
      </c>
      <c r="H8">
        <f t="shared" si="0"/>
        <v>12</v>
      </c>
    </row>
    <row r="9" spans="1:10" thickTop="1" thickBot="1" x14ac:dyDescent="0.3">
      <c r="D9">
        <v>71.209433481368649</v>
      </c>
      <c r="E9">
        <v>4.0715040790523715E-3</v>
      </c>
      <c r="F9" s="7">
        <f>Sources!$A$24*D9/E9</f>
        <v>0.14246007612563164</v>
      </c>
      <c r="H9">
        <f t="shared" si="0"/>
        <v>13</v>
      </c>
      <c r="J9" t="s">
        <v>125</v>
      </c>
    </row>
    <row r="10" spans="1:10" thickTop="1" thickBot="1" x14ac:dyDescent="0.3">
      <c r="D10">
        <v>69.141218317755374</v>
      </c>
      <c r="E10">
        <v>3.2270518277490701E-3</v>
      </c>
      <c r="F10" s="7">
        <f>Sources!$A$24*D10/E10</f>
        <v>0.17451855285920762</v>
      </c>
      <c r="H10">
        <f t="shared" si="0"/>
        <v>14</v>
      </c>
    </row>
    <row r="11" spans="1:10" thickTop="1" thickBot="1" x14ac:dyDescent="0.3">
      <c r="D11">
        <v>67.308622603161325</v>
      </c>
      <c r="E11">
        <v>2.560720025922674E-3</v>
      </c>
      <c r="F11" s="7">
        <f>Sources!$A$24*D11/E11</f>
        <v>0.21410120966914784</v>
      </c>
      <c r="H11">
        <f t="shared" si="0"/>
        <v>15</v>
      </c>
    </row>
    <row r="12" spans="1:10" thickTop="1" thickBot="1" x14ac:dyDescent="0.3">
      <c r="D12">
        <v>65.659286460026664</v>
      </c>
      <c r="E12">
        <v>2.0268299163899908E-3</v>
      </c>
      <c r="F12" s="7">
        <f>Sources!$A$24*D12/E12</f>
        <v>0.26386960594152487</v>
      </c>
      <c r="H12">
        <f t="shared" si="0"/>
        <v>16</v>
      </c>
    </row>
    <row r="13" spans="1:10" thickTop="1" thickBot="1" x14ac:dyDescent="0.3">
      <c r="D13">
        <v>64.219389827131337</v>
      </c>
      <c r="E13">
        <v>1.6117077171262696E-3</v>
      </c>
      <c r="F13" s="7">
        <f>Sources!$A$24*D13/E13</f>
        <v>0.32455657008083427</v>
      </c>
      <c r="H13">
        <f t="shared" si="0"/>
        <v>17</v>
      </c>
    </row>
    <row r="14" spans="1:10" thickTop="1" thickBot="1" x14ac:dyDescent="0.3">
      <c r="D14">
        <v>62.910392888135611</v>
      </c>
      <c r="E14">
        <v>1.2755573031921618E-3</v>
      </c>
      <c r="F14" s="7">
        <f>Sources!$A$24*D14/E14</f>
        <v>0.40172877404753093</v>
      </c>
      <c r="H14">
        <f t="shared" si="0"/>
        <v>18</v>
      </c>
    </row>
    <row r="15" spans="1:10" thickTop="1" thickBot="1" x14ac:dyDescent="0.3">
      <c r="D15">
        <v>61.758475581819347</v>
      </c>
      <c r="E15">
        <v>1.0122290069682653E-3</v>
      </c>
      <c r="F15" s="7">
        <f>Sources!$A$24*D15/E15</f>
        <v>0.49696786202702381</v>
      </c>
      <c r="H15">
        <f t="shared" si="0"/>
        <v>19</v>
      </c>
    </row>
    <row r="16" spans="1:10" thickTop="1" thickBot="1" x14ac:dyDescent="0.3">
      <c r="D16">
        <v>60.737457969402676</v>
      </c>
      <c r="E16">
        <v>8.0424771931898698E-4</v>
      </c>
      <c r="F16" s="7">
        <f>Sources!$A$24*D16/E16</f>
        <v>0.61514470371159702</v>
      </c>
      <c r="H16">
        <f t="shared" si="0"/>
        <v>20</v>
      </c>
    </row>
    <row r="17" spans="4:8" thickTop="1" thickBot="1" x14ac:dyDescent="0.3">
      <c r="D17">
        <v>59.821160112105638</v>
      </c>
      <c r="E17">
        <v>6.3793965821957739E-4</v>
      </c>
      <c r="F17" s="7">
        <f>Sources!$A$24*D17/E17</f>
        <v>0.76381071286260094</v>
      </c>
      <c r="H17">
        <f t="shared" si="0"/>
        <v>21</v>
      </c>
    </row>
    <row r="18" spans="4:8" thickTop="1" thickBot="1" x14ac:dyDescent="0.3">
      <c r="D18">
        <v>58.983402071148369</v>
      </c>
      <c r="E18">
        <v>5.0272551040907263E-4</v>
      </c>
      <c r="F18" s="7">
        <f>Sources!$A$24*D18/E18</f>
        <v>0.95567320670511924</v>
      </c>
      <c r="H18">
        <f t="shared" si="0"/>
        <v>22</v>
      </c>
    </row>
    <row r="19" spans="4:8" thickTop="1" thickBot="1" x14ac:dyDescent="0.3">
      <c r="D19">
        <v>58.276543724090651</v>
      </c>
      <c r="E19">
        <v>4.0114996593688067E-4</v>
      </c>
      <c r="F19" s="7">
        <f>Sources!$A$24*D19/E19</f>
        <v>1.1833072968958889</v>
      </c>
      <c r="H19">
        <f t="shared" si="0"/>
        <v>23</v>
      </c>
    </row>
    <row r="20" spans="4:8" thickTop="1" thickBot="1" x14ac:dyDescent="0.3">
      <c r="D20">
        <v>57.622045254592784</v>
      </c>
      <c r="E20">
        <v>3.173087119942031E-4</v>
      </c>
      <c r="F20" s="7">
        <f>Sources!$A$24*D20/E20</f>
        <v>1.4791669298665424</v>
      </c>
      <c r="H20">
        <f t="shared" si="0"/>
        <v>24</v>
      </c>
    </row>
    <row r="21" spans="4:8" thickTop="1" thickBot="1" x14ac:dyDescent="0.3">
      <c r="D21">
        <v>57.046086601434659</v>
      </c>
      <c r="E21">
        <v>2.5164942553417637E-4</v>
      </c>
      <c r="F21" s="7">
        <f>Sources!$A$24*D21/E21</f>
        <v>1.8464622332120688</v>
      </c>
      <c r="H21">
        <f t="shared" si="0"/>
        <v>25</v>
      </c>
    </row>
    <row r="22" spans="4:8" thickTop="1" thickBot="1" x14ac:dyDescent="0.3">
      <c r="D22">
        <v>56.522487825836372</v>
      </c>
      <c r="E22">
        <v>1.9855650968850892E-4</v>
      </c>
      <c r="F22" s="7">
        <f>Sources!$A$24*D22/E22</f>
        <v>2.3187165113790948</v>
      </c>
      <c r="H22">
        <f t="shared" si="0"/>
        <v>26</v>
      </c>
    </row>
    <row r="23" spans="4:8" thickTop="1" thickBot="1" x14ac:dyDescent="0.3">
      <c r="D23">
        <v>56.077428866577804</v>
      </c>
      <c r="E23">
        <v>1.583676856674615E-4</v>
      </c>
      <c r="F23" s="7">
        <f>Sources!$A$24*D23/E23</f>
        <v>2.8842442708553775</v>
      </c>
      <c r="H23">
        <f t="shared" si="0"/>
        <v>27</v>
      </c>
    </row>
    <row r="24" spans="4:8" thickTop="1" thickBot="1" x14ac:dyDescent="0.3">
      <c r="D24">
        <v>55.658549846099163</v>
      </c>
      <c r="E24">
        <v>1.2468981242097889E-4</v>
      </c>
      <c r="F24" s="7">
        <f>Sources!$A$24*D24/E24</f>
        <v>3.6358958204452914</v>
      </c>
      <c r="H24">
        <f t="shared" si="0"/>
        <v>28</v>
      </c>
    </row>
    <row r="25" spans="4:8" thickTop="1" thickBot="1" x14ac:dyDescent="0.3">
      <c r="D25">
        <v>55.31821064196027</v>
      </c>
      <c r="E25">
        <v>1.0028749148422017E-4</v>
      </c>
      <c r="F25" s="7">
        <f>Sources!$A$24*D25/E25</f>
        <v>4.4929529529937353</v>
      </c>
      <c r="H25">
        <f t="shared" si="0"/>
        <v>29</v>
      </c>
    </row>
    <row r="26" spans="4:8" thickTop="1" thickBot="1" x14ac:dyDescent="0.3">
      <c r="D26">
        <v>54.977871437821385</v>
      </c>
      <c r="E26">
        <v>7.8539816339744827E-5</v>
      </c>
      <c r="F26" s="7">
        <f>Sources!$A$24*D26/E26</f>
        <v>5.7017550468164568</v>
      </c>
      <c r="H26">
        <f t="shared" si="0"/>
        <v>30</v>
      </c>
    </row>
    <row r="27" spans="4:8" thickTop="1" thickBot="1" x14ac:dyDescent="0.3">
      <c r="D27">
        <v>54.689892111242308</v>
      </c>
      <c r="E27">
        <v>6.2211388522711878E-5</v>
      </c>
      <c r="F27" s="7">
        <f>Sources!$A$24*D27/E27</f>
        <v>7.1605715324541599</v>
      </c>
      <c r="H27">
        <f t="shared" si="0"/>
        <v>31</v>
      </c>
    </row>
    <row r="28" spans="4:8" thickTop="1" thickBot="1" x14ac:dyDescent="0.3">
      <c r="D28">
        <v>54.454272662223083</v>
      </c>
      <c r="E28">
        <v>5.0265482457436686E-5</v>
      </c>
      <c r="F28" s="7">
        <f>Sources!$A$24*D28/E28</f>
        <v>8.8241447153111814</v>
      </c>
      <c r="H28">
        <f t="shared" si="0"/>
        <v>32</v>
      </c>
    </row>
    <row r="29" spans="4:8" thickTop="1" thickBot="1" x14ac:dyDescent="0.3">
      <c r="D29">
        <v>54.218653213203844</v>
      </c>
      <c r="E29">
        <v>3.9591921416865375E-5</v>
      </c>
      <c r="F29" s="7">
        <f>Sources!$A$24*D29/E29</f>
        <v>11.154565611468696</v>
      </c>
      <c r="H29">
        <f t="shared" si="0"/>
        <v>33</v>
      </c>
    </row>
    <row r="30" spans="4:8" thickTop="1" thickBot="1" x14ac:dyDescent="0.3">
      <c r="D30">
        <v>54.009213702964509</v>
      </c>
      <c r="E30">
        <v>3.1172453105244723E-5</v>
      </c>
      <c r="F30" s="7">
        <f>Sources!$A$24*D30/E30</f>
        <v>14.112611622913704</v>
      </c>
      <c r="H30">
        <f t="shared" si="0"/>
        <v>34</v>
      </c>
    </row>
    <row r="31" spans="4:8" thickTop="1" thickBot="1" x14ac:dyDescent="0.3">
      <c r="D31">
        <v>53.825954131505135</v>
      </c>
      <c r="E31">
        <v>2.4630086404143978E-5</v>
      </c>
      <c r="F31" s="7">
        <f>Sources!$A$24*D31/E31</f>
        <v>17.800668695721932</v>
      </c>
      <c r="H31">
        <f t="shared" si="0"/>
        <v>35</v>
      </c>
    </row>
    <row r="32" spans="4:8" thickTop="1" thickBot="1" x14ac:dyDescent="0.3">
      <c r="D32">
        <v>53.66887449882563</v>
      </c>
      <c r="E32">
        <v>1.9634954084936207E-5</v>
      </c>
      <c r="F32" s="7">
        <f>Sources!$A$24*D32/E32</f>
        <v>22.263995897092826</v>
      </c>
      <c r="H32">
        <f t="shared" si="0"/>
        <v>36</v>
      </c>
    </row>
    <row r="33" spans="4:8" thickTop="1" thickBot="1" x14ac:dyDescent="0.3">
      <c r="D33">
        <v>53.537974804926044</v>
      </c>
      <c r="E33">
        <v>1.5904312808798326E-5</v>
      </c>
      <c r="F33" s="7">
        <f>Sources!$A$24*D33/E33</f>
        <v>27.419374651945091</v>
      </c>
      <c r="H33">
        <f t="shared" si="0"/>
        <v>37</v>
      </c>
    </row>
    <row r="34" spans="4:8" thickTop="1" thickBot="1" x14ac:dyDescent="0.3">
      <c r="D34">
        <v>53.407075111026472</v>
      </c>
      <c r="E34">
        <v>1.2566370614359172E-5</v>
      </c>
      <c r="F34" s="7">
        <f>Sources!$A$24*D34/E34</f>
        <v>34.617798498528472</v>
      </c>
      <c r="H34">
        <f t="shared" si="0"/>
        <v>38</v>
      </c>
    </row>
    <row r="35" spans="4:8" thickTop="1" thickBot="1" x14ac:dyDescent="0.3">
      <c r="D35">
        <v>53.2761754171269</v>
      </c>
      <c r="E35">
        <v>9.621127501618743E-6</v>
      </c>
      <c r="F35" s="7">
        <f>Sources!$A$24*D35/E35</f>
        <v>45.104262469471266</v>
      </c>
      <c r="H35">
        <f t="shared" si="0"/>
        <v>39</v>
      </c>
    </row>
    <row r="36" spans="4:8" thickTop="1" thickBot="1" x14ac:dyDescent="0.3">
      <c r="D36">
        <v>53.171455662007254</v>
      </c>
      <c r="E36">
        <v>7.5476763502494772E-6</v>
      </c>
      <c r="F36" s="7">
        <f>Sources!$A$24*D36/E36</f>
        <v>57.38201526229733</v>
      </c>
      <c r="H36">
        <f t="shared" si="0"/>
        <v>40</v>
      </c>
    </row>
    <row r="37" spans="4:8" thickTop="1" thickBot="1" x14ac:dyDescent="0.3">
      <c r="D37">
        <v>53.092915845667498</v>
      </c>
      <c r="E37">
        <v>6.1575216010359945E-6</v>
      </c>
      <c r="F37" s="7">
        <f>Sources!$A$24*D37/E37</f>
        <v>70.232988550435934</v>
      </c>
      <c r="H37">
        <f t="shared" si="0"/>
        <v>41</v>
      </c>
    </row>
    <row r="38" spans="4:8" thickTop="1" thickBot="1" x14ac:dyDescent="0.3">
      <c r="D38">
        <v>53.014376029327757</v>
      </c>
      <c r="E38">
        <v>4.9087385212340517E-6</v>
      </c>
      <c r="F38" s="7">
        <f>Sources!$A$24*D38/E38</f>
        <v>87.969935008025317</v>
      </c>
      <c r="H38">
        <f t="shared" si="0"/>
        <v>42</v>
      </c>
    </row>
    <row r="39" spans="4:8" thickTop="1" thickBot="1" x14ac:dyDescent="0.3">
      <c r="D39">
        <v>52.935836212988001</v>
      </c>
      <c r="E39">
        <v>3.8013271108436497E-6</v>
      </c>
      <c r="F39" s="7">
        <f>Sources!$A$24*D39/E39</f>
        <v>113.42924738944185</v>
      </c>
      <c r="H39">
        <f t="shared" si="0"/>
        <v>43</v>
      </c>
    </row>
    <row r="40" spans="4:8" thickTop="1" thickBot="1" x14ac:dyDescent="0.3">
      <c r="D40">
        <v>52.883476335428185</v>
      </c>
      <c r="E40">
        <v>3.1415926535897929E-6</v>
      </c>
      <c r="F40" s="7">
        <f>Sources!$A$24*D40/E40</f>
        <v>137.11363326868144</v>
      </c>
      <c r="H40">
        <f t="shared" si="0"/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93BB-A26C-4C0B-AB60-CDA7CA95F462}">
  <dimension ref="A1:AC40"/>
  <sheetViews>
    <sheetView topLeftCell="E1" workbookViewId="0">
      <selection activeCell="W4" sqref="W4"/>
    </sheetView>
  </sheetViews>
  <sheetFormatPr defaultRowHeight="15" x14ac:dyDescent="0.25"/>
  <cols>
    <col min="1" max="1" width="11.28515625" bestFit="1" customWidth="1"/>
    <col min="2" max="2" width="16.42578125" bestFit="1" customWidth="1"/>
    <col min="4" max="4" width="28.7109375" bestFit="1" customWidth="1"/>
    <col min="6" max="6" width="12" bestFit="1" customWidth="1"/>
    <col min="8" max="8" width="17.28515625" bestFit="1" customWidth="1"/>
    <col min="14" max="14" width="17.28515625" bestFit="1" customWidth="1"/>
    <col min="16" max="16" width="20.5703125" bestFit="1" customWidth="1"/>
    <col min="17" max="17" width="22.85546875" bestFit="1" customWidth="1"/>
    <col min="18" max="18" width="13.42578125" bestFit="1" customWidth="1"/>
    <col min="23" max="23" width="12.7109375" bestFit="1" customWidth="1"/>
  </cols>
  <sheetData>
    <row r="1" spans="1:29" ht="16.5" thickTop="1" thickBot="1" x14ac:dyDescent="0.3">
      <c r="A1" t="s">
        <v>0</v>
      </c>
      <c r="B1" t="s">
        <v>66</v>
      </c>
      <c r="D1" s="7" t="s">
        <v>67</v>
      </c>
      <c r="F1" t="s">
        <v>69</v>
      </c>
      <c r="H1" s="7" t="s">
        <v>70</v>
      </c>
      <c r="J1" t="s">
        <v>72</v>
      </c>
      <c r="K1" s="16" t="s">
        <v>73</v>
      </c>
      <c r="L1" s="16"/>
      <c r="M1" s="16"/>
      <c r="N1" s="4" t="s">
        <v>74</v>
      </c>
      <c r="P1" t="s">
        <v>8</v>
      </c>
      <c r="Q1" t="s">
        <v>64</v>
      </c>
      <c r="R1" t="s">
        <v>83</v>
      </c>
      <c r="S1" t="s">
        <v>84</v>
      </c>
      <c r="T1" t="s">
        <v>85</v>
      </c>
      <c r="U1" t="s">
        <v>86</v>
      </c>
      <c r="W1" t="s">
        <v>87</v>
      </c>
      <c r="X1">
        <v>25</v>
      </c>
      <c r="Y1" t="s">
        <v>90</v>
      </c>
    </row>
    <row r="2" spans="1:29" ht="16.5" thickTop="1" thickBot="1" x14ac:dyDescent="0.3">
      <c r="A2">
        <f>6</f>
        <v>6</v>
      </c>
      <c r="B2">
        <v>4.896405579429116E-2</v>
      </c>
      <c r="D2" s="7">
        <v>30</v>
      </c>
      <c r="F2">
        <f>B2*$D$2^2</f>
        <v>44.067650214862041</v>
      </c>
      <c r="H2" s="7">
        <v>0.1</v>
      </c>
      <c r="J2">
        <f>F2*$H$2</f>
        <v>4.406765021486204</v>
      </c>
      <c r="K2" s="16"/>
      <c r="L2" s="16"/>
      <c r="M2" s="16"/>
      <c r="N2" s="5" t="s">
        <v>75</v>
      </c>
      <c r="P2">
        <v>2.0611989400202632E-2</v>
      </c>
      <c r="Q2">
        <v>1486.8529710909772</v>
      </c>
      <c r="R2">
        <f>Q2*P2</f>
        <v>30.646997679787013</v>
      </c>
      <c r="S2">
        <f>R2*$N$12</f>
        <v>9.9296272482509931</v>
      </c>
      <c r="T2">
        <f>S2/2.2046</f>
        <v>4.5040493732427613</v>
      </c>
      <c r="U2">
        <f>$J$2/(T2*$N$8)</f>
        <v>2.5413004974921818</v>
      </c>
      <c r="W2" t="s">
        <v>88</v>
      </c>
      <c r="X2">
        <v>90</v>
      </c>
      <c r="Y2" t="s">
        <v>90</v>
      </c>
    </row>
    <row r="3" spans="1:29" ht="16.5" thickTop="1" thickBot="1" x14ac:dyDescent="0.3">
      <c r="A3">
        <f>A2+1</f>
        <v>7</v>
      </c>
      <c r="B3">
        <v>5.8389254345937044E-2</v>
      </c>
      <c r="D3" s="7" t="s">
        <v>68</v>
      </c>
      <c r="F3">
        <f t="shared" ref="F3:F40" si="0">B3*$D$2^2</f>
        <v>52.550328911343342</v>
      </c>
      <c r="H3" s="15" t="s">
        <v>71</v>
      </c>
      <c r="J3">
        <f t="shared" ref="J3:J40" si="1">F3*$H$2</f>
        <v>5.2550328911343342</v>
      </c>
      <c r="K3" s="16"/>
      <c r="L3" s="16"/>
      <c r="M3" s="16"/>
      <c r="N3" s="5" t="s">
        <v>76</v>
      </c>
      <c r="P3">
        <v>1.6353945403361735E-2</v>
      </c>
      <c r="Q3">
        <v>1406.7800575362808</v>
      </c>
      <c r="R3">
        <f t="shared" ref="R3:R40" si="2">Q3*P3</f>
        <v>23.006404255486416</v>
      </c>
      <c r="S3">
        <f t="shared" ref="S3:S40" si="3">R3*$N$12</f>
        <v>7.4540749787775988</v>
      </c>
      <c r="T3">
        <f t="shared" ref="T3:T40" si="4">S3/2.2046</f>
        <v>3.3811462300542496</v>
      </c>
      <c r="U3">
        <f t="shared" ref="U3:U40" si="5">$J$2/(T3*$N$8)</f>
        <v>3.3852847922426381</v>
      </c>
      <c r="W3" t="s">
        <v>89</v>
      </c>
      <c r="X3">
        <f>X2-X1</f>
        <v>65</v>
      </c>
      <c r="Y3" t="s">
        <v>90</v>
      </c>
      <c r="AA3" t="s">
        <v>92</v>
      </c>
      <c r="AB3">
        <v>17</v>
      </c>
      <c r="AC3" t="s">
        <v>93</v>
      </c>
    </row>
    <row r="4" spans="1:29" ht="16.5" thickTop="1" thickBot="1" x14ac:dyDescent="0.3">
      <c r="A4">
        <f t="shared" ref="A4:A40" si="6">A3+1</f>
        <v>8</v>
      </c>
      <c r="B4">
        <v>6.9889640810649717E-2</v>
      </c>
      <c r="F4">
        <f t="shared" si="0"/>
        <v>62.900676729584745</v>
      </c>
      <c r="H4" s="15"/>
      <c r="J4">
        <f t="shared" si="1"/>
        <v>6.2900676729584752</v>
      </c>
      <c r="K4" s="16"/>
      <c r="L4" s="16"/>
      <c r="M4" s="16"/>
      <c r="N4" s="5" t="s">
        <v>77</v>
      </c>
      <c r="P4">
        <v>1.2968690823559515E-2</v>
      </c>
      <c r="Q4">
        <v>1335.3025414818057</v>
      </c>
      <c r="R4">
        <f t="shared" si="2"/>
        <v>17.317125816390792</v>
      </c>
      <c r="S4">
        <f t="shared" si="3"/>
        <v>5.6107487645106167</v>
      </c>
      <c r="T4">
        <f t="shared" si="4"/>
        <v>2.5450189442577411</v>
      </c>
      <c r="U4">
        <f t="shared" si="5"/>
        <v>4.4974686490160742</v>
      </c>
      <c r="W4" t="s">
        <v>91</v>
      </c>
      <c r="X4">
        <f>X3*W5</f>
        <v>32.5</v>
      </c>
      <c r="Y4" t="s">
        <v>90</v>
      </c>
      <c r="AB4">
        <v>50</v>
      </c>
      <c r="AC4" t="s">
        <v>90</v>
      </c>
    </row>
    <row r="5" spans="1:29" ht="16.5" thickTop="1" thickBot="1" x14ac:dyDescent="0.3">
      <c r="A5">
        <f t="shared" si="6"/>
        <v>9</v>
      </c>
      <c r="B5">
        <v>8.3967079345054152E-2</v>
      </c>
      <c r="F5">
        <f t="shared" si="0"/>
        <v>75.570371410548731</v>
      </c>
      <c r="H5" s="15"/>
      <c r="J5">
        <f t="shared" si="1"/>
        <v>7.5570371410548738</v>
      </c>
      <c r="K5" s="16"/>
      <c r="L5" s="16"/>
      <c r="M5" s="16"/>
      <c r="N5" s="5" t="s">
        <v>78</v>
      </c>
      <c r="P5">
        <v>1.027878850772123E-2</v>
      </c>
      <c r="Q5">
        <v>1271.5156442433185</v>
      </c>
      <c r="R5">
        <f t="shared" si="2"/>
        <v>13.069640391435978</v>
      </c>
      <c r="S5">
        <f t="shared" si="3"/>
        <v>4.2345634868252571</v>
      </c>
      <c r="T5">
        <f t="shared" si="4"/>
        <v>1.9207853972717304</v>
      </c>
      <c r="U5">
        <f t="shared" si="5"/>
        <v>5.9590951332768336</v>
      </c>
      <c r="W5">
        <v>0.5</v>
      </c>
      <c r="AA5" t="s">
        <v>94</v>
      </c>
      <c r="AB5">
        <v>15</v>
      </c>
      <c r="AC5" t="s">
        <v>93</v>
      </c>
    </row>
    <row r="6" spans="1:29" ht="16.5" thickTop="1" thickBot="1" x14ac:dyDescent="0.3">
      <c r="A6">
        <f t="shared" si="6"/>
        <v>10</v>
      </c>
      <c r="B6">
        <v>0.10112429197761841</v>
      </c>
      <c r="F6">
        <f t="shared" si="0"/>
        <v>91.011862779856571</v>
      </c>
      <c r="H6" s="15"/>
      <c r="J6">
        <f t="shared" si="1"/>
        <v>9.1011862779856578</v>
      </c>
      <c r="K6" s="16"/>
      <c r="L6" s="16"/>
      <c r="M6" s="16"/>
      <c r="N6" s="5"/>
      <c r="P6">
        <v>8.1552682234353798E-3</v>
      </c>
      <c r="Q6">
        <v>1214.9669764787022</v>
      </c>
      <c r="R6">
        <f t="shared" si="2"/>
        <v>9.9083815758001208</v>
      </c>
      <c r="S6">
        <f t="shared" si="3"/>
        <v>3.2103156305592391</v>
      </c>
      <c r="T6">
        <f t="shared" si="4"/>
        <v>1.4561896174177804</v>
      </c>
      <c r="U6">
        <f t="shared" si="5"/>
        <v>7.8603382252156813</v>
      </c>
      <c r="AB6">
        <v>30</v>
      </c>
      <c r="AC6" t="s">
        <v>90</v>
      </c>
    </row>
    <row r="7" spans="1:29" ht="16.5" thickTop="1" thickBot="1" x14ac:dyDescent="0.3">
      <c r="A7">
        <f t="shared" si="6"/>
        <v>11</v>
      </c>
      <c r="B7">
        <v>0.1223177479899894</v>
      </c>
      <c r="F7">
        <f t="shared" si="0"/>
        <v>110.08597319099046</v>
      </c>
      <c r="H7" s="15"/>
      <c r="J7">
        <f t="shared" si="1"/>
        <v>11.008597319099046</v>
      </c>
      <c r="N7" s="5" t="s">
        <v>79</v>
      </c>
      <c r="P7">
        <v>6.4610701372074756E-3</v>
      </c>
      <c r="Q7">
        <v>1164.299370161606</v>
      </c>
      <c r="R7">
        <f t="shared" si="2"/>
        <v>7.522619891320625</v>
      </c>
      <c r="S7">
        <f t="shared" si="3"/>
        <v>2.4373288447878827</v>
      </c>
      <c r="T7">
        <f t="shared" si="4"/>
        <v>1.1055651114886522</v>
      </c>
      <c r="U7">
        <f t="shared" si="5"/>
        <v>10.353205608613008</v>
      </c>
      <c r="AA7" t="s">
        <v>95</v>
      </c>
      <c r="AB7">
        <v>16</v>
      </c>
      <c r="AC7" t="s">
        <v>93</v>
      </c>
    </row>
    <row r="8" spans="1:29" ht="16.5" thickTop="1" thickBot="1" x14ac:dyDescent="0.3">
      <c r="A8">
        <f t="shared" si="6"/>
        <v>12</v>
      </c>
      <c r="B8">
        <v>0.14819915928258212</v>
      </c>
      <c r="F8">
        <f t="shared" si="0"/>
        <v>133.3792433543239</v>
      </c>
      <c r="H8" s="15"/>
      <c r="J8">
        <f t="shared" si="1"/>
        <v>13.33792433543239</v>
      </c>
      <c r="N8" s="5">
        <v>0.38500000000000001</v>
      </c>
      <c r="P8">
        <v>5.1275818654831166E-3</v>
      </c>
      <c r="Q8">
        <v>1119.5128252920299</v>
      </c>
      <c r="R8">
        <f t="shared" si="2"/>
        <v>5.7403936611431812</v>
      </c>
      <c r="S8">
        <f t="shared" si="3"/>
        <v>1.8598875462103908</v>
      </c>
      <c r="T8">
        <f t="shared" si="4"/>
        <v>0.84363945668619733</v>
      </c>
      <c r="U8">
        <f t="shared" si="5"/>
        <v>13.567576554457814</v>
      </c>
      <c r="AB8">
        <v>39</v>
      </c>
      <c r="AC8" t="s">
        <v>90</v>
      </c>
    </row>
    <row r="9" spans="1:29" ht="16.5" thickTop="1" thickBot="1" x14ac:dyDescent="0.3">
      <c r="A9">
        <f t="shared" si="6"/>
        <v>13</v>
      </c>
      <c r="B9">
        <v>0.18000249618697453</v>
      </c>
      <c r="F9">
        <f t="shared" si="0"/>
        <v>162.00224656827709</v>
      </c>
      <c r="H9" s="15"/>
      <c r="J9">
        <f t="shared" si="1"/>
        <v>16.200224656827711</v>
      </c>
      <c r="N9" s="6" t="s">
        <v>80</v>
      </c>
      <c r="P9">
        <v>4.0715040790523715E-3</v>
      </c>
      <c r="Q9">
        <v>1079.70256318574</v>
      </c>
      <c r="R9">
        <f t="shared" si="2"/>
        <v>4.3960133901740415</v>
      </c>
      <c r="S9">
        <f t="shared" si="3"/>
        <v>1.4243083384163895</v>
      </c>
      <c r="T9">
        <f t="shared" si="4"/>
        <v>0.64606202413879588</v>
      </c>
      <c r="U9">
        <f t="shared" si="5"/>
        <v>17.716786446640242</v>
      </c>
    </row>
    <row r="10" spans="1:29" ht="15.75" thickTop="1" x14ac:dyDescent="0.25">
      <c r="A10">
        <f t="shared" si="6"/>
        <v>14</v>
      </c>
      <c r="B10">
        <v>0.21958808477594141</v>
      </c>
      <c r="F10">
        <f t="shared" si="0"/>
        <v>197.62927629834726</v>
      </c>
      <c r="J10">
        <f t="shared" si="1"/>
        <v>19.762927629834728</v>
      </c>
      <c r="N10" s="13" t="s">
        <v>1</v>
      </c>
      <c r="P10">
        <v>3.2270518277490701E-3</v>
      </c>
      <c r="Q10">
        <v>1043.9638051585027</v>
      </c>
      <c r="R10">
        <f t="shared" si="2"/>
        <v>3.3689253055406203</v>
      </c>
      <c r="S10">
        <f t="shared" si="3"/>
        <v>1.091531798995161</v>
      </c>
      <c r="T10">
        <f t="shared" si="4"/>
        <v>0.49511557606602596</v>
      </c>
      <c r="U10">
        <f t="shared" si="5"/>
        <v>23.118123254972659</v>
      </c>
    </row>
    <row r="11" spans="1:29" x14ac:dyDescent="0.25">
      <c r="A11">
        <f t="shared" si="6"/>
        <v>15</v>
      </c>
      <c r="B11">
        <v>0.26833352074846939</v>
      </c>
      <c r="F11">
        <f t="shared" si="0"/>
        <v>241.50016867362245</v>
      </c>
      <c r="J11">
        <f t="shared" si="1"/>
        <v>24.150016867362247</v>
      </c>
      <c r="N11" s="5" t="s">
        <v>81</v>
      </c>
      <c r="P11">
        <v>2.560720025922674E-3</v>
      </c>
      <c r="Q11">
        <v>1012.2965512103175</v>
      </c>
      <c r="R11">
        <f t="shared" si="2"/>
        <v>2.5922080508567178</v>
      </c>
      <c r="S11">
        <f t="shared" si="3"/>
        <v>0.83987540847757658</v>
      </c>
      <c r="T11">
        <f t="shared" si="4"/>
        <v>0.38096498615511953</v>
      </c>
      <c r="U11">
        <f t="shared" si="5"/>
        <v>30.04513099345721</v>
      </c>
    </row>
    <row r="12" spans="1:29" x14ac:dyDescent="0.25">
      <c r="A12">
        <f t="shared" si="6"/>
        <v>16</v>
      </c>
      <c r="B12">
        <v>0.32947087256698721</v>
      </c>
      <c r="F12">
        <f t="shared" si="0"/>
        <v>296.52378531028847</v>
      </c>
      <c r="J12">
        <f t="shared" si="1"/>
        <v>29.652378531028848</v>
      </c>
      <c r="N12" s="5">
        <v>0.32400000000000001</v>
      </c>
      <c r="P12">
        <v>2.0268299163899908E-3</v>
      </c>
      <c r="Q12">
        <v>983.79602265695064</v>
      </c>
      <c r="R12">
        <f t="shared" si="2"/>
        <v>1.9939872103465928</v>
      </c>
      <c r="S12">
        <f t="shared" si="3"/>
        <v>0.6460518561522961</v>
      </c>
      <c r="T12">
        <f t="shared" si="4"/>
        <v>0.29304719956105235</v>
      </c>
      <c r="U12">
        <f t="shared" si="5"/>
        <v>39.059042127329846</v>
      </c>
      <c r="AB12" t="s">
        <v>96</v>
      </c>
    </row>
    <row r="13" spans="1:29" x14ac:dyDescent="0.25">
      <c r="A13">
        <f t="shared" si="6"/>
        <v>17</v>
      </c>
      <c r="B13">
        <v>0.40385263350555733</v>
      </c>
      <c r="F13">
        <f t="shared" si="0"/>
        <v>363.46737015500162</v>
      </c>
      <c r="J13">
        <f t="shared" si="1"/>
        <v>36.34673701550016</v>
      </c>
      <c r="N13" s="5" t="s">
        <v>82</v>
      </c>
      <c r="P13">
        <v>1.6117077171262696E-3</v>
      </c>
      <c r="Q13">
        <v>958.91460884051969</v>
      </c>
      <c r="R13">
        <f t="shared" si="2"/>
        <v>1.5454900751333838</v>
      </c>
      <c r="S13">
        <f t="shared" si="3"/>
        <v>0.50073878434321639</v>
      </c>
      <c r="T13">
        <f t="shared" si="4"/>
        <v>0.22713362258151881</v>
      </c>
      <c r="U13">
        <f t="shared" si="5"/>
        <v>50.393872923164999</v>
      </c>
    </row>
    <row r="14" spans="1:29" x14ac:dyDescent="0.25">
      <c r="A14">
        <f t="shared" si="6"/>
        <v>18</v>
      </c>
      <c r="B14">
        <v>0.49824398662893765</v>
      </c>
      <c r="F14">
        <f t="shared" si="0"/>
        <v>448.41958796604388</v>
      </c>
      <c r="J14">
        <f t="shared" si="1"/>
        <v>44.841958796604388</v>
      </c>
      <c r="N14" s="5"/>
      <c r="P14">
        <v>1.2755573031921618E-3</v>
      </c>
      <c r="Q14">
        <v>936.29514173467317</v>
      </c>
      <c r="R14">
        <f t="shared" si="2"/>
        <v>1.1942981059830027</v>
      </c>
      <c r="S14">
        <f t="shared" si="3"/>
        <v>0.38695258633849289</v>
      </c>
      <c r="T14">
        <f t="shared" si="4"/>
        <v>0.17552054174838649</v>
      </c>
      <c r="U14">
        <f t="shared" si="5"/>
        <v>65.212554604346764</v>
      </c>
    </row>
    <row r="15" spans="1:29" ht="15.75" thickBot="1" x14ac:dyDescent="0.3">
      <c r="A15">
        <f t="shared" si="6"/>
        <v>19</v>
      </c>
      <c r="B15">
        <v>0.61451266418751482</v>
      </c>
      <c r="F15">
        <f t="shared" si="0"/>
        <v>553.0613977687633</v>
      </c>
      <c r="J15">
        <f t="shared" si="1"/>
        <v>55.306139776876336</v>
      </c>
      <c r="N15" s="14" t="s">
        <v>6</v>
      </c>
      <c r="P15">
        <v>1.0122290069682653E-3</v>
      </c>
      <c r="Q15">
        <v>916.39001068152857</v>
      </c>
      <c r="R15">
        <f t="shared" si="2"/>
        <v>0.92759655050780165</v>
      </c>
      <c r="S15">
        <f t="shared" si="3"/>
        <v>0.30054128236452776</v>
      </c>
      <c r="T15">
        <f t="shared" si="4"/>
        <v>0.13632463139096787</v>
      </c>
      <c r="U15">
        <f t="shared" si="5"/>
        <v>83.962397669167942</v>
      </c>
    </row>
    <row r="16" spans="1:29" x14ac:dyDescent="0.25">
      <c r="A16">
        <f t="shared" si="6"/>
        <v>20</v>
      </c>
      <c r="B16">
        <v>0.75853705533540372</v>
      </c>
      <c r="F16">
        <f t="shared" si="0"/>
        <v>682.6833498018633</v>
      </c>
      <c r="J16">
        <f t="shared" si="1"/>
        <v>68.268334980186339</v>
      </c>
      <c r="P16">
        <v>8.0424771931898698E-4</v>
      </c>
      <c r="Q16">
        <v>898.74682633896805</v>
      </c>
      <c r="R16">
        <f t="shared" si="2"/>
        <v>0.72281508532829275</v>
      </c>
      <c r="S16">
        <f t="shared" si="3"/>
        <v>0.23419208764636687</v>
      </c>
      <c r="T16">
        <f t="shared" si="4"/>
        <v>0.10622883409524034</v>
      </c>
      <c r="U16">
        <f t="shared" si="5"/>
        <v>107.74986857795169</v>
      </c>
    </row>
    <row r="17" spans="1:21" x14ac:dyDescent="0.25">
      <c r="A17">
        <f t="shared" si="6"/>
        <v>21</v>
      </c>
      <c r="B17">
        <v>0.93943703607398388</v>
      </c>
      <c r="F17">
        <f t="shared" si="0"/>
        <v>845.49333246658546</v>
      </c>
      <c r="J17">
        <f t="shared" si="1"/>
        <v>84.549333246658549</v>
      </c>
      <c r="P17">
        <v>6.3793965821957739E-4</v>
      </c>
      <c r="Q17">
        <v>882.91319936487525</v>
      </c>
      <c r="R17">
        <f t="shared" si="2"/>
        <v>0.56324534464038212</v>
      </c>
      <c r="S17">
        <f t="shared" si="3"/>
        <v>0.1824914916634838</v>
      </c>
      <c r="T17">
        <f t="shared" si="4"/>
        <v>8.2777597597516003E-2</v>
      </c>
      <c r="U17">
        <f t="shared" si="5"/>
        <v>138.2758529500336</v>
      </c>
    </row>
    <row r="18" spans="1:21" x14ac:dyDescent="0.25">
      <c r="A18">
        <f t="shared" si="6"/>
        <v>22</v>
      </c>
      <c r="B18">
        <v>1.1725639408606725</v>
      </c>
      <c r="F18">
        <f t="shared" si="0"/>
        <v>1055.3075467746053</v>
      </c>
      <c r="J18">
        <f t="shared" si="1"/>
        <v>105.53075467746054</v>
      </c>
      <c r="P18">
        <v>5.0272551040907263E-4</v>
      </c>
      <c r="Q18">
        <v>868.43674041713359</v>
      </c>
      <c r="R18">
        <f t="shared" si="2"/>
        <v>0.43658530358419478</v>
      </c>
      <c r="S18">
        <f t="shared" si="3"/>
        <v>0.14145363836127911</v>
      </c>
      <c r="T18">
        <f t="shared" si="4"/>
        <v>6.4162949451727791E-2</v>
      </c>
      <c r="U18">
        <f t="shared" si="5"/>
        <v>178.39178234103071</v>
      </c>
    </row>
    <row r="19" spans="1:21" x14ac:dyDescent="0.25">
      <c r="A19">
        <f t="shared" si="6"/>
        <v>23</v>
      </c>
      <c r="B19">
        <v>1.4488019044258447</v>
      </c>
      <c r="F19">
        <f t="shared" si="0"/>
        <v>1303.9217139832601</v>
      </c>
      <c r="J19">
        <f t="shared" si="1"/>
        <v>130.39217139832601</v>
      </c>
      <c r="P19">
        <v>4.0114996593688067E-4</v>
      </c>
      <c r="Q19">
        <v>856.22222817997636</v>
      </c>
      <c r="R19">
        <f t="shared" si="2"/>
        <v>0.34347351766879758</v>
      </c>
      <c r="S19">
        <f t="shared" si="3"/>
        <v>0.11128541972469042</v>
      </c>
      <c r="T19">
        <f t="shared" si="4"/>
        <v>5.0478735246616349E-2</v>
      </c>
      <c r="U19">
        <f t="shared" si="5"/>
        <v>226.75177690230316</v>
      </c>
    </row>
    <row r="20" spans="1:21" x14ac:dyDescent="0.25">
      <c r="A20">
        <f t="shared" si="6"/>
        <v>24</v>
      </c>
      <c r="B20">
        <v>1.8074196764471941</v>
      </c>
      <c r="F20">
        <f t="shared" si="0"/>
        <v>1626.6777088024746</v>
      </c>
      <c r="J20">
        <f t="shared" si="1"/>
        <v>162.66777088024747</v>
      </c>
      <c r="P20">
        <v>3.173087119942031E-4</v>
      </c>
      <c r="Q20">
        <v>844.91249462705332</v>
      </c>
      <c r="R20">
        <f t="shared" si="2"/>
        <v>0.26809809541791935</v>
      </c>
      <c r="S20">
        <f t="shared" si="3"/>
        <v>8.6863782915405877E-2</v>
      </c>
      <c r="T20">
        <f t="shared" si="4"/>
        <v>3.9401153458861415E-2</v>
      </c>
      <c r="U20">
        <f t="shared" si="5"/>
        <v>290.50273680190736</v>
      </c>
    </row>
    <row r="21" spans="1:21" x14ac:dyDescent="0.25">
      <c r="A21">
        <f t="shared" si="6"/>
        <v>25</v>
      </c>
      <c r="B21">
        <v>2.2521585428828397</v>
      </c>
      <c r="F21">
        <f t="shared" si="0"/>
        <v>2026.9426885945556</v>
      </c>
      <c r="J21">
        <f t="shared" si="1"/>
        <v>202.69426885945558</v>
      </c>
      <c r="P21">
        <v>2.5164942553417637E-4</v>
      </c>
      <c r="Q21">
        <v>834.95992910048096</v>
      </c>
      <c r="R21">
        <f t="shared" si="2"/>
        <v>0.21011718650219266</v>
      </c>
      <c r="S21">
        <f t="shared" si="3"/>
        <v>6.807796842671042E-2</v>
      </c>
      <c r="T21">
        <f t="shared" si="4"/>
        <v>3.0879963905792621E-2</v>
      </c>
      <c r="U21">
        <f t="shared" si="5"/>
        <v>370.6656830257516</v>
      </c>
    </row>
    <row r="22" spans="1:21" x14ac:dyDescent="0.25">
      <c r="A22">
        <f t="shared" si="6"/>
        <v>26</v>
      </c>
      <c r="B22">
        <v>2.8234427789509891</v>
      </c>
      <c r="F22">
        <f t="shared" si="0"/>
        <v>2541.0985010558902</v>
      </c>
      <c r="J22">
        <f t="shared" si="1"/>
        <v>254.10985010558903</v>
      </c>
      <c r="P22">
        <v>1.9855650968850892E-4</v>
      </c>
      <c r="Q22">
        <v>825.91214225814235</v>
      </c>
      <c r="R22">
        <f t="shared" si="2"/>
        <v>0.16399023227613599</v>
      </c>
      <c r="S22">
        <f t="shared" si="3"/>
        <v>5.3132835257468064E-2</v>
      </c>
      <c r="T22">
        <f t="shared" si="4"/>
        <v>2.4100895970909943E-2</v>
      </c>
      <c r="U22">
        <f t="shared" si="5"/>
        <v>474.92603290627886</v>
      </c>
    </row>
    <row r="23" spans="1:21" x14ac:dyDescent="0.25">
      <c r="A23">
        <f t="shared" si="6"/>
        <v>27</v>
      </c>
      <c r="B23">
        <v>3.506982501660791</v>
      </c>
      <c r="F23">
        <f t="shared" si="0"/>
        <v>3156.284251494712</v>
      </c>
      <c r="J23">
        <f t="shared" si="1"/>
        <v>315.62842514947124</v>
      </c>
      <c r="P23">
        <v>1.583676856674615E-4</v>
      </c>
      <c r="Q23">
        <v>818.22152344215442</v>
      </c>
      <c r="R23">
        <f t="shared" si="2"/>
        <v>0.12957984903083858</v>
      </c>
      <c r="S23">
        <f t="shared" si="3"/>
        <v>4.1983871085991699E-2</v>
      </c>
      <c r="T23">
        <f t="shared" si="4"/>
        <v>1.904375899754681E-2</v>
      </c>
      <c r="U23">
        <f t="shared" si="5"/>
        <v>601.04430613859665</v>
      </c>
    </row>
    <row r="24" spans="1:21" x14ac:dyDescent="0.25">
      <c r="A24">
        <f t="shared" si="6"/>
        <v>28</v>
      </c>
      <c r="B24">
        <v>4.4147915835984426</v>
      </c>
      <c r="F24">
        <f t="shared" si="0"/>
        <v>3973.3124252385983</v>
      </c>
      <c r="J24">
        <f t="shared" si="1"/>
        <v>397.33124252385983</v>
      </c>
      <c r="P24">
        <v>1.2468981242097889E-4</v>
      </c>
      <c r="Q24">
        <v>810.98329396828331</v>
      </c>
      <c r="R24">
        <f t="shared" si="2"/>
        <v>0.10112135480145283</v>
      </c>
      <c r="S24">
        <f t="shared" si="3"/>
        <v>3.2763318955670716E-2</v>
      </c>
      <c r="T24">
        <f t="shared" si="4"/>
        <v>1.4861343987875676E-2</v>
      </c>
      <c r="U24">
        <f t="shared" si="5"/>
        <v>770.19567828382685</v>
      </c>
    </row>
    <row r="25" spans="1:21" x14ac:dyDescent="0.25">
      <c r="A25">
        <f t="shared" si="6"/>
        <v>29</v>
      </c>
      <c r="B25">
        <v>5.4492098398940394</v>
      </c>
      <c r="F25">
        <f t="shared" si="0"/>
        <v>4904.2888559046351</v>
      </c>
      <c r="J25">
        <f t="shared" si="1"/>
        <v>490.42888559046355</v>
      </c>
      <c r="P25">
        <v>1.0028749148422017E-4</v>
      </c>
      <c r="Q25">
        <v>805.10223252076332</v>
      </c>
      <c r="R25">
        <f t="shared" si="2"/>
        <v>8.0741683287852695E-2</v>
      </c>
      <c r="S25">
        <f t="shared" si="3"/>
        <v>2.6160305385264274E-2</v>
      </c>
      <c r="T25">
        <f t="shared" si="4"/>
        <v>1.1866236680243251E-2</v>
      </c>
      <c r="U25">
        <f t="shared" si="5"/>
        <v>964.5975570341094</v>
      </c>
    </row>
    <row r="26" spans="1:21" x14ac:dyDescent="0.25">
      <c r="A26">
        <f t="shared" si="6"/>
        <v>30</v>
      </c>
      <c r="B26">
        <v>6.907268971000506</v>
      </c>
      <c r="F26">
        <f t="shared" si="0"/>
        <v>6216.5420739004558</v>
      </c>
      <c r="J26">
        <f t="shared" si="1"/>
        <v>621.6542073900456</v>
      </c>
      <c r="P26">
        <v>7.8539816339744827E-5</v>
      </c>
      <c r="Q26">
        <v>799.22117107324345</v>
      </c>
      <c r="R26">
        <f t="shared" si="2"/>
        <v>6.2770683990928319E-2</v>
      </c>
      <c r="S26">
        <f t="shared" si="3"/>
        <v>2.0337701613060775E-2</v>
      </c>
      <c r="T26">
        <f t="shared" si="4"/>
        <v>9.2251209348910342E-3</v>
      </c>
      <c r="U26">
        <f t="shared" si="5"/>
        <v>1240.758033822608</v>
      </c>
    </row>
    <row r="27" spans="1:21" x14ac:dyDescent="0.25">
      <c r="A27">
        <f t="shared" si="6"/>
        <v>31</v>
      </c>
      <c r="B27">
        <v>8.6659025971705645</v>
      </c>
      <c r="F27">
        <f t="shared" si="0"/>
        <v>7799.312337453508</v>
      </c>
      <c r="J27">
        <f t="shared" si="1"/>
        <v>779.93123374535082</v>
      </c>
      <c r="P27">
        <v>6.2211388522711878E-5</v>
      </c>
      <c r="Q27">
        <v>794.24488830995722</v>
      </c>
      <c r="R27">
        <f t="shared" si="2"/>
        <v>4.941107732882865E-2</v>
      </c>
      <c r="S27">
        <f t="shared" si="3"/>
        <v>1.6009189054540483E-2</v>
      </c>
      <c r="T27">
        <f t="shared" si="4"/>
        <v>7.2617205182529633E-3</v>
      </c>
      <c r="U27">
        <f t="shared" si="5"/>
        <v>1576.2301625600032</v>
      </c>
    </row>
    <row r="28" spans="1:21" x14ac:dyDescent="0.25">
      <c r="A28">
        <f t="shared" si="6"/>
        <v>32</v>
      </c>
      <c r="B28">
        <v>10.670427301899368</v>
      </c>
      <c r="F28">
        <f t="shared" si="0"/>
        <v>9603.3845717094318</v>
      </c>
      <c r="J28">
        <f t="shared" si="1"/>
        <v>960.33845717094323</v>
      </c>
      <c r="P28">
        <v>5.0265482457436686E-5</v>
      </c>
      <c r="Q28">
        <v>790.17338423090484</v>
      </c>
      <c r="R28">
        <f t="shared" si="2"/>
        <v>3.9718446383391927E-2</v>
      </c>
      <c r="S28">
        <f t="shared" si="3"/>
        <v>1.2868776628218984E-2</v>
      </c>
      <c r="T28">
        <f t="shared" si="4"/>
        <v>5.8372387862736927E-3</v>
      </c>
      <c r="U28">
        <f t="shared" si="5"/>
        <v>1960.8831045025711</v>
      </c>
    </row>
    <row r="29" spans="1:21" x14ac:dyDescent="0.25">
      <c r="A29">
        <f t="shared" si="6"/>
        <v>33</v>
      </c>
      <c r="B29">
        <v>13.477257487031114</v>
      </c>
      <c r="F29">
        <f t="shared" si="0"/>
        <v>12129.531738328002</v>
      </c>
      <c r="J29">
        <f t="shared" si="1"/>
        <v>1212.9531738328003</v>
      </c>
      <c r="P29">
        <v>3.9591921416865375E-5</v>
      </c>
      <c r="Q29">
        <v>786.10188015185247</v>
      </c>
      <c r="R29">
        <f t="shared" si="2"/>
        <v>3.1123283864622264E-2</v>
      </c>
      <c r="S29">
        <f t="shared" si="3"/>
        <v>1.0083943972137613E-2</v>
      </c>
      <c r="T29">
        <f t="shared" si="4"/>
        <v>4.5740469800134324E-3</v>
      </c>
      <c r="U29">
        <f t="shared" si="5"/>
        <v>2502.4104393692883</v>
      </c>
    </row>
    <row r="30" spans="1:21" x14ac:dyDescent="0.25">
      <c r="A30">
        <f t="shared" si="6"/>
        <v>34</v>
      </c>
      <c r="B30">
        <v>17.038567145624636</v>
      </c>
      <c r="F30">
        <f t="shared" si="0"/>
        <v>15334.710431062173</v>
      </c>
      <c r="J30">
        <f t="shared" si="1"/>
        <v>1533.4710431062174</v>
      </c>
      <c r="P30">
        <v>3.1172453105244723E-5</v>
      </c>
      <c r="Q30">
        <v>782.48276541491668</v>
      </c>
      <c r="R30">
        <f t="shared" si="2"/>
        <v>2.4391907310558698E-2</v>
      </c>
      <c r="S30">
        <f t="shared" si="3"/>
        <v>7.9029779686210187E-3</v>
      </c>
      <c r="T30">
        <f t="shared" si="4"/>
        <v>3.5847672904930684E-3</v>
      </c>
      <c r="U30">
        <f t="shared" si="5"/>
        <v>3192.9946870768322</v>
      </c>
    </row>
    <row r="31" spans="1:21" x14ac:dyDescent="0.25">
      <c r="A31">
        <f t="shared" si="6"/>
        <v>35</v>
      </c>
      <c r="B31">
        <v>21.477164782760532</v>
      </c>
      <c r="F31">
        <f t="shared" si="0"/>
        <v>19329.448304484478</v>
      </c>
      <c r="J31">
        <f t="shared" si="1"/>
        <v>1932.9448304484479</v>
      </c>
      <c r="P31">
        <v>2.4630086404143978E-5</v>
      </c>
      <c r="Q31">
        <v>779.31604002009863</v>
      </c>
      <c r="R31">
        <f t="shared" si="2"/>
        <v>1.9194621401830356E-2</v>
      </c>
      <c r="S31">
        <f t="shared" si="3"/>
        <v>6.2190573341930353E-3</v>
      </c>
      <c r="T31">
        <f t="shared" si="4"/>
        <v>2.8209459013848475E-3</v>
      </c>
      <c r="U31">
        <f t="shared" si="5"/>
        <v>4057.554917069514</v>
      </c>
    </row>
    <row r="32" spans="1:21" x14ac:dyDescent="0.25">
      <c r="A32">
        <f t="shared" si="6"/>
        <v>36</v>
      </c>
      <c r="B32">
        <v>26.847120906152913</v>
      </c>
      <c r="F32">
        <f t="shared" si="0"/>
        <v>24162.408815537623</v>
      </c>
      <c r="J32">
        <f t="shared" si="1"/>
        <v>2416.2408815537624</v>
      </c>
      <c r="P32">
        <v>1.9634954084936207E-5</v>
      </c>
      <c r="Q32">
        <v>776.60170396739682</v>
      </c>
      <c r="R32">
        <f t="shared" si="2"/>
        <v>1.5248538799683057E-2</v>
      </c>
      <c r="S32">
        <f t="shared" si="3"/>
        <v>4.9405265710973107E-3</v>
      </c>
      <c r="T32">
        <f t="shared" si="4"/>
        <v>2.2410081516362652E-3</v>
      </c>
      <c r="U32">
        <f t="shared" si="5"/>
        <v>5107.5864693280173</v>
      </c>
    </row>
    <row r="33" spans="1:21" x14ac:dyDescent="0.25">
      <c r="A33">
        <f t="shared" si="6"/>
        <v>37</v>
      </c>
      <c r="B33">
        <v>33.048056059713574</v>
      </c>
      <c r="F33">
        <f t="shared" si="0"/>
        <v>29743.250453742217</v>
      </c>
      <c r="J33">
        <f t="shared" si="1"/>
        <v>2974.3250453742221</v>
      </c>
      <c r="P33">
        <v>1.5904312808798326E-5</v>
      </c>
      <c r="Q33">
        <v>774.33975725681194</v>
      </c>
      <c r="R33">
        <f t="shared" si="2"/>
        <v>1.2315341719701301E-2</v>
      </c>
      <c r="S33">
        <f t="shared" si="3"/>
        <v>3.9901707171832211E-3</v>
      </c>
      <c r="T33">
        <f t="shared" si="4"/>
        <v>1.809929564176368E-3</v>
      </c>
      <c r="U33">
        <f t="shared" si="5"/>
        <v>6324.081964018249</v>
      </c>
    </row>
    <row r="34" spans="1:21" x14ac:dyDescent="0.25">
      <c r="A34">
        <f t="shared" si="6"/>
        <v>38</v>
      </c>
      <c r="B34">
        <v>41.704265485286072</v>
      </c>
      <c r="F34">
        <f t="shared" si="0"/>
        <v>37533.838936757464</v>
      </c>
      <c r="J34">
        <f t="shared" si="1"/>
        <v>3753.3838936757465</v>
      </c>
      <c r="P34">
        <v>1.2566370614359172E-5</v>
      </c>
      <c r="Q34">
        <v>772.07781054622751</v>
      </c>
      <c r="R34">
        <f t="shared" si="2"/>
        <v>9.7022159104468812E-3</v>
      </c>
      <c r="S34">
        <f t="shared" si="3"/>
        <v>3.1435179549847898E-3</v>
      </c>
      <c r="T34">
        <f t="shared" si="4"/>
        <v>1.4258903905401386E-3</v>
      </c>
      <c r="U34">
        <f t="shared" si="5"/>
        <v>8027.3652090574014</v>
      </c>
    </row>
    <row r="35" spans="1:21" x14ac:dyDescent="0.25">
      <c r="A35">
        <f t="shared" si="6"/>
        <v>39</v>
      </c>
      <c r="B35">
        <v>54.311294719996255</v>
      </c>
      <c r="F35">
        <f t="shared" si="0"/>
        <v>48880.165247996629</v>
      </c>
      <c r="J35">
        <f t="shared" si="1"/>
        <v>4888.0165247996629</v>
      </c>
      <c r="P35">
        <v>9.621127501618743E-6</v>
      </c>
      <c r="Q35">
        <v>769.81586383564263</v>
      </c>
      <c r="R35">
        <f t="shared" si="2"/>
        <v>7.4064965787314909E-3</v>
      </c>
      <c r="S35">
        <f t="shared" si="3"/>
        <v>2.3997048915090032E-3</v>
      </c>
      <c r="T35">
        <f t="shared" si="4"/>
        <v>1.0884989982350554E-3</v>
      </c>
      <c r="U35">
        <f t="shared" si="5"/>
        <v>10515.529119926159</v>
      </c>
    </row>
    <row r="36" spans="1:21" x14ac:dyDescent="0.25">
      <c r="A36">
        <f t="shared" si="6"/>
        <v>40</v>
      </c>
      <c r="B36">
        <v>69.068621265791506</v>
      </c>
      <c r="F36">
        <f t="shared" si="0"/>
        <v>62161.759139212358</v>
      </c>
      <c r="J36">
        <f t="shared" si="1"/>
        <v>6216.1759139212363</v>
      </c>
      <c r="P36">
        <v>7.5476763502494772E-6</v>
      </c>
      <c r="Q36">
        <v>768.00630646717525</v>
      </c>
      <c r="R36">
        <f t="shared" si="2"/>
        <v>5.7966630361647505E-3</v>
      </c>
      <c r="S36">
        <f t="shared" si="3"/>
        <v>1.8781188237173793E-3</v>
      </c>
      <c r="T36">
        <f t="shared" si="4"/>
        <v>8.5190910991444211E-4</v>
      </c>
      <c r="U36">
        <f t="shared" si="5"/>
        <v>13435.873357547172</v>
      </c>
    </row>
    <row r="37" spans="1:21" x14ac:dyDescent="0.25">
      <c r="A37">
        <f t="shared" si="6"/>
        <v>41</v>
      </c>
      <c r="B37">
        <v>84.512310956311538</v>
      </c>
      <c r="F37">
        <f t="shared" si="0"/>
        <v>76061.079860680387</v>
      </c>
      <c r="J37">
        <f t="shared" si="1"/>
        <v>7606.1079860680393</v>
      </c>
      <c r="P37">
        <v>6.1575216010359945E-6</v>
      </c>
      <c r="Q37">
        <v>766.64913844082446</v>
      </c>
      <c r="R37">
        <f t="shared" si="2"/>
        <v>4.720658630365011E-3</v>
      </c>
      <c r="S37">
        <f t="shared" si="3"/>
        <v>1.5294933962382636E-3</v>
      </c>
      <c r="T37">
        <f t="shared" si="4"/>
        <v>6.9377365337851022E-4</v>
      </c>
      <c r="U37">
        <f t="shared" si="5"/>
        <v>16498.382227706727</v>
      </c>
    </row>
    <row r="38" spans="1:21" x14ac:dyDescent="0.25">
      <c r="A38">
        <f t="shared" si="6"/>
        <v>42</v>
      </c>
      <c r="B38">
        <v>105.82457366891339</v>
      </c>
      <c r="F38">
        <f t="shared" si="0"/>
        <v>95242.116302022056</v>
      </c>
      <c r="J38">
        <f t="shared" si="1"/>
        <v>9524.2116302022059</v>
      </c>
      <c r="P38">
        <v>4.9087385212340517E-6</v>
      </c>
      <c r="Q38">
        <v>765.29197041447333</v>
      </c>
      <c r="R38">
        <f t="shared" si="2"/>
        <v>3.7566181751646356E-3</v>
      </c>
      <c r="S38">
        <f t="shared" si="3"/>
        <v>1.2171442887533421E-3</v>
      </c>
      <c r="T38">
        <f t="shared" si="4"/>
        <v>5.5209302764825459E-4</v>
      </c>
      <c r="U38">
        <f t="shared" si="5"/>
        <v>20732.272171065455</v>
      </c>
    </row>
    <row r="39" spans="1:21" x14ac:dyDescent="0.25">
      <c r="A39">
        <f t="shared" si="6"/>
        <v>43</v>
      </c>
      <c r="B39">
        <v>136.41129193469735</v>
      </c>
      <c r="F39">
        <f t="shared" si="0"/>
        <v>122770.16274122761</v>
      </c>
      <c r="J39">
        <f t="shared" si="1"/>
        <v>12277.016274122761</v>
      </c>
      <c r="P39">
        <v>3.8013271108436497E-6</v>
      </c>
      <c r="Q39">
        <v>763.93480238812265</v>
      </c>
      <c r="R39">
        <f t="shared" si="2"/>
        <v>2.9039660752349567E-3</v>
      </c>
      <c r="S39">
        <f t="shared" si="3"/>
        <v>9.4088500837612599E-4</v>
      </c>
      <c r="T39">
        <f t="shared" si="4"/>
        <v>4.2678264010529164E-4</v>
      </c>
      <c r="U39">
        <f t="shared" si="5"/>
        <v>26819.607541036108</v>
      </c>
    </row>
    <row r="40" spans="1:21" x14ac:dyDescent="0.25">
      <c r="A40">
        <f t="shared" si="6"/>
        <v>44</v>
      </c>
      <c r="B40">
        <v>164.86217449652153</v>
      </c>
      <c r="F40">
        <f t="shared" si="0"/>
        <v>148375.95704686939</v>
      </c>
      <c r="J40">
        <f t="shared" si="1"/>
        <v>14837.595704686939</v>
      </c>
      <c r="P40">
        <v>3.1415926535897929E-6</v>
      </c>
      <c r="Q40">
        <v>763.0300237038889</v>
      </c>
      <c r="R40">
        <f t="shared" si="2"/>
        <v>2.397129516936583E-3</v>
      </c>
      <c r="S40">
        <f t="shared" si="3"/>
        <v>7.7666996348745292E-4</v>
      </c>
      <c r="T40">
        <f t="shared" si="4"/>
        <v>3.5229518438149908E-4</v>
      </c>
      <c r="U40">
        <f t="shared" si="5"/>
        <v>32490.205431125607</v>
      </c>
    </row>
  </sheetData>
  <mergeCells count="2">
    <mergeCell ref="H3:H9"/>
    <mergeCell ref="K1:M6"/>
  </mergeCells>
  <hyperlinks>
    <hyperlink ref="N15" r:id="rId1" xr:uid="{4177EBA4-E048-4B7F-8658-0966E40F50D8}"/>
    <hyperlink ref="N10" r:id="rId2" xr:uid="{6D601288-0391-49B8-A684-F5C4F4344B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and Calculations</vt:lpstr>
      <vt:lpstr>Sources</vt:lpstr>
      <vt:lpstr>Solenoid Design</vt:lpstr>
      <vt:lpstr>Solenoid Measurements</vt:lpstr>
      <vt:lpstr>resistance</vt:lpstr>
      <vt:lpstr>Power Radiated to 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poole</dc:creator>
  <cp:lastModifiedBy>will poole</cp:lastModifiedBy>
  <dcterms:created xsi:type="dcterms:W3CDTF">2015-06-05T18:17:20Z</dcterms:created>
  <dcterms:modified xsi:type="dcterms:W3CDTF">2023-09-06T02:10:06Z</dcterms:modified>
</cp:coreProperties>
</file>