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9020" windowHeight="7815"/>
  </bookViews>
  <sheets>
    <sheet name="Sheet1" sheetId="1" r:id="rId1"/>
  </sheets>
  <calcPr calcId="125725"/>
</workbook>
</file>

<file path=xl/calcChain.xml><?xml version="1.0" encoding="utf-8"?>
<calcChain xmlns="http://schemas.openxmlformats.org/spreadsheetml/2006/main">
  <c r="J37" i="1"/>
  <c r="J36"/>
  <c r="J31"/>
  <c r="J29"/>
  <c r="J32"/>
  <c r="J34"/>
  <c r="J35"/>
  <c r="J33"/>
  <c r="J30"/>
  <c r="H17"/>
  <c r="G39"/>
  <c r="G55" s="1"/>
  <c r="H33"/>
  <c r="H35"/>
  <c r="E35"/>
  <c r="H32"/>
  <c r="E32"/>
  <c r="E37"/>
  <c r="G57"/>
  <c r="H30"/>
  <c r="E30"/>
  <c r="E34"/>
  <c r="E33"/>
  <c r="H29"/>
  <c r="E29"/>
  <c r="E25"/>
  <c r="H36"/>
  <c r="H37"/>
  <c r="G64"/>
  <c r="J72" s="1"/>
  <c r="G59" l="1"/>
  <c r="G66"/>
  <c r="J80"/>
  <c r="J55" l="1"/>
  <c r="E36"/>
  <c r="J57"/>
  <c r="G47" l="1"/>
  <c r="J50"/>
  <c r="E31"/>
  <c r="H18"/>
  <c r="E18"/>
  <c r="E17"/>
  <c r="H16"/>
  <c r="H15"/>
  <c r="F16"/>
  <c r="E15"/>
  <c r="G20"/>
  <c r="G70" l="1"/>
  <c r="G78"/>
  <c r="G68"/>
  <c r="G76" s="1"/>
  <c r="G72" l="1"/>
  <c r="J68" s="1"/>
  <c r="G80"/>
  <c r="J76" s="1"/>
</calcChain>
</file>

<file path=xl/sharedStrings.xml><?xml version="1.0" encoding="utf-8"?>
<sst xmlns="http://schemas.openxmlformats.org/spreadsheetml/2006/main" count="107" uniqueCount="89">
  <si>
    <t>ENTER DATA FROM LED DATASHEET:</t>
  </si>
  <si>
    <t>LED Model Number:</t>
  </si>
  <si>
    <t>Emission Half-Angle:  ±</t>
  </si>
  <si>
    <r>
      <t xml:space="preserve">Nominal Wavelength, </t>
    </r>
    <r>
      <rPr>
        <sz val="11"/>
        <color theme="1"/>
        <rFont val="Symbol"/>
        <family val="1"/>
        <charset val="2"/>
      </rPr>
      <t>l</t>
    </r>
    <r>
      <rPr>
        <sz val="11"/>
        <color theme="1"/>
        <rFont val="Calibri"/>
        <family val="2"/>
        <scheme val="minor"/>
      </rPr>
      <t>:</t>
    </r>
  </si>
  <si>
    <r>
      <t xml:space="preserve">Max Radiant Intesity, </t>
    </r>
    <r>
      <rPr>
        <i/>
        <sz val="11"/>
        <color theme="1"/>
        <rFont val="Times New Roman"/>
        <family val="1"/>
      </rPr>
      <t>I</t>
    </r>
    <r>
      <rPr>
        <sz val="11"/>
        <color theme="1"/>
        <rFont val="Calibri"/>
        <family val="2"/>
        <scheme val="minor"/>
      </rPr>
      <t>:</t>
    </r>
  </si>
  <si>
    <r>
      <t xml:space="preserve">Forward Current condition for Max Radiant Intensity, </t>
    </r>
    <r>
      <rPr>
        <sz val="11"/>
        <color theme="1"/>
        <rFont val="Times New Roman"/>
        <family val="1"/>
      </rPr>
      <t>I</t>
    </r>
    <r>
      <rPr>
        <vertAlign val="subscript"/>
        <sz val="11"/>
        <color theme="1"/>
        <rFont val="Calibri"/>
        <family val="2"/>
        <scheme val="minor"/>
      </rPr>
      <t>F</t>
    </r>
    <r>
      <rPr>
        <sz val="11"/>
        <color theme="1"/>
        <rFont val="Calibri"/>
        <family val="2"/>
        <scheme val="minor"/>
      </rPr>
      <t>:</t>
    </r>
  </si>
  <si>
    <t xml:space="preserve">Select LED Type: </t>
  </si>
  <si>
    <r>
      <t xml:space="preserve">Max Forward Current, </t>
    </r>
    <r>
      <rPr>
        <sz val="11"/>
        <color theme="1"/>
        <rFont val="Times New Roman"/>
        <family val="1"/>
      </rPr>
      <t>I</t>
    </r>
    <r>
      <rPr>
        <vertAlign val="subscript"/>
        <sz val="11"/>
        <color theme="1"/>
        <rFont val="Calibri"/>
        <family val="2"/>
        <scheme val="minor"/>
      </rPr>
      <t>F,MAX</t>
    </r>
    <r>
      <rPr>
        <sz val="11"/>
        <color theme="1"/>
        <rFont val="Calibri"/>
        <family val="2"/>
        <scheme val="minor"/>
      </rPr>
      <t>:</t>
    </r>
  </si>
  <si>
    <t>nm</t>
  </si>
  <si>
    <t>°</t>
  </si>
  <si>
    <t>mA</t>
  </si>
  <si>
    <t>mm</t>
  </si>
  <si>
    <t>Extended Source Area:</t>
  </si>
  <si>
    <r>
      <t>mm</t>
    </r>
    <r>
      <rPr>
        <vertAlign val="superscript"/>
        <sz val="11"/>
        <color theme="1"/>
        <rFont val="Calibri"/>
        <family val="2"/>
        <scheme val="minor"/>
      </rPr>
      <t>2</t>
    </r>
  </si>
  <si>
    <t>SELECT INTERSIL PROXIMITY DEVICE TYPE:</t>
  </si>
  <si>
    <t>DETERMINE AVERAGE LED EMISSION POWER:</t>
  </si>
  <si>
    <t>ms</t>
  </si>
  <si>
    <t>Rep Rate</t>
  </si>
  <si>
    <t>Pulse Envelope Width</t>
  </si>
  <si>
    <t>Effective Avg Emitted Power:</t>
  </si>
  <si>
    <t>mW</t>
  </si>
  <si>
    <t>VIEWING CONDITION:</t>
  </si>
  <si>
    <t>Fully Dilated Eye Pupil:</t>
  </si>
  <si>
    <t>Distance from LED to EYE:</t>
  </si>
  <si>
    <r>
      <t xml:space="preserve">Angular Subtense of Source, </t>
    </r>
    <r>
      <rPr>
        <sz val="11"/>
        <color theme="1"/>
        <rFont val="Symbol"/>
        <family val="1"/>
        <charset val="2"/>
      </rPr>
      <t>a</t>
    </r>
    <r>
      <rPr>
        <sz val="11"/>
        <color theme="1"/>
        <rFont val="Calibri"/>
        <family val="2"/>
        <scheme val="minor"/>
      </rPr>
      <t>:</t>
    </r>
  </si>
  <si>
    <t>r</t>
  </si>
  <si>
    <r>
      <t xml:space="preserve">BURN HAZARD WEIGHTING FUNCTION, </t>
    </r>
    <r>
      <rPr>
        <sz val="11"/>
        <color theme="1"/>
        <rFont val="Lucida Calligraphy"/>
        <family val="4"/>
      </rPr>
      <t>R</t>
    </r>
    <r>
      <rPr>
        <sz val="11"/>
        <color theme="1"/>
        <rFont val="Calibri"/>
        <family val="2"/>
        <scheme val="minor"/>
      </rPr>
      <t>(</t>
    </r>
    <r>
      <rPr>
        <sz val="11"/>
        <color theme="1"/>
        <rFont val="Symbol"/>
        <family val="1"/>
        <charset val="2"/>
      </rPr>
      <t>l</t>
    </r>
    <r>
      <rPr>
        <sz val="11"/>
        <color theme="1"/>
        <rFont val="Calibri"/>
        <family val="2"/>
        <scheme val="minor"/>
      </rPr>
      <t>):</t>
    </r>
  </si>
  <si>
    <t>CORNEAL EXPOSURE HAZARD:</t>
  </si>
  <si>
    <t>Exposure Time:</t>
  </si>
  <si>
    <t>s</t>
  </si>
  <si>
    <t>Enter Numeric Value</t>
  </si>
  <si>
    <t>Make a Selection</t>
  </si>
  <si>
    <t>Value Outside Range</t>
  </si>
  <si>
    <r>
      <t>Pulse condition for Max Radiant Intensity, t</t>
    </r>
    <r>
      <rPr>
        <vertAlign val="subscript"/>
        <sz val="11"/>
        <color theme="1"/>
        <rFont val="Calibri"/>
        <family val="2"/>
        <scheme val="minor"/>
      </rPr>
      <t>P</t>
    </r>
    <r>
      <rPr>
        <sz val="11"/>
        <color theme="1"/>
        <rFont val="Calibri"/>
        <family val="2"/>
        <scheme val="minor"/>
      </rPr>
      <t>:</t>
    </r>
  </si>
  <si>
    <r>
      <t>W/m</t>
    </r>
    <r>
      <rPr>
        <vertAlign val="superscript"/>
        <sz val="11"/>
        <color theme="1"/>
        <rFont val="Calibri"/>
        <family val="2"/>
        <scheme val="minor"/>
      </rPr>
      <t>2</t>
    </r>
  </si>
  <si>
    <r>
      <t>Corneal Exposure, E</t>
    </r>
    <r>
      <rPr>
        <vertAlign val="subscript"/>
        <sz val="11"/>
        <color theme="1"/>
        <rFont val="Calibri"/>
        <family val="2"/>
        <scheme val="minor"/>
      </rPr>
      <t>e</t>
    </r>
    <r>
      <rPr>
        <sz val="11"/>
        <color theme="1"/>
        <rFont val="Calibri"/>
        <family val="2"/>
        <scheme val="minor"/>
      </rPr>
      <t>:</t>
    </r>
  </si>
  <si>
    <t>IRDR Current</t>
  </si>
  <si>
    <r>
      <t xml:space="preserve">720 &lt; </t>
    </r>
    <r>
      <rPr>
        <sz val="11"/>
        <color theme="1"/>
        <rFont val="Symbol"/>
        <family val="1"/>
        <charset val="2"/>
      </rPr>
      <t xml:space="preserve">l </t>
    </r>
    <r>
      <rPr>
        <sz val="11"/>
        <color theme="1"/>
        <rFont val="Calibri"/>
        <family val="2"/>
        <scheme val="minor"/>
      </rPr>
      <t>&lt; 1050</t>
    </r>
  </si>
  <si>
    <r>
      <t xml:space="preserve">0 &lt; </t>
    </r>
    <r>
      <rPr>
        <sz val="11"/>
        <color theme="1"/>
        <rFont val="Symbol"/>
        <family val="1"/>
        <charset val="2"/>
      </rPr>
      <t>q</t>
    </r>
    <r>
      <rPr>
        <sz val="11"/>
        <color theme="1"/>
        <rFont val="Calibri"/>
        <family val="2"/>
        <scheme val="minor"/>
      </rPr>
      <t>/2 &lt; 90</t>
    </r>
  </si>
  <si>
    <t>RETINAL THERMAL HAZARD:</t>
  </si>
  <si>
    <r>
      <t xml:space="preserve">Burn Hazard Weighted Radiance, </t>
    </r>
    <r>
      <rPr>
        <i/>
        <sz val="11"/>
        <color theme="1"/>
        <rFont val="Calibri"/>
        <family val="2"/>
        <scheme val="minor"/>
      </rPr>
      <t>L</t>
    </r>
    <r>
      <rPr>
        <vertAlign val="subscript"/>
        <sz val="11"/>
        <color theme="1"/>
        <rFont val="Calibri"/>
        <family val="2"/>
        <scheme val="minor"/>
      </rPr>
      <t>R</t>
    </r>
    <r>
      <rPr>
        <sz val="11"/>
        <color theme="1"/>
        <rFont val="Calibri"/>
        <family val="2"/>
        <scheme val="minor"/>
      </rPr>
      <t>:</t>
    </r>
  </si>
  <si>
    <r>
      <t>Burn Hazard Weighted Radiance Limit</t>
    </r>
    <r>
      <rPr>
        <sz val="11"/>
        <color theme="1"/>
        <rFont val="Calibri"/>
        <family val="2"/>
        <scheme val="minor"/>
      </rPr>
      <t>:</t>
    </r>
  </si>
  <si>
    <t>Retinal Thermal Hazard Limit:</t>
  </si>
  <si>
    <r>
      <t xml:space="preserve">Near Infrared Radiance, </t>
    </r>
    <r>
      <rPr>
        <i/>
        <sz val="11"/>
        <color theme="1"/>
        <rFont val="Calibri"/>
        <family val="2"/>
        <scheme val="minor"/>
      </rPr>
      <t>L</t>
    </r>
    <r>
      <rPr>
        <vertAlign val="subscript"/>
        <sz val="11"/>
        <color theme="1"/>
        <rFont val="Calibri"/>
        <family val="2"/>
        <scheme val="minor"/>
      </rPr>
      <t>IR</t>
    </r>
    <r>
      <rPr>
        <sz val="11"/>
        <color theme="1"/>
        <rFont val="Calibri"/>
        <family val="2"/>
        <scheme val="minor"/>
      </rPr>
      <t>:</t>
    </r>
  </si>
  <si>
    <r>
      <t>Safety Factor, Limit/L</t>
    </r>
    <r>
      <rPr>
        <vertAlign val="subscript"/>
        <sz val="11"/>
        <color theme="1"/>
        <rFont val="Calibri"/>
        <family val="2"/>
        <scheme val="minor"/>
      </rPr>
      <t>R</t>
    </r>
    <r>
      <rPr>
        <sz val="11"/>
        <color theme="1"/>
        <rFont val="Calibri"/>
        <family val="2"/>
        <scheme val="minor"/>
      </rPr>
      <t>:</t>
    </r>
  </si>
  <si>
    <r>
      <t>Safety Factor, Limit/L</t>
    </r>
    <r>
      <rPr>
        <vertAlign val="subscript"/>
        <sz val="11"/>
        <color theme="1"/>
        <rFont val="Calibri"/>
        <family val="2"/>
        <scheme val="minor"/>
      </rPr>
      <t>IR</t>
    </r>
    <r>
      <rPr>
        <sz val="11"/>
        <color theme="1"/>
        <rFont val="Calibri"/>
        <family val="2"/>
        <scheme val="minor"/>
      </rPr>
      <t>:</t>
    </r>
  </si>
  <si>
    <t>Modulation Frequency</t>
  </si>
  <si>
    <t>ISL29011-Series:</t>
  </si>
  <si>
    <t>ISL29028-Series:</t>
  </si>
  <si>
    <t>ISL29011</t>
  </si>
  <si>
    <t>ISL29015</t>
  </si>
  <si>
    <t>ISL29018</t>
  </si>
  <si>
    <t>ISL29021</t>
  </si>
  <si>
    <t>ISL29020</t>
  </si>
  <si>
    <t>ISL29028</t>
  </si>
  <si>
    <t>ISL29026</t>
  </si>
  <si>
    <t>ISL29027</t>
  </si>
  <si>
    <t>ISL29028A</t>
  </si>
  <si>
    <t>ISL29029</t>
  </si>
  <si>
    <t>ISL29030</t>
  </si>
  <si>
    <t>ISL29032</t>
  </si>
  <si>
    <t>ISL29040</t>
  </si>
  <si>
    <t>ISL29042</t>
  </si>
  <si>
    <t>ISL29038</t>
  </si>
  <si>
    <t>IR-LED EYE-SAFETY CALCULATOR</t>
  </si>
  <si>
    <t>Calculator Created by Allen M. Earman, May 2011</t>
  </si>
  <si>
    <t>Range:</t>
  </si>
  <si>
    <t>Ref: IEC62471, Table 4.2</t>
  </si>
  <si>
    <t>Ref: IEC62471, Eqn. 4.11</t>
  </si>
  <si>
    <t>Ref: IEC62471 Table 5.5</t>
  </si>
  <si>
    <t>Ref: IEC 62471 Eqn 4.9</t>
  </si>
  <si>
    <t>Ref: IEC 62471 Eqn 4.10</t>
  </si>
  <si>
    <t>Ref: IEC62471: Hazard Values reported 
for 200mm Source-Eye separation</t>
  </si>
  <si>
    <r>
      <t xml:space="preserve">780 &lt; </t>
    </r>
    <r>
      <rPr>
        <sz val="11"/>
        <color theme="1"/>
        <rFont val="Symbol"/>
        <family val="1"/>
        <charset val="2"/>
      </rPr>
      <t>l</t>
    </r>
    <r>
      <rPr>
        <sz val="11"/>
        <color theme="1"/>
        <rFont val="Calibri"/>
        <family val="2"/>
        <scheme val="minor"/>
      </rPr>
      <t xml:space="preserve"> &lt; 3000 nm</t>
    </r>
  </si>
  <si>
    <r>
      <t xml:space="preserve">380 &lt; </t>
    </r>
    <r>
      <rPr>
        <sz val="11"/>
        <color theme="1"/>
        <rFont val="Symbol"/>
        <family val="1"/>
        <charset val="2"/>
      </rPr>
      <t>l</t>
    </r>
    <r>
      <rPr>
        <sz val="11"/>
        <color theme="1"/>
        <rFont val="Calibri"/>
        <family val="2"/>
        <scheme val="minor"/>
      </rPr>
      <t xml:space="preserve"> &lt;1400 nm</t>
    </r>
  </si>
  <si>
    <r>
      <t xml:space="preserve">Retinal Thermal Hazard - Weak Visual Stimulus:   </t>
    </r>
    <r>
      <rPr>
        <sz val="11"/>
        <color theme="1"/>
        <rFont val="Calibri"/>
        <family val="2"/>
        <scheme val="minor"/>
      </rPr>
      <t xml:space="preserve">780 &lt; </t>
    </r>
    <r>
      <rPr>
        <sz val="11"/>
        <color theme="1"/>
        <rFont val="Symbol"/>
        <family val="1"/>
        <charset val="2"/>
      </rPr>
      <t>l</t>
    </r>
    <r>
      <rPr>
        <sz val="11"/>
        <color theme="1"/>
        <rFont val="Calibri"/>
        <family val="2"/>
        <scheme val="minor"/>
      </rPr>
      <t xml:space="preserve"> &lt;1400 nm</t>
    </r>
  </si>
  <si>
    <t>mW/sr</t>
  </si>
  <si>
    <r>
      <t>W/m</t>
    </r>
    <r>
      <rPr>
        <vertAlign val="superscript"/>
        <sz val="11"/>
        <color theme="1"/>
        <rFont val="Calibri"/>
        <family val="2"/>
        <scheme val="minor"/>
      </rPr>
      <t>2</t>
    </r>
    <r>
      <rPr>
        <sz val="11"/>
        <color theme="1"/>
        <rFont val="Calibri"/>
        <family val="2"/>
        <scheme val="minor"/>
      </rPr>
      <t>/Sr</t>
    </r>
  </si>
  <si>
    <r>
      <t>Exposure Limit, E</t>
    </r>
    <r>
      <rPr>
        <vertAlign val="subscript"/>
        <sz val="11"/>
        <color theme="1"/>
        <rFont val="Calibri"/>
        <family val="2"/>
        <scheme val="minor"/>
      </rPr>
      <t>IR</t>
    </r>
    <r>
      <rPr>
        <sz val="11"/>
        <color theme="1"/>
        <rFont val="Calibri"/>
        <family val="2"/>
        <scheme val="minor"/>
      </rPr>
      <t>:</t>
    </r>
  </si>
  <si>
    <r>
      <t>Safety Factor, E</t>
    </r>
    <r>
      <rPr>
        <vertAlign val="subscript"/>
        <sz val="11"/>
        <color theme="1"/>
        <rFont val="Calibri"/>
        <family val="2"/>
        <scheme val="minor"/>
      </rPr>
      <t>IR</t>
    </r>
    <r>
      <rPr>
        <sz val="11"/>
        <color theme="1"/>
        <rFont val="Calibri"/>
        <family val="2"/>
        <scheme val="minor"/>
      </rPr>
      <t>/E</t>
    </r>
    <r>
      <rPr>
        <vertAlign val="subscript"/>
        <sz val="11"/>
        <color theme="1"/>
        <rFont val="Calibri"/>
        <family val="2"/>
        <scheme val="minor"/>
      </rPr>
      <t>e</t>
    </r>
    <r>
      <rPr>
        <sz val="11"/>
        <color theme="1"/>
        <rFont val="Calibri"/>
        <family val="2"/>
        <scheme val="minor"/>
      </rPr>
      <t>:</t>
    </r>
  </si>
  <si>
    <r>
      <t xml:space="preserve">Angular Subtense on Retina, </t>
    </r>
    <r>
      <rPr>
        <sz val="11"/>
        <color theme="1"/>
        <rFont val="Symbol"/>
        <family val="1"/>
        <charset val="2"/>
      </rPr>
      <t>a</t>
    </r>
    <r>
      <rPr>
        <vertAlign val="subscript"/>
        <sz val="11"/>
        <color theme="1"/>
        <rFont val="Calibri"/>
        <family val="2"/>
        <scheme val="minor"/>
      </rPr>
      <t>eff</t>
    </r>
    <r>
      <rPr>
        <sz val="11"/>
        <color theme="1"/>
        <rFont val="Calibri"/>
        <family val="2"/>
        <scheme val="minor"/>
      </rPr>
      <t>:</t>
    </r>
  </si>
  <si>
    <t>ALS/Prox Family</t>
  </si>
  <si>
    <t>Proximity Device Type</t>
  </si>
  <si>
    <t>ISL29043</t>
  </si>
  <si>
    <t>ISL29038-Series:</t>
  </si>
  <si>
    <t>ISL29039</t>
  </si>
  <si>
    <t>Sleep Time</t>
  </si>
  <si>
    <t>LED Type</t>
  </si>
  <si>
    <t>Use this Calculator to determine Eye-Safety Exposure Limits when using IR-LEDs with Intersil Proximity Products.  The designer is encouraged to obtain a copy of IEC International Standard 62471: Photobiological Safety of Lamps and Lamp Systems (including LED devices).  Calculations are referenced to the appropriate sections of the IEC Standard.  This Calculator covers ONLY potential hazards  related to the use of IR-LEDs for Proximity Sensing applications using Intersil Proximity Sensor products.  Use of this Calculator outside these limitations may produce incorrect results.  When using a tinted cover glass in the optical system, multiply the specified IR-LED Max Radiant Intensity by the Percent Transmission of the cover glass at the IR-LED Nominal Wavelength and enter this value for the Max Radiant Intensity in the Calculator. Please see Intersil Applications Note, AN1737 for detailed Instructions and Examples.</t>
  </si>
</sst>
</file>

<file path=xl/styles.xml><?xml version="1.0" encoding="utf-8"?>
<styleSheet xmlns="http://schemas.openxmlformats.org/spreadsheetml/2006/main">
  <numFmts count="3">
    <numFmt numFmtId="164" formatCode="0.000000"/>
    <numFmt numFmtId="165" formatCode="0.000"/>
    <numFmt numFmtId="166" formatCode="0.0000"/>
  </numFmts>
  <fonts count="15">
    <font>
      <sz val="11"/>
      <color theme="1"/>
      <name val="Calibri"/>
      <family val="2"/>
      <scheme val="minor"/>
    </font>
    <font>
      <b/>
      <sz val="11"/>
      <color theme="1"/>
      <name val="Calibri"/>
      <family val="2"/>
      <scheme val="minor"/>
    </font>
    <font>
      <sz val="11"/>
      <color theme="1"/>
      <name val="Symbol"/>
      <family val="1"/>
      <charset val="2"/>
    </font>
    <font>
      <sz val="11"/>
      <color theme="1"/>
      <name val="Times New Roman"/>
      <family val="1"/>
    </font>
    <font>
      <i/>
      <sz val="11"/>
      <color theme="1"/>
      <name val="Times New Roman"/>
      <family val="1"/>
    </font>
    <font>
      <vertAlign val="subscript"/>
      <sz val="11"/>
      <color theme="1"/>
      <name val="Calibri"/>
      <family val="2"/>
      <scheme val="minor"/>
    </font>
    <font>
      <vertAlign val="superscript"/>
      <sz val="11"/>
      <color theme="1"/>
      <name val="Calibri"/>
      <family val="2"/>
      <scheme val="minor"/>
    </font>
    <font>
      <sz val="11"/>
      <color theme="1"/>
      <name val="Lucida Calligraphy"/>
      <family val="4"/>
    </font>
    <font>
      <sz val="11"/>
      <color rgb="FFFF0000"/>
      <name val="Calibri"/>
      <family val="2"/>
      <scheme val="minor"/>
    </font>
    <font>
      <sz val="11"/>
      <name val="Calibri"/>
      <family val="2"/>
      <scheme val="minor"/>
    </font>
    <font>
      <i/>
      <sz val="11"/>
      <color theme="1"/>
      <name val="Calibri"/>
      <family val="2"/>
      <scheme val="minor"/>
    </font>
    <font>
      <u/>
      <sz val="11"/>
      <color theme="1"/>
      <name val="Calibri"/>
      <family val="2"/>
      <scheme val="minor"/>
    </font>
    <font>
      <u/>
      <sz val="11"/>
      <name val="Calibri"/>
      <family val="2"/>
      <scheme val="minor"/>
    </font>
    <font>
      <b/>
      <sz val="24"/>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64">
    <xf numFmtId="0" fontId="0" fillId="0" borderId="0" xfId="0"/>
    <xf numFmtId="0" fontId="0" fillId="0" borderId="0" xfId="0" applyAlignment="1">
      <alignment horizontal="righ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0" xfId="0" applyBorder="1" applyAlignment="1">
      <alignment horizontal="right"/>
    </xf>
    <xf numFmtId="0" fontId="0" fillId="0" borderId="7" xfId="0" applyBorder="1"/>
    <xf numFmtId="0" fontId="0" fillId="0" borderId="8" xfId="0" applyBorder="1"/>
    <xf numFmtId="0" fontId="0" fillId="0" borderId="2" xfId="0" applyBorder="1" applyAlignment="1">
      <alignment horizontal="right"/>
    </xf>
    <xf numFmtId="0" fontId="0" fillId="0" borderId="9" xfId="0" applyBorder="1"/>
    <xf numFmtId="0" fontId="0" fillId="2" borderId="1" xfId="0" applyFill="1" applyBorder="1" applyProtection="1">
      <protection locked="0"/>
    </xf>
    <xf numFmtId="0" fontId="1" fillId="0" borderId="2" xfId="0" applyFont="1" applyBorder="1"/>
    <xf numFmtId="0" fontId="0" fillId="4" borderId="1" xfId="0" applyFill="1" applyBorder="1" applyProtection="1">
      <protection locked="0"/>
    </xf>
    <xf numFmtId="0" fontId="0" fillId="0" borderId="0" xfId="0" applyBorder="1" applyAlignment="1">
      <alignment horizontal="left"/>
    </xf>
    <xf numFmtId="164" fontId="1" fillId="0" borderId="2" xfId="0" applyNumberFormat="1" applyFont="1" applyFill="1" applyBorder="1"/>
    <xf numFmtId="0" fontId="0" fillId="2" borderId="1" xfId="0" applyFill="1" applyBorder="1"/>
    <xf numFmtId="0" fontId="0" fillId="4" borderId="1" xfId="0" applyFill="1" applyBorder="1"/>
    <xf numFmtId="0" fontId="0" fillId="3" borderId="1" xfId="0" applyFill="1" applyBorder="1"/>
    <xf numFmtId="0" fontId="1" fillId="0" borderId="0" xfId="0" applyFont="1" applyBorder="1"/>
    <xf numFmtId="165" fontId="1" fillId="0" borderId="2" xfId="0" applyNumberFormat="1" applyFont="1" applyBorder="1"/>
    <xf numFmtId="165" fontId="1" fillId="0" borderId="0" xfId="0" applyNumberFormat="1" applyFont="1" applyBorder="1"/>
    <xf numFmtId="165" fontId="1" fillId="0" borderId="10" xfId="0" applyNumberFormat="1" applyFont="1" applyBorder="1"/>
    <xf numFmtId="0" fontId="0" fillId="0" borderId="6" xfId="0" applyBorder="1" applyAlignment="1">
      <alignment horizontal="right"/>
    </xf>
    <xf numFmtId="2" fontId="1" fillId="0" borderId="2" xfId="0" applyNumberFormat="1" applyFont="1" applyBorder="1"/>
    <xf numFmtId="2" fontId="1" fillId="0" borderId="0" xfId="0" applyNumberFormat="1" applyFont="1" applyBorder="1" applyAlignment="1">
      <alignment horizontal="center"/>
    </xf>
    <xf numFmtId="0" fontId="0" fillId="0" borderId="0" xfId="0" applyFill="1" applyBorder="1" applyProtection="1"/>
    <xf numFmtId="0" fontId="0" fillId="0" borderId="0" xfId="0" quotePrefix="1" applyBorder="1"/>
    <xf numFmtId="0" fontId="0" fillId="0" borderId="0" xfId="0" applyBorder="1" applyAlignment="1">
      <alignment horizontal="center"/>
    </xf>
    <xf numFmtId="166" fontId="1" fillId="0" borderId="2" xfId="0" applyNumberFormat="1" applyFont="1" applyBorder="1"/>
    <xf numFmtId="2" fontId="1" fillId="0" borderId="0" xfId="0" applyNumberFormat="1" applyFont="1" applyFill="1" applyBorder="1" applyProtection="1"/>
    <xf numFmtId="2" fontId="1" fillId="0" borderId="2" xfId="0" applyNumberFormat="1" applyFont="1" applyFill="1" applyBorder="1" applyProtection="1"/>
    <xf numFmtId="166" fontId="1" fillId="0" borderId="0" xfId="0" applyNumberFormat="1" applyFont="1" applyBorder="1"/>
    <xf numFmtId="2" fontId="1" fillId="0" borderId="2" xfId="0" applyNumberFormat="1" applyFont="1" applyFill="1" applyBorder="1" applyAlignment="1" applyProtection="1">
      <alignment horizontal="right"/>
    </xf>
    <xf numFmtId="2" fontId="1" fillId="0" borderId="0" xfId="0" applyNumberFormat="1" applyFont="1" applyFill="1" applyBorder="1" applyAlignment="1" applyProtection="1">
      <alignment horizontal="right"/>
    </xf>
    <xf numFmtId="0" fontId="1" fillId="0" borderId="0" xfId="0" applyFont="1" applyBorder="1" applyAlignment="1">
      <alignment horizontal="center"/>
    </xf>
    <xf numFmtId="2" fontId="1" fillId="0" borderId="2" xfId="0" applyNumberFormat="1" applyFont="1" applyBorder="1" applyAlignment="1">
      <alignment horizontal="right"/>
    </xf>
    <xf numFmtId="0" fontId="0" fillId="4" borderId="1" xfId="0" applyFill="1" applyBorder="1" applyAlignment="1" applyProtection="1">
      <alignment horizontal="center"/>
      <protection locked="0"/>
    </xf>
    <xf numFmtId="0" fontId="12" fillId="0" borderId="3" xfId="0" applyFont="1" applyBorder="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8" fillId="0" borderId="0" xfId="0" applyFont="1" applyBorder="1"/>
    <xf numFmtId="0" fontId="13" fillId="0" borderId="0" xfId="0" applyFont="1"/>
    <xf numFmtId="165" fontId="1" fillId="0" borderId="0" xfId="0" applyNumberFormat="1" applyFont="1" applyBorder="1" applyAlignment="1">
      <alignment horizontal="right"/>
    </xf>
    <xf numFmtId="0" fontId="11" fillId="0" borderId="0" xfId="0" applyFont="1" applyBorder="1" applyAlignment="1">
      <alignment horizontal="center"/>
    </xf>
    <xf numFmtId="0" fontId="0" fillId="0" borderId="0" xfId="0" quotePrefix="1" applyAlignment="1">
      <alignment horizontal="center"/>
    </xf>
    <xf numFmtId="0" fontId="9" fillId="0" borderId="6" xfId="0" applyFont="1" applyBorder="1" applyAlignment="1">
      <alignment horizontal="left"/>
    </xf>
    <xf numFmtId="0" fontId="9" fillId="0" borderId="8" xfId="0" applyFont="1" applyBorder="1" applyAlignment="1">
      <alignment horizontal="left"/>
    </xf>
    <xf numFmtId="0" fontId="0" fillId="4" borderId="1" xfId="0" applyNumberFormat="1" applyFill="1" applyBorder="1" applyAlignment="1" applyProtection="1">
      <protection locked="0"/>
    </xf>
    <xf numFmtId="0" fontId="0" fillId="4" borderId="1" xfId="0" applyFill="1" applyBorder="1" applyAlignment="1" applyProtection="1">
      <protection locked="0"/>
    </xf>
    <xf numFmtId="0" fontId="12" fillId="0" borderId="0" xfId="0" applyFont="1" applyFill="1" applyBorder="1"/>
    <xf numFmtId="0" fontId="9" fillId="0" borderId="0" xfId="0" applyFont="1" applyFill="1" applyBorder="1"/>
    <xf numFmtId="0" fontId="9" fillId="0" borderId="0" xfId="0" applyFont="1" applyFill="1" applyBorder="1" applyAlignment="1">
      <alignment horizontal="left"/>
    </xf>
    <xf numFmtId="0" fontId="14" fillId="0" borderId="0" xfId="0" applyFont="1" applyAlignment="1">
      <alignment horizontal="left" wrapText="1"/>
    </xf>
    <xf numFmtId="0" fontId="0" fillId="0" borderId="0" xfId="0" applyAlignment="1">
      <alignment horizontal="left"/>
    </xf>
    <xf numFmtId="0" fontId="0" fillId="0" borderId="6" xfId="0" applyBorder="1" applyAlignment="1">
      <alignment horizontal="center" wrapText="1"/>
    </xf>
    <xf numFmtId="0" fontId="0" fillId="0" borderId="0" xfId="0" applyAlignment="1">
      <alignment horizontal="center"/>
    </xf>
    <xf numFmtId="0" fontId="0" fillId="0" borderId="6" xfId="0" applyBorder="1" applyAlignment="1">
      <alignment horizontal="center"/>
    </xf>
    <xf numFmtId="0" fontId="7" fillId="0" borderId="0" xfId="0" applyFont="1" applyAlignment="1">
      <alignment horizontal="center"/>
    </xf>
  </cellXfs>
  <cellStyles count="1">
    <cellStyle name="Normal" xfId="0" builtinId="0"/>
  </cellStyles>
  <dxfs count="45">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bgColor theme="4" tint="0.79998168889431442"/>
        </patternFill>
      </fill>
    </dxf>
    <dxf>
      <font>
        <color auto="1"/>
      </font>
      <fill>
        <patternFill>
          <bgColor rgb="FFFFFF00"/>
        </patternFill>
      </fill>
    </dxf>
    <dxf>
      <fill>
        <patternFill>
          <bgColor theme="4" tint="0.79998168889431442"/>
        </patternFill>
      </fill>
    </dxf>
    <dxf>
      <font>
        <color auto="1"/>
      </font>
      <fill>
        <patternFill>
          <bgColor rgb="FFFFFF00"/>
        </patternFill>
      </fill>
    </dxf>
    <dxf>
      <fill>
        <patternFill>
          <bgColor theme="4" tint="0.79998168889431442"/>
        </patternFill>
      </fill>
    </dxf>
    <dxf>
      <fill>
        <patternFill>
          <bgColor rgb="FFFFFF00"/>
        </patternFill>
      </fill>
    </dxf>
    <dxf>
      <font>
        <color theme="0"/>
      </font>
      <fill>
        <patternFill patternType="none">
          <bgColor auto="1"/>
        </patternFill>
      </fill>
      <border>
        <left/>
        <right/>
        <top/>
        <bottom/>
        <vertical/>
        <horizontal/>
      </border>
    </dxf>
    <dxf>
      <font>
        <color theme="0"/>
      </font>
      <numFmt numFmtId="0" formatCode="General"/>
      <fill>
        <patternFill patternType="none">
          <bgColor auto="1"/>
        </patternFill>
      </fill>
      <border>
        <left/>
        <right/>
        <top/>
        <bottom/>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ill>
        <patternFill>
          <bgColor rgb="FFFF0000"/>
        </patternFill>
      </fill>
    </dxf>
    <dxf>
      <fill>
        <patternFill>
          <bgColor rgb="FFFF0000"/>
        </patternFill>
      </fill>
    </dxf>
    <dxf>
      <fill>
        <patternFill>
          <bgColor rgb="FFFF0000"/>
        </patternFill>
      </fill>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ill>
        <patternFill>
          <bgColor theme="4" tint="0.79998168889431442"/>
        </patternFill>
      </fill>
    </dxf>
    <dxf>
      <fill>
        <patternFill>
          <bgColor rgb="FFFFFF00"/>
        </patternFill>
      </fill>
    </dxf>
    <dxf>
      <font>
        <color theme="0"/>
      </font>
      <fill>
        <patternFill patternType="solid">
          <bgColor theme="0"/>
        </patternFill>
      </fill>
      <border>
        <left/>
        <right/>
        <top/>
        <bottom/>
        <vertical/>
        <horizontal/>
      </border>
    </dxf>
    <dxf>
      <fill>
        <patternFill>
          <bgColor theme="4" tint="0.79998168889431442"/>
        </patternFill>
      </fill>
    </dxf>
    <dxf>
      <fill>
        <patternFill>
          <bgColor rgb="FFFFFF00"/>
        </patternFill>
      </fill>
    </dxf>
    <dxf>
      <font>
        <color theme="0"/>
      </font>
      <fill>
        <patternFill patternType="solid">
          <bgColor theme="0"/>
        </patternFill>
      </fill>
      <border>
        <left/>
        <right/>
        <top/>
        <bottom/>
        <vertical/>
        <horizontal/>
      </border>
    </dxf>
    <dxf>
      <font>
        <color theme="0"/>
      </font>
      <fill>
        <patternFill patternType="solid">
          <bgColor theme="0"/>
        </patternFill>
      </fill>
      <border>
        <left/>
        <right/>
        <top/>
        <bottom/>
        <vertical/>
        <horizontal/>
      </border>
    </dxf>
    <dxf>
      <fill>
        <patternFill>
          <bgColor rgb="FFFFFF00"/>
        </patternFill>
      </fill>
    </dxf>
    <dxf>
      <fill>
        <patternFill>
          <bgColor theme="4" tint="0.79998168889431442"/>
        </patternFill>
      </fill>
    </dxf>
    <dxf>
      <fill>
        <patternFill>
          <bgColor rgb="FFFFFF00"/>
        </patternFill>
      </fill>
    </dxf>
    <dxf>
      <font>
        <color auto="1"/>
      </font>
      <fill>
        <patternFill>
          <bgColor theme="4" tint="0.79998168889431442"/>
        </patternFill>
      </fill>
    </dxf>
    <dxf>
      <fill>
        <patternFill>
          <bgColor rgb="FFFFFF00"/>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52889</xdr:rowOff>
    </xdr:from>
    <xdr:to>
      <xdr:col>4</xdr:col>
      <xdr:colOff>152400</xdr:colOff>
      <xdr:row>1</xdr:row>
      <xdr:rowOff>45134</xdr:rowOff>
    </xdr:to>
    <xdr:pic>
      <xdr:nvPicPr>
        <xdr:cNvPr id="2" name="Picture 1" descr="Intersil_color_logo.png"/>
        <xdr:cNvPicPr>
          <a:picLocks noChangeAspect="1"/>
        </xdr:cNvPicPr>
      </xdr:nvPicPr>
      <xdr:blipFill>
        <a:blip xmlns:r="http://schemas.openxmlformats.org/officeDocument/2006/relationships" r:embed="rId1" cstate="print"/>
        <a:stretch>
          <a:fillRect/>
        </a:stretch>
      </xdr:blipFill>
      <xdr:spPr>
        <a:xfrm>
          <a:off x="209550" y="52889"/>
          <a:ext cx="1895475" cy="4208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81"/>
  <sheetViews>
    <sheetView showGridLines="0" showRowColHeaders="0" tabSelected="1" workbookViewId="0">
      <selection activeCell="G6" sqref="G6"/>
    </sheetView>
  </sheetViews>
  <sheetFormatPr defaultRowHeight="15"/>
  <cols>
    <col min="1" max="1" width="5.28515625" customWidth="1"/>
    <col min="2" max="2" width="5" customWidth="1"/>
    <col min="4" max="4" width="9.85546875" customWidth="1"/>
    <col min="5" max="5" width="10.42578125" customWidth="1"/>
    <col min="6" max="6" width="1.7109375" customWidth="1"/>
    <col min="7" max="7" width="24" customWidth="1"/>
    <col min="8" max="8" width="6" customWidth="1"/>
    <col min="9" max="9" width="2.7109375" customWidth="1"/>
    <col min="10" max="10" width="13.28515625" customWidth="1"/>
    <col min="11" max="11" width="4.28515625" customWidth="1"/>
    <col min="12" max="12" width="3.42578125" customWidth="1"/>
    <col min="13" max="13" width="6" customWidth="1"/>
    <col min="15" max="15" width="0.85546875" customWidth="1"/>
    <col min="18" max="18" width="1.140625" customWidth="1"/>
  </cols>
  <sheetData>
    <row r="1" spans="1:20" ht="33.75" customHeight="1">
      <c r="G1" s="47" t="s">
        <v>64</v>
      </c>
    </row>
    <row r="2" spans="1:20" ht="9" customHeight="1"/>
    <row r="3" spans="1:20" ht="69.75" customHeight="1">
      <c r="C3" s="58" t="s">
        <v>88</v>
      </c>
      <c r="D3" s="58"/>
      <c r="E3" s="58"/>
      <c r="F3" s="58"/>
      <c r="G3" s="58"/>
      <c r="H3" s="58"/>
      <c r="I3" s="58"/>
      <c r="J3" s="58"/>
      <c r="K3" s="58"/>
      <c r="L3" s="58"/>
      <c r="M3" s="58"/>
      <c r="N3" s="58"/>
      <c r="O3" s="58"/>
      <c r="P3" s="58"/>
      <c r="Q3" s="58"/>
    </row>
    <row r="4" spans="1:20" ht="18" thickBot="1">
      <c r="A4" t="s">
        <v>0</v>
      </c>
      <c r="G4" s="63" t="s">
        <v>65</v>
      </c>
      <c r="H4" s="63"/>
      <c r="I4" s="63"/>
      <c r="J4" s="63"/>
      <c r="K4" s="63"/>
      <c r="L4" s="63"/>
      <c r="M4" s="63"/>
    </row>
    <row r="5" spans="1:20" ht="6.75" customHeight="1" thickBot="1">
      <c r="C5" s="3"/>
      <c r="D5" s="4"/>
      <c r="E5" s="4"/>
      <c r="F5" s="4"/>
      <c r="G5" s="4"/>
      <c r="H5" s="4"/>
      <c r="I5" s="4"/>
      <c r="J5" s="4"/>
      <c r="K5" s="5"/>
    </row>
    <row r="6" spans="1:20" ht="15.75" thickBot="1">
      <c r="C6" s="6"/>
      <c r="D6" s="7"/>
      <c r="E6" s="8" t="s">
        <v>1</v>
      </c>
      <c r="F6" s="8"/>
      <c r="G6" s="13"/>
      <c r="H6" s="7"/>
      <c r="I6" s="7"/>
      <c r="J6" s="49" t="s">
        <v>66</v>
      </c>
      <c r="K6" s="9"/>
      <c r="M6" s="18"/>
      <c r="N6" t="s">
        <v>30</v>
      </c>
    </row>
    <row r="7" spans="1:20" ht="15.75" thickBot="1">
      <c r="C7" s="6"/>
      <c r="D7" s="7"/>
      <c r="E7" s="8" t="s">
        <v>3</v>
      </c>
      <c r="F7" s="8"/>
      <c r="G7" s="13"/>
      <c r="H7" s="7" t="s">
        <v>8</v>
      </c>
      <c r="I7" s="7"/>
      <c r="J7" s="29" t="s">
        <v>37</v>
      </c>
      <c r="K7" s="9" t="s">
        <v>8</v>
      </c>
      <c r="M7" s="19"/>
      <c r="N7" t="s">
        <v>31</v>
      </c>
    </row>
    <row r="8" spans="1:20" ht="15.75" thickBot="1">
      <c r="C8" s="6"/>
      <c r="D8" s="7"/>
      <c r="E8" s="8" t="s">
        <v>2</v>
      </c>
      <c r="F8" s="8"/>
      <c r="G8" s="13"/>
      <c r="H8" s="7" t="s">
        <v>9</v>
      </c>
      <c r="I8" s="7"/>
      <c r="J8" s="30" t="s">
        <v>38</v>
      </c>
      <c r="K8" s="9" t="s">
        <v>9</v>
      </c>
      <c r="M8" s="20"/>
      <c r="N8" t="s">
        <v>32</v>
      </c>
    </row>
    <row r="9" spans="1:20" ht="15.75" thickBot="1">
      <c r="C9" s="6"/>
      <c r="D9" s="7"/>
      <c r="E9" s="8" t="s">
        <v>4</v>
      </c>
      <c r="F9" s="8"/>
      <c r="G9" s="13"/>
      <c r="H9" s="7" t="s">
        <v>76</v>
      </c>
      <c r="I9" s="7"/>
      <c r="J9" s="7"/>
      <c r="K9" s="9"/>
    </row>
    <row r="10" spans="1:20" ht="18.75" thickBot="1">
      <c r="C10" s="6"/>
      <c r="D10" s="7"/>
      <c r="E10" s="7"/>
      <c r="F10" s="7"/>
      <c r="G10" s="7"/>
      <c r="H10" s="8" t="s">
        <v>5</v>
      </c>
      <c r="I10" s="8"/>
      <c r="J10" s="13"/>
      <c r="K10" s="9" t="s">
        <v>10</v>
      </c>
      <c r="M10" s="40" t="s">
        <v>47</v>
      </c>
      <c r="N10" s="41"/>
      <c r="P10" s="40" t="s">
        <v>48</v>
      </c>
      <c r="Q10" s="41"/>
      <c r="S10" s="40" t="s">
        <v>84</v>
      </c>
      <c r="T10" s="41"/>
    </row>
    <row r="11" spans="1:20" ht="18.75" thickBot="1">
      <c r="C11" s="6"/>
      <c r="D11" s="7"/>
      <c r="E11" s="7"/>
      <c r="F11" s="7"/>
      <c r="H11" s="8" t="s">
        <v>33</v>
      </c>
      <c r="I11" s="8"/>
      <c r="J11" s="13"/>
      <c r="K11" s="9" t="s">
        <v>16</v>
      </c>
      <c r="M11" s="42" t="s">
        <v>49</v>
      </c>
      <c r="N11" s="43"/>
      <c r="P11" s="51" t="s">
        <v>54</v>
      </c>
      <c r="Q11" s="43"/>
      <c r="S11" s="51" t="s">
        <v>63</v>
      </c>
      <c r="T11" s="43"/>
    </row>
    <row r="12" spans="1:20" ht="18.75" thickBot="1">
      <c r="C12" s="6"/>
      <c r="D12" s="7"/>
      <c r="E12" s="8" t="s">
        <v>7</v>
      </c>
      <c r="F12" s="7"/>
      <c r="G12" s="13"/>
      <c r="H12" s="7" t="s">
        <v>10</v>
      </c>
      <c r="I12" s="7"/>
      <c r="J12" s="7"/>
      <c r="K12" s="9"/>
      <c r="M12" s="42" t="s">
        <v>50</v>
      </c>
      <c r="N12" s="43"/>
      <c r="P12" s="51" t="s">
        <v>55</v>
      </c>
      <c r="Q12" s="43"/>
      <c r="S12" s="52" t="s">
        <v>85</v>
      </c>
      <c r="T12" s="45"/>
    </row>
    <row r="13" spans="1:20" ht="15.75" thickBot="1">
      <c r="C13" s="6"/>
      <c r="D13" s="7"/>
      <c r="E13" s="8" t="s">
        <v>6</v>
      </c>
      <c r="F13" s="7"/>
      <c r="G13" s="15" t="s">
        <v>87</v>
      </c>
      <c r="H13" s="7"/>
      <c r="I13" s="7"/>
      <c r="J13" s="7"/>
      <c r="K13" s="9"/>
      <c r="M13" s="42" t="s">
        <v>51</v>
      </c>
      <c r="N13" s="43"/>
      <c r="P13" s="51" t="s">
        <v>56</v>
      </c>
      <c r="Q13" s="43"/>
    </row>
    <row r="14" spans="1:20" ht="15.75" thickBot="1">
      <c r="C14" s="6"/>
      <c r="D14" s="7"/>
      <c r="E14" s="7"/>
      <c r="F14" s="7"/>
      <c r="G14" s="7"/>
      <c r="H14" s="7"/>
      <c r="I14" s="7"/>
      <c r="J14" s="7"/>
      <c r="K14" s="9"/>
      <c r="M14" s="42" t="s">
        <v>52</v>
      </c>
      <c r="N14" s="43"/>
      <c r="P14" s="51" t="s">
        <v>57</v>
      </c>
      <c r="Q14" s="43"/>
    </row>
    <row r="15" spans="1:20" ht="15.75" thickBot="1">
      <c r="C15" s="6"/>
      <c r="D15" s="7"/>
      <c r="E15" s="8" t="str">
        <f>IF($G$13="Bare Die","Enter Die Dimensions:","  ")</f>
        <v xml:space="preserve">  </v>
      </c>
      <c r="F15" s="7"/>
      <c r="G15" s="13"/>
      <c r="H15" s="8" t="str">
        <f>IF($G$13="Bare Die","mm","  ")</f>
        <v xml:space="preserve">  </v>
      </c>
      <c r="I15" s="7"/>
      <c r="J15" s="7"/>
      <c r="K15" s="9"/>
      <c r="M15" s="42" t="s">
        <v>53</v>
      </c>
      <c r="N15" s="43"/>
      <c r="P15" s="51" t="s">
        <v>58</v>
      </c>
      <c r="Q15" s="43"/>
    </row>
    <row r="16" spans="1:20" ht="15.75" thickBot="1">
      <c r="C16" s="6"/>
      <c r="D16" s="7"/>
      <c r="E16" s="7"/>
      <c r="F16" s="8" t="str">
        <f>IF($G$13="Bare Die","X","  ")</f>
        <v xml:space="preserve">  </v>
      </c>
      <c r="G16" s="13"/>
      <c r="H16" s="8" t="str">
        <f>IF($G$13="Bare Die","mm","  ")</f>
        <v xml:space="preserve">  </v>
      </c>
      <c r="I16" s="7"/>
      <c r="J16" s="7"/>
      <c r="K16" s="9"/>
      <c r="M16" s="42"/>
      <c r="N16" s="43"/>
      <c r="P16" s="51" t="s">
        <v>59</v>
      </c>
      <c r="Q16" s="43"/>
    </row>
    <row r="17" spans="1:17" ht="15.75" thickBot="1">
      <c r="C17" s="6"/>
      <c r="D17" s="7"/>
      <c r="E17" s="8" t="str">
        <f>IF($G$13="Lensed","Enter Lens Diameter:","  ")</f>
        <v xml:space="preserve">  </v>
      </c>
      <c r="F17" s="7"/>
      <c r="G17" s="13"/>
      <c r="H17" s="8" t="str">
        <f>IF($G$13="Lensed","mm","  ")</f>
        <v xml:space="preserve">  </v>
      </c>
      <c r="I17" s="7"/>
      <c r="J17" s="7"/>
      <c r="K17" s="9"/>
      <c r="M17" s="42"/>
      <c r="N17" s="43"/>
      <c r="P17" s="51" t="s">
        <v>60</v>
      </c>
      <c r="Q17" s="43"/>
    </row>
    <row r="18" spans="1:17" ht="15.75" thickBot="1">
      <c r="C18" s="6"/>
      <c r="D18" s="7"/>
      <c r="E18" s="8" t="str">
        <f>IF($G$13="Parabolic Reflector","Enter Reflector Diameter:","  ")</f>
        <v xml:space="preserve">  </v>
      </c>
      <c r="F18" s="7"/>
      <c r="G18" s="13"/>
      <c r="H18" s="16" t="str">
        <f>IF($G$13="Parabolic Reflector","mm","  ")</f>
        <v xml:space="preserve">  </v>
      </c>
      <c r="I18" s="7"/>
      <c r="J18" s="7"/>
      <c r="K18" s="9"/>
      <c r="M18" s="42"/>
      <c r="N18" s="43"/>
      <c r="P18" s="51" t="s">
        <v>61</v>
      </c>
      <c r="Q18" s="43"/>
    </row>
    <row r="19" spans="1:17">
      <c r="C19" s="6"/>
      <c r="D19" s="7"/>
      <c r="E19" s="7"/>
      <c r="F19" s="7"/>
      <c r="G19" s="7"/>
      <c r="H19" s="7"/>
      <c r="I19" s="7"/>
      <c r="J19" s="7"/>
      <c r="K19" s="9"/>
      <c r="M19" s="42"/>
      <c r="N19" s="43"/>
      <c r="P19" s="51" t="s">
        <v>62</v>
      </c>
      <c r="Q19" s="43"/>
    </row>
    <row r="20" spans="1:17" ht="18" thickBot="1">
      <c r="C20" s="6"/>
      <c r="D20" s="7"/>
      <c r="E20" s="8" t="s">
        <v>12</v>
      </c>
      <c r="F20" s="7"/>
      <c r="G20" s="22" t="str">
        <f>IF($G$13="Bare Die",$G$15*$G$16,IF($G$13="Lensed",PI()*($G$17/2)^2,IF($G$13="Parabolic Reflector",PI()*($G$18/2)^2,"  ")))</f>
        <v xml:space="preserve">  </v>
      </c>
      <c r="H20" s="7" t="s">
        <v>13</v>
      </c>
      <c r="I20" s="7"/>
      <c r="J20" s="7"/>
      <c r="K20" s="9"/>
      <c r="M20" s="44"/>
      <c r="N20" s="45"/>
      <c r="P20" s="52" t="s">
        <v>83</v>
      </c>
      <c r="Q20" s="45"/>
    </row>
    <row r="21" spans="1:17" ht="6.75" customHeight="1" thickBot="1">
      <c r="C21" s="10"/>
      <c r="D21" s="2"/>
      <c r="E21" s="11"/>
      <c r="F21" s="2"/>
      <c r="G21" s="2"/>
      <c r="H21" s="2"/>
      <c r="I21" s="2"/>
      <c r="J21" s="2"/>
      <c r="K21" s="12"/>
    </row>
    <row r="22" spans="1:17" ht="6" customHeight="1" thickBot="1">
      <c r="C22" s="7"/>
      <c r="D22" s="7"/>
      <c r="E22" s="7"/>
      <c r="F22" s="7"/>
      <c r="G22" s="7"/>
      <c r="H22" s="7"/>
      <c r="I22" s="7"/>
      <c r="J22" s="7"/>
      <c r="K22" s="7"/>
    </row>
    <row r="23" spans="1:17" ht="15.75" thickBot="1">
      <c r="A23" t="s">
        <v>14</v>
      </c>
      <c r="G23" s="15" t="s">
        <v>82</v>
      </c>
    </row>
    <row r="24" spans="1:17" ht="4.5" customHeight="1" thickBot="1"/>
    <row r="25" spans="1:17" ht="16.5" customHeight="1" thickBot="1">
      <c r="E25" s="1" t="str">
        <f>IF($G$23="Standard Proximity Sensor","Select ALS/Prox Sensor Family:","  ")</f>
        <v xml:space="preserve">  </v>
      </c>
      <c r="G25" s="15" t="s">
        <v>81</v>
      </c>
    </row>
    <row r="26" spans="1:17" ht="6.75" customHeight="1">
      <c r="E26" s="1"/>
    </row>
    <row r="27" spans="1:17" ht="15.75" thickBot="1">
      <c r="A27" t="s">
        <v>15</v>
      </c>
    </row>
    <row r="28" spans="1:17" ht="6.75" customHeight="1" thickBot="1">
      <c r="C28" s="3"/>
      <c r="D28" s="4"/>
      <c r="E28" s="4"/>
      <c r="F28" s="4"/>
      <c r="G28" s="4"/>
      <c r="H28" s="4"/>
      <c r="I28" s="5"/>
    </row>
    <row r="29" spans="1:17" ht="15.75" thickBot="1">
      <c r="C29" s="6"/>
      <c r="D29" s="7"/>
      <c r="E29" s="8" t="str">
        <f>IF($G$25="ISL29028-Series","Select Prox Sleep Time:","  ")</f>
        <v xml:space="preserve">  </v>
      </c>
      <c r="F29" s="7"/>
      <c r="G29" s="15" t="s">
        <v>86</v>
      </c>
      <c r="H29" s="16" t="str">
        <f>IF($G$25="ISL29028-Series","ms","  ")</f>
        <v xml:space="preserve">  </v>
      </c>
      <c r="I29" s="9"/>
      <c r="J29" s="16" t="str">
        <f>IF($G$25&lt;&gt;"ISL29028-Series",IF($G$29&lt;&gt;"Sleep Time","PLEASE RESET SLEEP TIME BEFORE SELECTING ANOTHER SERIES","  "),"  ")</f>
        <v xml:space="preserve">  </v>
      </c>
      <c r="P29" s="55"/>
      <c r="Q29" s="56"/>
    </row>
    <row r="30" spans="1:17" ht="15.75" thickBot="1">
      <c r="C30" s="6"/>
      <c r="D30" s="7"/>
      <c r="E30" s="8" t="str">
        <f>IF($G$25="ISL29011-Series","Select IRDR Current:","  ")</f>
        <v xml:space="preserve">  </v>
      </c>
      <c r="F30" s="7"/>
      <c r="G30" s="15" t="s">
        <v>36</v>
      </c>
      <c r="H30" s="16" t="str">
        <f>IF($G$25="ISL29011-Series","mA","  ")</f>
        <v xml:space="preserve">  </v>
      </c>
      <c r="I30" s="9"/>
      <c r="J30" s="16" t="str">
        <f>IF($G$25&lt;&gt;"ISL29011-Series",IF($G$30&lt;&gt;"IRDR Current","PLEASE RESET IRDR CURRENT BEFORE SELECTING ANOTHER SERIES","  "),"  ")</f>
        <v xml:space="preserve">  </v>
      </c>
      <c r="P30" s="57"/>
      <c r="Q30" s="56"/>
    </row>
    <row r="31" spans="1:17" ht="15.75" thickBot="1">
      <c r="C31" s="6"/>
      <c r="D31" s="7"/>
      <c r="E31" s="8" t="str">
        <f>IF($G$23="Long Range Prox Sensor","Select Rep Rate:","  ")</f>
        <v xml:space="preserve">  </v>
      </c>
      <c r="F31" s="7"/>
      <c r="G31" s="39" t="s">
        <v>17</v>
      </c>
      <c r="I31" s="9"/>
      <c r="J31" s="16" t="str">
        <f>IF($G$23&lt;&gt;"Long Range Prox Sensor",IF($G$31&lt;&gt;"Rep Rate","PLEASE RESET REP RATE BEFORE SELECTING ANOTHER SERIES","  "),"  ")</f>
        <v xml:space="preserve">  </v>
      </c>
      <c r="P31" s="57"/>
      <c r="Q31" s="56"/>
    </row>
    <row r="32" spans="1:17" ht="15.75" thickBot="1">
      <c r="C32" s="6"/>
      <c r="D32" s="7"/>
      <c r="E32" s="8" t="str">
        <f>IF($G$25="ISL29038-Series","Select Prox Sleep Time:","  ")</f>
        <v xml:space="preserve">  </v>
      </c>
      <c r="F32" s="7"/>
      <c r="G32" s="53" t="s">
        <v>86</v>
      </c>
      <c r="H32" s="16" t="str">
        <f>IF($G$25="ISL29038-Series","ms","  ")</f>
        <v xml:space="preserve">  </v>
      </c>
      <c r="I32" s="9"/>
      <c r="J32" s="16" t="str">
        <f>IF($G$25&lt;&gt;"ISL29038-Series",IF($G$32&lt;&gt;"Sleep Time","PLEASE RESET SLEEP TIME BEFORE SELECTING ANOTHER SERIES","  "),"  ")</f>
        <v xml:space="preserve">  </v>
      </c>
      <c r="P32" s="57"/>
      <c r="Q32" s="56"/>
    </row>
    <row r="33" spans="1:15" ht="15.75" thickBot="1">
      <c r="C33" s="6"/>
      <c r="D33" s="7"/>
      <c r="E33" s="8" t="str">
        <f>IF($G$25="ISL29028-Series","Select IRDR Current:","  ")</f>
        <v xml:space="preserve">  </v>
      </c>
      <c r="F33" s="7"/>
      <c r="G33" s="15" t="s">
        <v>36</v>
      </c>
      <c r="H33" s="16" t="str">
        <f>IF($G$25="ISL29028-Series","mA","  ")</f>
        <v xml:space="preserve">  </v>
      </c>
      <c r="I33" s="9"/>
      <c r="J33" s="16" t="str">
        <f>IF($G$25&lt;&gt;"ISL29028-Series",IF($G$33&lt;&gt;"IRDR Current","PLEASE RESET IRDR CURRENT BEFORE SELECTING ANOTHER SERIES","  "),"  ")</f>
        <v xml:space="preserve">  </v>
      </c>
    </row>
    <row r="34" spans="1:15" ht="15.75" thickBot="1">
      <c r="C34" s="6"/>
      <c r="D34" s="7"/>
      <c r="E34" s="8" t="str">
        <f>IF($G$25="ISL29011-Series","Select Modulation Frequency:","  ")</f>
        <v xml:space="preserve">  </v>
      </c>
      <c r="F34" s="7"/>
      <c r="G34" s="39" t="s">
        <v>46</v>
      </c>
      <c r="H34" s="16"/>
      <c r="I34" s="9"/>
      <c r="J34" s="16" t="str">
        <f>IF($G$25&lt;&gt;"ISL29011-Series",IF($G$34&lt;&gt;"Modulation Frequency","PLEASE RESET MODULATION FREQ BEFORE SELECTING ANOTHER SERIES","  "),"  ")</f>
        <v xml:space="preserve">  </v>
      </c>
    </row>
    <row r="35" spans="1:15" ht="15.75" thickBot="1">
      <c r="C35" s="6"/>
      <c r="D35" s="7"/>
      <c r="E35" s="8" t="str">
        <f>IF($G$25="ISL29038-Series","Select IRDR Current:","  ")</f>
        <v xml:space="preserve">  </v>
      </c>
      <c r="F35" s="7"/>
      <c r="G35" s="54" t="s">
        <v>36</v>
      </c>
      <c r="H35" s="16" t="str">
        <f>IF($G$25="ISL29038-Series","mA","  ")</f>
        <v xml:space="preserve">  </v>
      </c>
      <c r="I35" s="9"/>
      <c r="J35" s="16" t="str">
        <f>IF($G$25&lt;&gt;"ISL29038-Series",IF($G$35&lt;&gt;"IRDR Current","PLEASE RESET IRDR CURRENT BEFORE SELECTING ANOTHER SERIES","  "),"  ")</f>
        <v xml:space="preserve">  </v>
      </c>
    </row>
    <row r="36" spans="1:15" ht="15.75" thickBot="1">
      <c r="C36" s="6"/>
      <c r="D36" s="7"/>
      <c r="E36" s="8" t="str">
        <f>IF($G$23="Long Range Prox Sensor",IF($G$31="4 Hz","Select Pulse Envelope Time:","  "),"  ")</f>
        <v xml:space="preserve">  </v>
      </c>
      <c r="F36" s="7"/>
      <c r="G36" s="15" t="s">
        <v>18</v>
      </c>
      <c r="H36" s="16" t="str">
        <f>IF($G$23="Long Range Prox Sensor",IF($G$31="4 Hz","ms","  "),"  ")</f>
        <v xml:space="preserve">  </v>
      </c>
      <c r="I36" s="9"/>
      <c r="J36" s="16" t="str">
        <f>IF($G$23&lt;&gt;"Long Range Prox Sensor",IF($G$36&lt;&gt;"Pulse Envelope Width","PLEASE RESET PULSE WIDTH BEFORE SELECTING ANOTHER SERIES","  "),"  ")</f>
        <v xml:space="preserve">  </v>
      </c>
    </row>
    <row r="37" spans="1:15" ht="15.75" thickBot="1">
      <c r="C37" s="6"/>
      <c r="D37" s="7"/>
      <c r="E37" s="8" t="str">
        <f>IF($G$23="Long Range Prox Sensor",IF($G$31="128 Hz","Select Pulse Envelope Time:","  "),"  ")</f>
        <v xml:space="preserve">  </v>
      </c>
      <c r="F37" s="7"/>
      <c r="G37" s="15" t="s">
        <v>18</v>
      </c>
      <c r="H37" s="16" t="str">
        <f>IF($G$23="Long Range Prox Sensor",IF($G$31="128 Hz","μs","  "),"  ")</f>
        <v xml:space="preserve">  </v>
      </c>
      <c r="I37" s="9"/>
      <c r="J37" s="16" t="str">
        <f>IF($G$23&lt;&gt;"Long Range Prox Sensor",IF($G$37&lt;&gt;"Pulse Envelope Width","PLEASE RESET PULSE WIDTH BEFORE SELECTING ANOTHER SERIES","  "),"  ")</f>
        <v xml:space="preserve">  </v>
      </c>
    </row>
    <row r="38" spans="1:15" ht="9.75" customHeight="1">
      <c r="C38" s="6"/>
      <c r="D38" s="7"/>
      <c r="E38" s="7"/>
      <c r="F38" s="7"/>
      <c r="G38" s="7"/>
      <c r="H38" s="7"/>
      <c r="I38" s="9"/>
    </row>
    <row r="39" spans="1:15" ht="15.75" thickBot="1">
      <c r="C39" s="6"/>
      <c r="D39" s="7"/>
      <c r="E39" s="8" t="s">
        <v>19</v>
      </c>
      <c r="F39" s="7"/>
      <c r="G39" s="14" t="str">
        <f>IF($G$23&lt;&gt;"Proximity Device Type",IF($G$23="Standard Proximity Sensor",IF($G$25="ISL29028-Series",IF($G$33&lt;&gt;"IRDR Current",($G$33/$J$10)*$G$9*(0.1/($G$29+0.54)),"  "),IF($G$25="ISL29011-Series",IF($G$34="DC",0.5*$G$30/$J$10*$G$9,IF($G$34="360 Hz",0.25*$G$30/$J$10*$G$9,"  ")),IF($G$25="ISL29038-Series",IF($G$35&lt;&gt;"IRDR Current",($G$35/$J$10)*$G$9*(0.1/($G$32+0.54)),"  "),"  "))),IF($G$23="Long Range Prox Sensor",IF($G$31="4 Hz",IF($G$36&lt;&gt;"Pulse Envelope Width",$G$9*(0.5*$G$36/250),"  "),IF($G$31="128 Hz",IF($G$37&lt;&gt;"Pulse Envelope Width",$G$9*0.5*$G$37/7812.5,"  "),"  ")))),"  ")</f>
        <v xml:space="preserve">  </v>
      </c>
      <c r="H39" s="7" t="s">
        <v>20</v>
      </c>
      <c r="I39" s="9"/>
      <c r="J39" s="7"/>
    </row>
    <row r="40" spans="1:15" ht="7.5" customHeight="1" thickBot="1">
      <c r="C40" s="10"/>
      <c r="D40" s="2"/>
      <c r="E40" s="2"/>
      <c r="F40" s="2"/>
      <c r="G40" s="2"/>
      <c r="H40" s="2"/>
      <c r="I40" s="12"/>
    </row>
    <row r="41" spans="1:15" ht="7.5" customHeight="1"/>
    <row r="42" spans="1:15" ht="15.75" thickBot="1">
      <c r="A42" t="s">
        <v>21</v>
      </c>
    </row>
    <row r="43" spans="1:15" ht="7.5" customHeight="1">
      <c r="C43" s="3"/>
      <c r="D43" s="4"/>
      <c r="E43" s="4"/>
      <c r="F43" s="4"/>
      <c r="G43" s="4"/>
      <c r="H43" s="4"/>
      <c r="I43" s="5"/>
    </row>
    <row r="44" spans="1:15" ht="15.75" thickBot="1">
      <c r="C44" s="6"/>
      <c r="D44" s="7"/>
      <c r="E44" s="8" t="s">
        <v>22</v>
      </c>
      <c r="F44" s="7"/>
      <c r="G44" s="30">
        <v>7</v>
      </c>
      <c r="H44" s="7" t="s">
        <v>11</v>
      </c>
      <c r="I44" s="9"/>
      <c r="J44" s="60" t="s">
        <v>72</v>
      </c>
      <c r="K44" s="61"/>
      <c r="L44" s="61"/>
      <c r="M44" s="61"/>
      <c r="N44" s="61"/>
      <c r="O44" s="61"/>
    </row>
    <row r="45" spans="1:15" ht="15.75" thickBot="1">
      <c r="C45" s="6"/>
      <c r="D45" s="7"/>
      <c r="E45" s="8" t="s">
        <v>23</v>
      </c>
      <c r="F45" s="7"/>
      <c r="G45" s="13"/>
      <c r="H45" s="7" t="s">
        <v>11</v>
      </c>
      <c r="I45" s="9"/>
      <c r="J45" s="62"/>
      <c r="K45" s="61"/>
      <c r="L45" s="61"/>
      <c r="M45" s="61"/>
      <c r="N45" s="61"/>
      <c r="O45" s="61"/>
    </row>
    <row r="46" spans="1:15" ht="6" customHeight="1">
      <c r="C46" s="6"/>
      <c r="D46" s="7"/>
      <c r="E46" s="8"/>
      <c r="F46" s="7"/>
      <c r="G46" s="7"/>
      <c r="H46" s="7"/>
      <c r="I46" s="9"/>
    </row>
    <row r="47" spans="1:15" ht="15.75" thickBot="1">
      <c r="C47" s="6"/>
      <c r="D47" s="7"/>
      <c r="E47" s="8" t="s">
        <v>24</v>
      </c>
      <c r="F47" s="7"/>
      <c r="G47" s="22" t="str">
        <f>IF($G$45&lt;&gt;0,IF($G$13="Bare Die",(($G$15+$G$16)/2)/$G$45,IF($G$13="Lensed",$G$17/$G$45,IF($G$13="Parabolic Reflector",$G$18/$G$45,"  "))),"  ")</f>
        <v xml:space="preserve">  </v>
      </c>
      <c r="H47" s="7" t="s">
        <v>25</v>
      </c>
      <c r="I47" s="9"/>
    </row>
    <row r="48" spans="1:15" ht="6" customHeight="1" thickBot="1">
      <c r="C48" s="10"/>
      <c r="D48" s="2"/>
      <c r="E48" s="2"/>
      <c r="F48" s="2"/>
      <c r="G48" s="2"/>
      <c r="H48" s="2"/>
      <c r="I48" s="12"/>
    </row>
    <row r="49" spans="2:16" ht="6.75" customHeight="1"/>
    <row r="50" spans="2:16" ht="18" thickBot="1">
      <c r="H50" s="1" t="s">
        <v>26</v>
      </c>
      <c r="J50" s="17" t="str">
        <f>IF($G$13="LED Type","  ",10^((700-$G$7)/500))</f>
        <v xml:space="preserve">  </v>
      </c>
      <c r="L50" s="59" t="s">
        <v>67</v>
      </c>
      <c r="M50" s="59"/>
      <c r="N50" s="59"/>
      <c r="O50" s="59"/>
      <c r="P50" s="59"/>
    </row>
    <row r="51" spans="2:16" ht="6.75" customHeight="1"/>
    <row r="52" spans="2:16" ht="15.75" thickBot="1">
      <c r="C52" t="s">
        <v>27</v>
      </c>
      <c r="G52" s="50" t="s">
        <v>73</v>
      </c>
      <c r="P52" s="7"/>
    </row>
    <row r="53" spans="2:16" ht="5.25" customHeight="1" thickBot="1">
      <c r="D53" s="3"/>
      <c r="E53" s="4"/>
      <c r="F53" s="4"/>
      <c r="G53" s="4"/>
      <c r="H53" s="4"/>
      <c r="I53" s="4"/>
      <c r="J53" s="4"/>
      <c r="K53" s="5"/>
    </row>
    <row r="54" spans="2:16" ht="15.75" thickBot="1">
      <c r="D54" s="6"/>
      <c r="E54" s="8" t="s">
        <v>28</v>
      </c>
      <c r="F54" s="7"/>
      <c r="G54" s="13"/>
      <c r="H54" s="7" t="s">
        <v>29</v>
      </c>
      <c r="I54" s="7"/>
      <c r="J54" s="7"/>
      <c r="K54" s="9"/>
    </row>
    <row r="55" spans="2:16" ht="19.5" thickBot="1">
      <c r="D55" s="6"/>
      <c r="E55" s="8" t="s">
        <v>35</v>
      </c>
      <c r="F55" s="7"/>
      <c r="G55" s="24" t="str">
        <f>IF($G$39&lt;&gt;"  ",IF($G$54&lt;&gt;0,$G$39/(($G$45)^2)*1000,"  "),"  ")</f>
        <v xml:space="preserve">  </v>
      </c>
      <c r="H55" s="7" t="s">
        <v>34</v>
      </c>
      <c r="I55" s="7"/>
      <c r="J55" s="46" t="str">
        <f>IF($G$59&lt;1,"FAILS EYE SAFETY","  ")</f>
        <v xml:space="preserve">  </v>
      </c>
      <c r="K55" s="9"/>
      <c r="M55" s="59" t="s">
        <v>68</v>
      </c>
      <c r="N55" s="59"/>
      <c r="O55" s="59"/>
      <c r="P55" s="59"/>
    </row>
    <row r="56" spans="2:16" ht="9" customHeight="1">
      <c r="D56" s="6"/>
      <c r="E56" s="8"/>
      <c r="F56" s="7"/>
      <c r="G56" s="23"/>
      <c r="H56" s="7"/>
      <c r="I56" s="7"/>
      <c r="J56" s="7"/>
      <c r="K56" s="9"/>
    </row>
    <row r="57" spans="2:16" ht="19.5" thickBot="1">
      <c r="D57" s="6"/>
      <c r="E57" s="25" t="s">
        <v>78</v>
      </c>
      <c r="F57" s="7"/>
      <c r="G57" s="26" t="str">
        <f>IF($G$54&lt;&gt;0,IF($G$54&lt;=1000,18000*$G$54^-0.75,100),"  ")</f>
        <v xml:space="preserve">  </v>
      </c>
      <c r="H57" s="7" t="s">
        <v>34</v>
      </c>
      <c r="I57" s="7"/>
      <c r="J57" s="27" t="str">
        <f>IF($G$54&lt;&gt;0,IF($G$54&lt;=1000,"t&lt;1000s","t&gt;1000s"),"  ")</f>
        <v xml:space="preserve">  </v>
      </c>
      <c r="K57" s="9"/>
      <c r="M57" s="59" t="s">
        <v>68</v>
      </c>
      <c r="N57" s="59"/>
      <c r="O57" s="59"/>
      <c r="P57" s="59"/>
    </row>
    <row r="58" spans="2:16" ht="7.5" customHeight="1">
      <c r="D58" s="6"/>
      <c r="E58" s="8"/>
      <c r="F58" s="7"/>
      <c r="G58" s="21"/>
      <c r="H58" s="7"/>
      <c r="I58" s="7"/>
      <c r="J58" s="7"/>
      <c r="K58" s="9"/>
    </row>
    <row r="59" spans="2:16" ht="18.75" thickBot="1">
      <c r="D59" s="6"/>
      <c r="E59" s="8" t="s">
        <v>79</v>
      </c>
      <c r="F59" s="7"/>
      <c r="G59" s="26" t="str">
        <f>IF($G$54&lt;&gt;0,IF($G$55&lt;&gt;"  ",$G$57/$G$55,"  "),"  ")</f>
        <v xml:space="preserve">  </v>
      </c>
      <c r="H59" s="7"/>
      <c r="I59" s="7"/>
      <c r="K59" s="9"/>
    </row>
    <row r="60" spans="2:16" ht="6" customHeight="1" thickBot="1">
      <c r="D60" s="10"/>
      <c r="E60" s="2"/>
      <c r="F60" s="2"/>
      <c r="G60" s="2"/>
      <c r="H60" s="2"/>
      <c r="I60" s="2"/>
      <c r="J60" s="2"/>
      <c r="K60" s="12"/>
    </row>
    <row r="61" spans="2:16" ht="6" customHeight="1"/>
    <row r="62" spans="2:16" ht="15.75" thickBot="1">
      <c r="C62" t="s">
        <v>39</v>
      </c>
      <c r="G62" s="50" t="s">
        <v>74</v>
      </c>
    </row>
    <row r="63" spans="2:16" ht="6.75" customHeight="1">
      <c r="B63" s="3"/>
      <c r="C63" s="4"/>
      <c r="D63" s="4"/>
      <c r="E63" s="4"/>
      <c r="F63" s="4"/>
      <c r="G63" s="4"/>
      <c r="H63" s="4"/>
      <c r="I63" s="4"/>
      <c r="J63" s="4"/>
      <c r="K63" s="5"/>
    </row>
    <row r="64" spans="2:16">
      <c r="B64" s="6"/>
      <c r="C64" s="7"/>
      <c r="D64" s="7"/>
      <c r="E64" s="8" t="s">
        <v>28</v>
      </c>
      <c r="F64" s="7"/>
      <c r="G64" s="28">
        <f>$G$54</f>
        <v>0</v>
      </c>
      <c r="H64" s="7" t="s">
        <v>29</v>
      </c>
      <c r="I64" s="7"/>
      <c r="J64" s="7"/>
      <c r="K64" s="9"/>
    </row>
    <row r="65" spans="2:16" ht="6" customHeight="1">
      <c r="B65" s="6"/>
      <c r="C65" s="7"/>
      <c r="D65" s="7"/>
      <c r="E65" s="8"/>
      <c r="F65" s="7"/>
      <c r="G65" s="28"/>
      <c r="H65" s="7"/>
      <c r="I65" s="7"/>
      <c r="J65" s="7"/>
      <c r="K65" s="9"/>
    </row>
    <row r="66" spans="2:16" ht="18.75" thickBot="1">
      <c r="B66" s="6"/>
      <c r="C66" s="7"/>
      <c r="D66" s="7"/>
      <c r="E66" s="8" t="s">
        <v>80</v>
      </c>
      <c r="F66" s="7"/>
      <c r="G66" s="31" t="str">
        <f>IF($G$64&lt;&gt;0,IF($G$64&lt;0.25,0.0017,IF($G$64&lt;10,0.011*SQRT($G$64/10),0.011)),"  ")</f>
        <v xml:space="preserve">  </v>
      </c>
      <c r="H66" s="7" t="s">
        <v>25</v>
      </c>
      <c r="I66" s="7"/>
      <c r="K66" s="9"/>
      <c r="M66" s="59" t="s">
        <v>69</v>
      </c>
      <c r="N66" s="59"/>
      <c r="O66" s="59"/>
      <c r="P66" s="59"/>
    </row>
    <row r="67" spans="2:16" ht="6.75" customHeight="1">
      <c r="B67" s="6"/>
      <c r="C67" s="7"/>
      <c r="D67" s="7"/>
      <c r="E67" s="8"/>
      <c r="F67" s="7"/>
      <c r="G67" s="34"/>
      <c r="H67" s="7"/>
      <c r="I67" s="7"/>
      <c r="J67" s="7"/>
      <c r="K67" s="9"/>
    </row>
    <row r="68" spans="2:16" ht="19.5" thickBot="1">
      <c r="B68" s="6"/>
      <c r="C68" s="7"/>
      <c r="D68" s="7"/>
      <c r="E68" s="8" t="s">
        <v>40</v>
      </c>
      <c r="F68" s="7"/>
      <c r="G68" s="22" t="str">
        <f>IF($G$39&lt;&gt;"  ",$G$39/$G$20*1000*$J$50,"  ")</f>
        <v xml:space="preserve">  </v>
      </c>
      <c r="H68" s="7" t="s">
        <v>77</v>
      </c>
      <c r="I68" s="7"/>
      <c r="J68" s="46" t="str">
        <f>IF($G$72&lt;1,"FAILS EYE SAFETY","  ")</f>
        <v xml:space="preserve">  </v>
      </c>
      <c r="K68" s="9"/>
      <c r="M68" s="59" t="s">
        <v>70</v>
      </c>
      <c r="N68" s="59"/>
      <c r="O68" s="59"/>
      <c r="P68" s="59"/>
    </row>
    <row r="69" spans="2:16" ht="8.25" customHeight="1">
      <c r="B69" s="6"/>
      <c r="C69" s="7"/>
      <c r="D69" s="7"/>
      <c r="E69" s="8"/>
      <c r="F69" s="7"/>
      <c r="G69" s="23"/>
      <c r="H69" s="7"/>
      <c r="I69" s="7"/>
      <c r="J69" s="7"/>
      <c r="K69" s="9"/>
    </row>
    <row r="70" spans="2:16" ht="18" thickBot="1">
      <c r="B70" s="6"/>
      <c r="C70" s="7"/>
      <c r="D70" s="7"/>
      <c r="E70" s="8" t="s">
        <v>41</v>
      </c>
      <c r="F70" s="7"/>
      <c r="G70" s="33" t="str">
        <f>IF($G$47&lt;&gt;"  ",IF($G$64&lt;&gt;0,50000/(IF(($G$47&lt;0.1),$G$47,$G$66)*($G$64^0.25)),"  "),"  ")</f>
        <v xml:space="preserve">  </v>
      </c>
      <c r="H70" s="7" t="s">
        <v>77</v>
      </c>
      <c r="I70" s="7"/>
      <c r="J70" s="7"/>
      <c r="K70" s="9"/>
      <c r="M70" s="59" t="s">
        <v>70</v>
      </c>
      <c r="N70" s="59"/>
      <c r="O70" s="59"/>
      <c r="P70" s="59"/>
    </row>
    <row r="71" spans="2:16" ht="5.25" customHeight="1">
      <c r="B71" s="6"/>
      <c r="C71" s="7"/>
      <c r="D71" s="7"/>
      <c r="E71" s="8"/>
      <c r="F71" s="7"/>
      <c r="G71" s="32"/>
      <c r="H71" s="7"/>
      <c r="I71" s="7"/>
      <c r="J71" s="7"/>
      <c r="K71" s="9"/>
    </row>
    <row r="72" spans="2:16" ht="18.75" thickBot="1">
      <c r="B72" s="6"/>
      <c r="C72" s="7"/>
      <c r="D72" s="7"/>
      <c r="E72" s="8" t="s">
        <v>44</v>
      </c>
      <c r="F72" s="7"/>
      <c r="G72" s="26" t="str">
        <f>IF($G$68&lt;&gt;"  ",IF($G$64&lt;&gt;0,$G$70/$G$68,"  "),"  ")</f>
        <v xml:space="preserve">  </v>
      </c>
      <c r="H72" s="7"/>
      <c r="I72" s="7"/>
      <c r="J72" s="21" t="str">
        <f>IF($G$64&gt;0.00001,IF($G$64&lt;=10,"10 μs ≤ t ≤ 10 s","  "),"  ")</f>
        <v xml:space="preserve">  </v>
      </c>
      <c r="K72" s="9"/>
    </row>
    <row r="73" spans="2:16" ht="9.75" customHeight="1">
      <c r="B73" s="6"/>
      <c r="C73" s="7"/>
      <c r="D73" s="7"/>
      <c r="E73" s="7"/>
      <c r="F73" s="7"/>
      <c r="G73" s="7"/>
      <c r="H73" s="7"/>
      <c r="I73" s="7"/>
      <c r="J73" s="7"/>
      <c r="K73" s="9"/>
    </row>
    <row r="74" spans="2:16">
      <c r="B74" s="6"/>
      <c r="C74" s="21" t="s">
        <v>75</v>
      </c>
      <c r="D74" s="7"/>
      <c r="E74" s="7"/>
      <c r="F74" s="7"/>
      <c r="G74" s="7"/>
      <c r="H74" s="7"/>
      <c r="I74" s="7"/>
      <c r="K74" s="9"/>
    </row>
    <row r="75" spans="2:16" ht="4.5" customHeight="1">
      <c r="B75" s="6"/>
      <c r="C75" s="7"/>
      <c r="D75" s="7"/>
      <c r="E75" s="7"/>
      <c r="F75" s="7"/>
      <c r="G75" s="7"/>
      <c r="H75" s="7"/>
      <c r="I75" s="7"/>
      <c r="J75" s="7"/>
      <c r="K75" s="9"/>
    </row>
    <row r="76" spans="2:16" ht="18.75">
      <c r="B76" s="6"/>
      <c r="C76" s="7"/>
      <c r="D76" s="7"/>
      <c r="E76" s="8" t="s">
        <v>43</v>
      </c>
      <c r="F76" s="7"/>
      <c r="G76" s="48" t="str">
        <f>IF($G$7&gt;780,$G$68,"N/A")</f>
        <v>N/A</v>
      </c>
      <c r="H76" s="7" t="s">
        <v>77</v>
      </c>
      <c r="I76" s="7"/>
      <c r="J76" s="46" t="str">
        <f>IF($G$80&lt;1,"FAILS EYE SAFETY","  ")</f>
        <v xml:space="preserve">  </v>
      </c>
      <c r="K76" s="9"/>
      <c r="M76" s="59" t="s">
        <v>71</v>
      </c>
      <c r="N76" s="59"/>
      <c r="O76" s="59"/>
      <c r="P76" s="59"/>
    </row>
    <row r="77" spans="2:16" ht="5.25" customHeight="1">
      <c r="B77" s="6"/>
      <c r="C77" s="7"/>
      <c r="D77" s="7"/>
      <c r="E77" s="8"/>
      <c r="F77" s="7"/>
      <c r="G77" s="23"/>
      <c r="H77" s="7"/>
      <c r="I77" s="7"/>
      <c r="J77" s="7"/>
      <c r="K77" s="9"/>
    </row>
    <row r="78" spans="2:16" ht="18" thickBot="1">
      <c r="B78" s="6"/>
      <c r="C78" s="7"/>
      <c r="D78" s="7"/>
      <c r="E78" s="8" t="s">
        <v>42</v>
      </c>
      <c r="F78" s="7"/>
      <c r="G78" s="35" t="str">
        <f>IF($G$64&gt;10,6000/(IF(($G$47&lt;0.1),$G$47,$G$66)),"N/A")</f>
        <v>N/A</v>
      </c>
      <c r="H78" s="7" t="s">
        <v>77</v>
      </c>
      <c r="I78" s="7"/>
      <c r="J78" s="7"/>
      <c r="K78" s="9"/>
      <c r="M78" s="59" t="s">
        <v>71</v>
      </c>
      <c r="N78" s="59"/>
      <c r="O78" s="59"/>
      <c r="P78" s="59"/>
    </row>
    <row r="79" spans="2:16" ht="8.25" customHeight="1">
      <c r="B79" s="6"/>
      <c r="C79" s="7"/>
      <c r="D79" s="7"/>
      <c r="E79" s="8"/>
      <c r="F79" s="7"/>
      <c r="G79" s="36"/>
      <c r="H79" s="7"/>
      <c r="I79" s="7"/>
      <c r="J79" s="7"/>
      <c r="K79" s="9"/>
    </row>
    <row r="80" spans="2:16" ht="18.75" thickBot="1">
      <c r="B80" s="6"/>
      <c r="C80" s="7"/>
      <c r="D80" s="7"/>
      <c r="E80" s="8" t="s">
        <v>45</v>
      </c>
      <c r="F80" s="7"/>
      <c r="G80" s="38" t="str">
        <f>IF($G$64&gt;10,$G$78/$G$76,"N/A")</f>
        <v>N/A</v>
      </c>
      <c r="H80" s="7"/>
      <c r="I80" s="7"/>
      <c r="J80" s="37" t="str">
        <f>IF($G$64&gt;10,"t &gt; 10 s","  ")</f>
        <v xml:space="preserve">  </v>
      </c>
      <c r="K80" s="9"/>
    </row>
    <row r="81" spans="2:11" ht="6.75" customHeight="1" thickBot="1">
      <c r="B81" s="10"/>
      <c r="C81" s="2"/>
      <c r="D81" s="2"/>
      <c r="E81" s="2"/>
      <c r="F81" s="2"/>
      <c r="G81" s="2"/>
      <c r="H81" s="2"/>
      <c r="I81" s="2"/>
      <c r="J81" s="2"/>
      <c r="K81" s="12"/>
    </row>
  </sheetData>
  <sheetProtection password="80D9" sheet="1" objects="1" scenarios="1" selectLockedCells="1"/>
  <mergeCells count="11">
    <mergeCell ref="C3:Q3"/>
    <mergeCell ref="M68:P68"/>
    <mergeCell ref="M70:P70"/>
    <mergeCell ref="M76:P76"/>
    <mergeCell ref="M78:P78"/>
    <mergeCell ref="J44:O45"/>
    <mergeCell ref="G4:M4"/>
    <mergeCell ref="L50:P50"/>
    <mergeCell ref="M55:P55"/>
    <mergeCell ref="M57:P57"/>
    <mergeCell ref="M66:P66"/>
  </mergeCells>
  <conditionalFormatting sqref="G7">
    <cfRule type="containsBlanks" dxfId="44" priority="76">
      <formula>LEN(TRIM(G7))=0</formula>
    </cfRule>
    <cfRule type="cellIs" dxfId="43" priority="78" operator="notBetween">
      <formula>720</formula>
      <formula>1050</formula>
    </cfRule>
    <cfRule type="cellIs" dxfId="42" priority="79" operator="between">
      <formula>720</formula>
      <formula>1050</formula>
    </cfRule>
  </conditionalFormatting>
  <conditionalFormatting sqref="G8">
    <cfRule type="cellIs" dxfId="41" priority="61" operator="notBetween">
      <formula>0</formula>
      <formula>90</formula>
    </cfRule>
    <cfRule type="containsBlanks" dxfId="40" priority="75">
      <formula>LEN(TRIM(G8))=0</formula>
    </cfRule>
    <cfRule type="cellIs" dxfId="39" priority="77" operator="lessThan">
      <formula>0.1</formula>
    </cfRule>
  </conditionalFormatting>
  <conditionalFormatting sqref="G15:G16">
    <cfRule type="expression" dxfId="38" priority="11">
      <formula>$G$13&lt;&gt;"Bare Die"</formula>
    </cfRule>
  </conditionalFormatting>
  <conditionalFormatting sqref="G17">
    <cfRule type="expression" dxfId="37" priority="9">
      <formula>$G$13&lt;&gt;"Lensed"</formula>
    </cfRule>
    <cfRule type="cellIs" dxfId="36" priority="72" stopIfTrue="1" operator="lessThanOrEqual">
      <formula>0</formula>
    </cfRule>
    <cfRule type="containsBlanks" dxfId="35" priority="10">
      <formula>LEN(TRIM(G17))=0</formula>
    </cfRule>
  </conditionalFormatting>
  <conditionalFormatting sqref="G18">
    <cfRule type="expression" dxfId="34" priority="7">
      <formula>$G$13&lt;&gt;"Parabolic Reflector"</formula>
    </cfRule>
    <cfRule type="cellIs" dxfId="33" priority="71" operator="lessThanOrEqual">
      <formula>0</formula>
    </cfRule>
    <cfRule type="containsBlanks" dxfId="32" priority="8">
      <formula>LEN(TRIM(G18))=0</formula>
    </cfRule>
  </conditionalFormatting>
  <conditionalFormatting sqref="G25 M10:N20 Q10:Q20 P10:P20">
    <cfRule type="expression" dxfId="31" priority="67">
      <formula>$G$23&lt;&gt;"Standard Proximity Sensor"</formula>
    </cfRule>
  </conditionalFormatting>
  <conditionalFormatting sqref="G31">
    <cfRule type="expression" dxfId="30" priority="68">
      <formula>$G$23&lt;&gt;"Long Range Prox Sensor"</formula>
    </cfRule>
  </conditionalFormatting>
  <conditionalFormatting sqref="G36">
    <cfRule type="expression" dxfId="29" priority="67">
      <formula>$G$31&lt;&gt;"4 Hz"</formula>
    </cfRule>
  </conditionalFormatting>
  <conditionalFormatting sqref="G37">
    <cfRule type="expression" dxfId="28" priority="62">
      <formula>$G$31&lt;&gt;"128 Hz"</formula>
    </cfRule>
  </conditionalFormatting>
  <conditionalFormatting sqref="G29 G33 P10:Q20">
    <cfRule type="expression" dxfId="27" priority="59">
      <formula>$G$25&lt;&gt;"ISL29028-Series"</formula>
    </cfRule>
  </conditionalFormatting>
  <conditionalFormatting sqref="G30 G34 M10:N20">
    <cfRule type="expression" dxfId="26" priority="56">
      <formula>$G$25&lt;&gt;"ISL29011-Series"</formula>
    </cfRule>
  </conditionalFormatting>
  <conditionalFormatting sqref="G55">
    <cfRule type="cellIs" dxfId="25" priority="34" operator="greaterThan">
      <formula>$G$57</formula>
    </cfRule>
  </conditionalFormatting>
  <conditionalFormatting sqref="G68">
    <cfRule type="cellIs" dxfId="24" priority="33" operator="greaterThan">
      <formula>$G$70</formula>
    </cfRule>
  </conditionalFormatting>
  <conditionalFormatting sqref="G76">
    <cfRule type="cellIs" dxfId="23" priority="32" operator="greaterThan">
      <formula>$G$78</formula>
    </cfRule>
  </conditionalFormatting>
  <conditionalFormatting sqref="G4:M4">
    <cfRule type="expression" dxfId="22" priority="30">
      <formula>$G$6&lt;&gt;"AME"</formula>
    </cfRule>
  </conditionalFormatting>
  <conditionalFormatting sqref="P32:Q32">
    <cfRule type="expression" dxfId="21" priority="26">
      <formula>$G$25&lt;&gt;"ISL29038-Series"</formula>
    </cfRule>
    <cfRule type="expression" dxfId="20" priority="27">
      <formula>$G$23&lt;&gt;"Standard Proximity Sensor"</formula>
    </cfRule>
  </conditionalFormatting>
  <conditionalFormatting sqref="G32">
    <cfRule type="expression" dxfId="19" priority="25">
      <formula>$G$25&lt;&gt;"ISL29038-Series"</formula>
    </cfRule>
  </conditionalFormatting>
  <conditionalFormatting sqref="G35">
    <cfRule type="expression" dxfId="18" priority="24">
      <formula>$G$25&lt;&gt;"ISL29038-Series"</formula>
    </cfRule>
  </conditionalFormatting>
  <conditionalFormatting sqref="G9">
    <cfRule type="cellIs" dxfId="17" priority="80" stopIfTrue="1" operator="lessThanOrEqual">
      <formula>0</formula>
    </cfRule>
    <cfRule type="containsBlanks" dxfId="16" priority="23">
      <formula>LEN(TRIM(G9))=0</formula>
    </cfRule>
  </conditionalFormatting>
  <conditionalFormatting sqref="J10">
    <cfRule type="cellIs" dxfId="15" priority="21" stopIfTrue="1" operator="lessThanOrEqual">
      <formula>0</formula>
    </cfRule>
    <cfRule type="containsBlanks" dxfId="14" priority="16">
      <formula>LEN(TRIM(J10))=0</formula>
    </cfRule>
  </conditionalFormatting>
  <conditionalFormatting sqref="J11">
    <cfRule type="cellIs" dxfId="13" priority="20" stopIfTrue="1" operator="lessThanOrEqual">
      <formula>0</formula>
    </cfRule>
    <cfRule type="containsBlanks" dxfId="12" priority="15">
      <formula>LEN(TRIM(J11))=0</formula>
    </cfRule>
  </conditionalFormatting>
  <conditionalFormatting sqref="G12">
    <cfRule type="cellIs" dxfId="11" priority="19" stopIfTrue="1" operator="lessThanOrEqual">
      <formula>0</formula>
    </cfRule>
    <cfRule type="containsBlanks" dxfId="10" priority="14">
      <formula>LEN(TRIM(G12))=0</formula>
    </cfRule>
  </conditionalFormatting>
  <conditionalFormatting sqref="G15">
    <cfRule type="cellIs" dxfId="9" priority="74" stopIfTrue="1" operator="lessThanOrEqual">
      <formula>0</formula>
    </cfRule>
    <cfRule type="containsBlanks" dxfId="8" priority="18">
      <formula>LEN(TRIM(G15))=0</formula>
    </cfRule>
  </conditionalFormatting>
  <conditionalFormatting sqref="G16">
    <cfRule type="cellIs" dxfId="7" priority="13" operator="lessThanOrEqual">
      <formula>0</formula>
    </cfRule>
    <cfRule type="containsBlanks" dxfId="6" priority="12">
      <formula>LEN(TRIM(G16))=0</formula>
    </cfRule>
  </conditionalFormatting>
  <conditionalFormatting sqref="G45">
    <cfRule type="cellIs" dxfId="5" priority="6" stopIfTrue="1" operator="lessThanOrEqual">
      <formula>0</formula>
    </cfRule>
    <cfRule type="containsBlanks" dxfId="4" priority="5">
      <formula>LEN(TRIM(G45))=0</formula>
    </cfRule>
  </conditionalFormatting>
  <conditionalFormatting sqref="G54">
    <cfRule type="cellIs" dxfId="3" priority="4" stopIfTrue="1" operator="lessThanOrEqual">
      <formula>0</formula>
    </cfRule>
    <cfRule type="containsBlanks" dxfId="2" priority="3">
      <formula>LEN(TRIM(G54))=0</formula>
    </cfRule>
  </conditionalFormatting>
  <conditionalFormatting sqref="S10:T12">
    <cfRule type="expression" dxfId="1" priority="1">
      <formula>$G$25&lt;&gt;"ISL29038-Series"</formula>
    </cfRule>
    <cfRule type="expression" dxfId="0" priority="2">
      <formula>$G$23&lt;&gt;"Standard Proximity Sensor"</formula>
    </cfRule>
  </conditionalFormatting>
  <dataValidations count="12">
    <dataValidation type="list" allowBlank="1" showInputMessage="1" showErrorMessage="1" sqref="G34">
      <formula1>"Modulation Frequency,DC,360 Hz"</formula1>
    </dataValidation>
    <dataValidation type="list" allowBlank="1" showInputMessage="1" showErrorMessage="1" sqref="G30">
      <formula1>"IRDR Current,12.5,25.0,50.0,100.0"</formula1>
    </dataValidation>
    <dataValidation type="list" allowBlank="1" showInputMessage="1" showErrorMessage="1" sqref="G37">
      <formula1>"Pulse Envelope Width,62.5,239.3,416.1,592.9,769.6,946.4,1120.0,1300.0"</formula1>
    </dataValidation>
    <dataValidation type="list" allowBlank="1" showInputMessage="1" showErrorMessage="1" sqref="G31">
      <formula1>"Rep Rate,4 Hz, 128 Hz"</formula1>
    </dataValidation>
    <dataValidation type="list" allowBlank="1" showInputMessage="1" showErrorMessage="1" sqref="G29">
      <formula1>"Sleep Time,0,12.5,50,75,100,200,400,800"</formula1>
    </dataValidation>
    <dataValidation type="list" allowBlank="1" showInputMessage="1" showErrorMessage="1" sqref="G33">
      <formula1>"IRDR Current, 110, 220"</formula1>
    </dataValidation>
    <dataValidation type="list" allowBlank="1" showInputMessage="1" showErrorMessage="1" sqref="G23">
      <formula1>"Proximity Device Type, Standard Proximity Sensor,Long Range Prox Sensor"</formula1>
    </dataValidation>
    <dataValidation type="list" allowBlank="1" showInputMessage="1" showErrorMessage="1" sqref="G13">
      <formula1>"LED Type,Bare Die, Lensed, Parabolic Reflector"</formula1>
    </dataValidation>
    <dataValidation type="list" allowBlank="1" showInputMessage="1" showErrorMessage="1" sqref="G36">
      <formula1>"Pulse Envelope Width,2.0,7.6,13.3,19.0,24.6,30.3,36.0,41.6"</formula1>
    </dataValidation>
    <dataValidation type="list" allowBlank="1" showInputMessage="1" showErrorMessage="1" sqref="G25">
      <formula1>"ALS/Prox Family,ISL29011-Series,ISL29028-Series,ISL29038-Series"</formula1>
    </dataValidation>
    <dataValidation type="list" allowBlank="1" showInputMessage="1" showErrorMessage="1" sqref="G32">
      <formula1>"Sleep Time,0,3.125,6.25,12.5,25,50,100,400"</formula1>
    </dataValidation>
    <dataValidation type="list" allowBlank="1" showInputMessage="1" showErrorMessage="1" sqref="G35">
      <formula1>"IRDR Current,27.5,55,110,220"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Intersil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aearman</dc:creator>
  <cp:lastModifiedBy>aearman</cp:lastModifiedBy>
  <dcterms:created xsi:type="dcterms:W3CDTF">2011-05-09T19:08:54Z</dcterms:created>
  <dcterms:modified xsi:type="dcterms:W3CDTF">2012-03-27T18:31:15Z</dcterms:modified>
</cp:coreProperties>
</file>